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6"/>
  </bookViews>
  <sheets>
    <sheet name="функцион.2015" sheetId="1" r:id="rId1"/>
    <sheet name="ведомствен.2015" sheetId="2" r:id="rId2"/>
    <sheet name="Капстройка" sheetId="3" r:id="rId3"/>
    <sheet name="Прогр.заимств." sheetId="4" r:id="rId4"/>
    <sheet name="прогр.заимств.2016-2017" sheetId="5" r:id="rId5"/>
    <sheet name="источн.2015" sheetId="6" r:id="rId6"/>
    <sheet name="источн2016-201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<sst xmlns="http://schemas.openxmlformats.org/spreadsheetml/2006/main" count="6721" uniqueCount="748">
  <si>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</si>
  <si>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</si>
  <si>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</si>
  <si>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</si>
  <si>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</si>
  <si>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</si>
  <si>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</si>
  <si>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</si>
  <si>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</si>
  <si>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</si>
  <si>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</si>
  <si>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</si>
  <si>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</si>
  <si>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</si>
  <si>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</si>
  <si>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</si>
  <si>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</si>
  <si>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</si>
  <si>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</si>
  <si>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</si>
  <si>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</si>
  <si>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</si>
  <si>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</si>
  <si>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</si>
  <si>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</si>
  <si>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</si>
  <si>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</si>
  <si>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</si>
  <si>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</si>
  <si>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</si>
  <si>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</si>
  <si>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</si>
  <si>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</si>
  <si>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</si>
  <si>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</si>
  <si>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</si>
  <si>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</si>
  <si>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</si>
  <si>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</si>
  <si>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</si>
  <si>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</si>
  <si>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</si>
  <si>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</si>
  <si>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</si>
  <si>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</si>
  <si>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</si>
  <si>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</si>
  <si>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</si>
  <si>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</si>
  <si>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</si>
  <si>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</si>
  <si>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</si>
  <si>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</si>
  <si>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</si>
  <si>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</si>
  <si>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</si>
  <si>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</si>
  <si>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</si>
  <si>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</si>
  <si>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</si>
  <si>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</si>
  <si>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</si>
  <si>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</si>
  <si>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</si>
  <si>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</si>
  <si>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</si>
  <si>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</si>
  <si>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</si>
  <si>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</si>
  <si>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</si>
  <si>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</si>
  <si>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</si>
  <si>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</si>
  <si>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</si>
  <si>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</si>
  <si>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</si>
  <si>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</si>
  <si>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</si>
  <si>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</si>
  <si>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</si>
  <si>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</si>
  <si>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</si>
  <si>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</si>
  <si>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</si>
  <si>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420 82 00</t>
  </si>
  <si>
    <t>420 82 10</t>
  </si>
  <si>
    <t>421 82 00</t>
  </si>
  <si>
    <t>421 82 10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</si>
  <si>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</si>
  <si>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</si>
  <si>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</si>
  <si>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</si>
  <si>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</si>
  <si>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</si>
  <si>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</si>
  <si>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</si>
  <si>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</si>
  <si>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</si>
  <si>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</si>
  <si>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</si>
  <si>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</si>
  <si>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</si>
  <si>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</si>
  <si>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</si>
  <si>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</si>
  <si>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</si>
  <si>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</si>
  <si>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</si>
  <si>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</si>
  <si>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</si>
  <si>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</si>
  <si>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</si>
  <si>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</si>
  <si>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</si>
  <si>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</si>
  <si>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</si>
  <si>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</si>
  <si>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</si>
  <si>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</si>
  <si>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</si>
  <si>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</si>
  <si>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</si>
  <si>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</si>
  <si>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</si>
  <si>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</si>
  <si>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</si>
  <si>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</si>
  <si>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</si>
  <si>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</si>
  <si>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</si>
  <si>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</si>
  <si>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</si>
  <si>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</si>
  <si>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</si>
  <si>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</si>
  <si>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</si>
  <si>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</si>
  <si>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</si>
  <si>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</si>
  <si>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</si>
  <si>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</si>
  <si>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</si>
  <si>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</si>
  <si>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</si>
  <si>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</si>
  <si>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</si>
  <si>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</si>
  <si>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</si>
  <si>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</si>
  <si>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</si>
  <si>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</si>
  <si>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</si>
  <si>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</si>
  <si>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</si>
  <si>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</si>
  <si>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Выплаты приемной семье на содержание подопечных детей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</si>
  <si>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</si>
  <si>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</si>
  <si>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</si>
  <si>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</si>
  <si>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</si>
  <si>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</si>
  <si>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</si>
  <si>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</si>
  <si>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</si>
  <si>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</si>
  <si>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</si>
  <si>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</si>
  <si>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</si>
  <si>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</si>
  <si>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</si>
  <si>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</si>
  <si>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</si>
  <si>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</si>
  <si>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</si>
  <si>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</si>
  <si>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</si>
  <si>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</si>
  <si>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</si>
  <si>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</si>
  <si>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</si>
  <si>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</si>
  <si>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</si>
  <si>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</si>
  <si>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</si>
  <si>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</si>
  <si>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</si>
  <si>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</si>
  <si>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</si>
  <si>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</si>
  <si>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</si>
  <si>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</si>
  <si>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</si>
  <si>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</si>
  <si>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</si>
  <si>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</si>
  <si>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</si>
  <si>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</si>
  <si>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</si>
  <si>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</si>
  <si>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</si>
  <si>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</si>
  <si>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</si>
  <si>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</si>
  <si>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</si>
  <si>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</si>
  <si>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</si>
  <si>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</si>
  <si>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</si>
  <si>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</si>
  <si>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</si>
  <si>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</si>
  <si>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</si>
  <si>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</si>
  <si>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</si>
  <si>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</si>
  <si>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</si>
  <si>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</si>
  <si>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</si>
  <si>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</si>
  <si>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</si>
  <si>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</si>
  <si>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</si>
  <si>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</si>
  <si>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</si>
  <si>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</si>
  <si>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</si>
  <si>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</si>
  <si>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</si>
  <si>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</si>
  <si>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</si>
  <si>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</si>
  <si>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</si>
  <si>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</si>
  <si>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</si>
  <si>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</si>
  <si>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</si>
  <si>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</si>
  <si>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</si>
  <si>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</si>
  <si>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</si>
  <si>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</si>
  <si>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</si>
  <si>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</si>
  <si>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</si>
  <si>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</si>
  <si>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</si>
  <si>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</si>
  <si>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</si>
  <si>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</si>
  <si>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</si>
  <si>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</si>
  <si>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</si>
  <si>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</si>
  <si>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</si>
  <si>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</si>
  <si>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</si>
  <si>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</si>
  <si>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</si>
  <si>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</si>
  <si>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</si>
  <si>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</si>
  <si>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</si>
  <si>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</si>
  <si>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</si>
  <si>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</si>
  <si>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</si>
  <si>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</si>
  <si>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</si>
  <si>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</si>
  <si>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</si>
  <si>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</si>
  <si>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</si>
  <si>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</si>
  <si>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</si>
  <si>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</si>
  <si>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</si>
  <si>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</si>
  <si>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</si>
  <si>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</si>
  <si>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</si>
  <si>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</si>
  <si>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</si>
  <si>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</si>
  <si>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</si>
  <si>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</si>
  <si>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</si>
  <si>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</si>
  <si>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</si>
  <si>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</si>
  <si>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</si>
  <si>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</si>
  <si>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</si>
  <si>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</si>
  <si>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</si>
  <si>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Учреждения по внешкольной работе с детьми</t>
  </si>
  <si>
    <t xml:space="preserve">423 00 00 </t>
  </si>
  <si>
    <t>423 99 00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</si>
  <si>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</si>
  <si>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</si>
  <si>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</si>
  <si>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</si>
  <si>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</si>
  <si>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</si>
  <si>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</si>
  <si>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</si>
  <si>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</si>
  <si>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</si>
  <si>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</si>
  <si>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</si>
  <si>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</si>
  <si>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</si>
  <si>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</si>
  <si>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</si>
  <si>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</si>
  <si>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</si>
  <si>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</si>
  <si>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</si>
  <si>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</si>
  <si>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</si>
  <si>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</si>
  <si>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</si>
  <si>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</si>
  <si>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</si>
  <si>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</si>
  <si>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</si>
  <si>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</si>
  <si>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</si>
  <si>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</si>
  <si>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</si>
  <si>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</si>
  <si>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</si>
  <si>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</si>
  <si>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</si>
  <si>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</si>
  <si>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</si>
  <si>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</si>
  <si>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</si>
  <si>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</si>
  <si>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</si>
  <si>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</si>
  <si>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</si>
  <si>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</si>
  <si>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</si>
  <si>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</si>
  <si>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</si>
  <si>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</si>
  <si>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</si>
  <si>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</si>
  <si>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</si>
  <si>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</si>
  <si>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</si>
  <si>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</si>
  <si>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</si>
  <si>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</si>
  <si>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</si>
  <si>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</si>
  <si>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</si>
  <si>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</si>
  <si>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</si>
  <si>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</si>
  <si>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</si>
  <si>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</si>
  <si>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</si>
  <si>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</si>
  <si>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</si>
  <si>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</si>
  <si>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</si>
  <si>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</si>
  <si>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</si>
  <si>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</si>
  <si>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</si>
  <si>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</si>
  <si>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</si>
  <si>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</si>
  <si>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</si>
  <si>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</si>
  <si>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</si>
  <si>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</si>
  <si>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</si>
  <si>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</si>
  <si>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</si>
  <si>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</si>
  <si>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</si>
  <si>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</si>
  <si>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</si>
  <si>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</si>
  <si>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</si>
  <si>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</si>
  <si>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</si>
  <si>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</si>
  <si>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</si>
  <si>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</si>
  <si>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</si>
  <si>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</si>
  <si>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</si>
  <si>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</si>
  <si>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</si>
  <si>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</si>
  <si>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</si>
  <si>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</si>
  <si>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</si>
  <si>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</si>
  <si>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</si>
  <si>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</si>
  <si>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</si>
  <si>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</si>
  <si>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</si>
  <si>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</si>
  <si>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</si>
  <si>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</si>
  <si>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</si>
  <si>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</si>
  <si>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</si>
  <si>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</si>
  <si>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</si>
  <si>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</si>
  <si>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</si>
  <si>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</si>
  <si>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</si>
  <si>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</si>
  <si>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</si>
  <si>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</si>
  <si>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</si>
  <si>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</si>
  <si>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</si>
  <si>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</si>
  <si>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</si>
  <si>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</si>
  <si>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</si>
  <si>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</si>
  <si>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</si>
  <si>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</si>
  <si>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Приложение 5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</si>
  <si>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</si>
  <si>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</si>
  <si>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</si>
  <si>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Сумма,                 2013г.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</si>
  <si>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</si>
  <si>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</si>
  <si>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</si>
  <si>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</si>
  <si>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</si>
  <si>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Сумма, 2015 год
тыс. руб.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</si>
  <si>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</si>
  <si>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</si>
  <si>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</si>
  <si>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</si>
  <si>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</si>
  <si>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</si>
  <si>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</si>
  <si>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</si>
  <si>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</si>
  <si>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</si>
  <si>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</si>
  <si>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</si>
  <si>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</si>
  <si>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Вознаграждение, причитающееся приемному родителю</t>
  </si>
  <si>
    <t>Содержание ребенка в семье опекуна</t>
  </si>
  <si>
    <t>Приложение 4</t>
  </si>
  <si>
    <t>Приложение 10</t>
  </si>
  <si>
    <t>Приложение 11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</si>
  <si>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</si>
  <si>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</si>
  <si>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</si>
  <si>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</si>
  <si>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</si>
  <si>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</si>
  <si>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</si>
  <si>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</si>
  <si>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</si>
  <si>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</si>
  <si>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</si>
  <si>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</si>
  <si>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</si>
  <si>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</si>
  <si>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</si>
  <si>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</si>
  <si>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</si>
  <si>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</si>
  <si>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</si>
  <si>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</si>
  <si>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</si>
  <si>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</si>
  <si>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</si>
  <si>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Расходы на оплату задолженности по договорам 2013 года</t>
  </si>
  <si>
    <t>655 00 10</t>
  </si>
  <si>
    <t>600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</si>
  <si>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</si>
  <si>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</si>
  <si>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</si>
  <si>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</si>
  <si>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</si>
  <si>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</si>
  <si>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</si>
  <si>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</si>
  <si>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</si>
  <si>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</si>
  <si>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</si>
  <si>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</si>
  <si>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001 59 03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</si>
  <si>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</si>
  <si>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</si>
  <si>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</si>
  <si>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</si>
  <si>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</si>
  <si>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</si>
  <si>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</si>
  <si>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</si>
  <si>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</si>
  <si>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</si>
  <si>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</si>
  <si>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</si>
  <si>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</si>
  <si>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</si>
  <si>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</si>
  <si>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</si>
  <si>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</si>
  <si>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</si>
  <si>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</si>
  <si>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</si>
  <si>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</si>
  <si>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</si>
  <si>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</si>
  <si>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</si>
  <si>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МП "Капитальное строительство на территории Миасского городского округа на 2014-2015 годы"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</si>
  <si>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</si>
  <si>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</si>
  <si>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</si>
  <si>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</si>
  <si>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</si>
  <si>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</si>
  <si>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</si>
  <si>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</si>
  <si>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</si>
  <si>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</si>
  <si>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</si>
  <si>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</si>
  <si>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</si>
  <si>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</si>
  <si>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</si>
  <si>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</si>
  <si>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</si>
  <si>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</si>
  <si>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</si>
  <si>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</si>
  <si>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</si>
  <si>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</si>
  <si>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</si>
  <si>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</si>
  <si>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>505 75 00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</si>
  <si>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</si>
  <si>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</si>
  <si>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</si>
  <si>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</si>
  <si>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</si>
  <si>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</si>
  <si>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</si>
  <si>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</si>
  <si>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</si>
  <si>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</si>
  <si>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</si>
  <si>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</si>
  <si>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</si>
  <si>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</si>
  <si>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</si>
  <si>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</si>
  <si>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</si>
  <si>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</si>
  <si>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</si>
  <si>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</si>
  <si>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</si>
  <si>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 программа "Поддержка и  развитие дошкольного образования в МГО на 2014-2015гг."</t>
  </si>
  <si>
    <t>433 9901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</si>
  <si>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</si>
  <si>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</si>
  <si>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</si>
  <si>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</si>
  <si>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</si>
  <si>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</si>
  <si>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Коды бюджетной  классификации</t>
  </si>
  <si>
    <t xml:space="preserve">от                     № </t>
  </si>
  <si>
    <t xml:space="preserve">от                         № </t>
  </si>
  <si>
    <t>Сумма, 2016 год
тыс. руб.</t>
  </si>
  <si>
    <t>Сумма,                 2016г.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</si>
  <si>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</si>
  <si>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</si>
  <si>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</si>
  <si>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</si>
  <si>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</si>
  <si>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</si>
  <si>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</si>
  <si>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Погашение бюджетами городских округов бюджетных кредитов от других бюджетов бюджетной системы Российской Федерации  в валюте Российской Федерации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</si>
  <si>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</si>
  <si>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</si>
  <si>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</si>
  <si>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Обеспечение деятельности  (оказание услуг) подведомственных казенных учреждений в области физической культуры и спорта</t>
  </si>
  <si>
    <t>Обеспечение деятельности (оказание услуг) подведомственных казенных учреждений в области физической культуры и спорта</t>
  </si>
  <si>
    <t>Охрана объектов растительного и животного мира и среды их обитания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</si>
  <si>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</si>
  <si>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</si>
  <si>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</si>
  <si>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</si>
  <si>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</si>
  <si>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НА 2015 ГОД</t>
  </si>
  <si>
    <t>на 2015 год                 (тыс. руб.)</t>
  </si>
  <si>
    <t>003 00 00</t>
  </si>
  <si>
    <t>Муниципальная программа  "Развитие муниципальной службы в Миасском городском округе"</t>
  </si>
  <si>
    <t>795 00 10</t>
  </si>
  <si>
    <t>Муниципальная программа"Обеспечение безопасности жизнедеятельности населения Миасского городского округа на 2014-2016гг."</t>
  </si>
  <si>
    <t>795 00 83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</si>
  <si>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</si>
  <si>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</si>
  <si>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795 19 00</t>
  </si>
  <si>
    <t>Подпрограмма "Оказание молодым семьям господдержки для улучшения жилищных условий"</t>
  </si>
  <si>
    <t>795 19 14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</si>
  <si>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</si>
  <si>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 xml:space="preserve">Источники 
внутреннего финансирования дефицита бюджета Миасского  городского округа 
на 2015 год   </t>
  </si>
  <si>
    <t xml:space="preserve">Источники 
внутреннего финансирования дефицита бюджета Миасского  городского округа 
на на  плановый период 2016 и 2017 гг.  </t>
  </si>
  <si>
    <t>Сумма, 2017 год
тыс. руб.</t>
  </si>
  <si>
    <t xml:space="preserve">на 2015 год </t>
  </si>
  <si>
    <t>на плановый период 2016 и 2017 гг.</t>
  </si>
  <si>
    <t>Сумма,                 2017г.</t>
  </si>
  <si>
    <t>Расходы на оплату задолженности по договорам 2014 года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</si>
  <si>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</si>
  <si>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</si>
  <si>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601 82 00</t>
  </si>
  <si>
    <t>601 82 30</t>
  </si>
  <si>
    <t>601 99 00</t>
  </si>
  <si>
    <t>440 02 00</t>
  </si>
  <si>
    <t xml:space="preserve">Муниципальная программа "Безопасность учреждений культуры" на 2014 -2016 годы </t>
  </si>
  <si>
    <t>Муниципальная программа "Укрепление и модернизация материально-техничекой базы учреждений культуры на 2014-2016 годы"</t>
  </si>
  <si>
    <t>795 00 54</t>
  </si>
  <si>
    <t>Предоставление субсидий бюджетным и автономным учреждениям, оказывающим амбулатоно-поликлиническую помощь в городских больницах</t>
  </si>
  <si>
    <t xml:space="preserve">Предоставление субсидий бюджетным и автономным учреждениям, оказывающим амбулаторную помощь в поликлиниках </t>
  </si>
  <si>
    <t>Государственная программа Челябинской области "Дети Южного Урала" на 2014-2017 годы</t>
  </si>
  <si>
    <t>607 00 00</t>
  </si>
  <si>
    <t>607 99 00</t>
  </si>
  <si>
    <t>607 99 01</t>
  </si>
  <si>
    <t>607 50 82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</si>
  <si>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</si>
  <si>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</si>
  <si>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</si>
  <si>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</si>
  <si>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</si>
  <si>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</si>
  <si>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"Повышение качества жизни пожилого возраста в Челябинской области" на 2014-2017 годы</t>
  </si>
  <si>
    <t>606 02 00</t>
  </si>
  <si>
    <t>606 02 22</t>
  </si>
  <si>
    <t>606 02 25</t>
  </si>
  <si>
    <t>606 02 32</t>
  </si>
  <si>
    <t>606 02 35</t>
  </si>
  <si>
    <t>606 02 42</t>
  </si>
  <si>
    <t>606 02 51</t>
  </si>
  <si>
    <t>606 02 53</t>
  </si>
  <si>
    <t>Государственная программа Челябинской области  "Дети Южного Урала" на 2014-2017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</si>
  <si>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</si>
  <si>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</si>
  <si>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607 02 08</t>
  </si>
  <si>
    <t>607 02 11</t>
  </si>
  <si>
    <t>607 02 70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</si>
  <si>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</si>
  <si>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лиувидацией организаций (прекращение деятельности, полномочий физическими лицами), в соотвествии с Федеральным законом от 19 мая 1995 года №81-ФЗ "О государственных пособиях гражданам имеющим детей"</t>
  </si>
  <si>
    <t>607 53 80</t>
  </si>
  <si>
    <t xml:space="preserve">Муниципальная программа "Доступная среда" на 2014-2015 годы </t>
  </si>
  <si>
    <t>607 02 10</t>
  </si>
  <si>
    <t>607 02 12</t>
  </si>
  <si>
    <t>607 02 76</t>
  </si>
  <si>
    <t>607 02 09</t>
  </si>
  <si>
    <t>420 82 20</t>
  </si>
  <si>
    <t>420 82 24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</si>
  <si>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</si>
  <si>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</si>
  <si>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604 99 00</t>
  </si>
  <si>
    <t>604 82 10</t>
  </si>
  <si>
    <t>604 82 23</t>
  </si>
  <si>
    <t>604 82 20</t>
  </si>
  <si>
    <t>Муниципальная программа "Безопасность образовательных организаций Миасского городского округа на 2014-2015 годы "</t>
  </si>
  <si>
    <t>795 00 43</t>
  </si>
  <si>
    <t>421 82 20</t>
  </si>
  <si>
    <t>421 82 24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</si>
  <si>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</si>
  <si>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</si>
  <si>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</si>
  <si>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</si>
  <si>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</si>
  <si>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603 02 82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</si>
  <si>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</si>
  <si>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603 02 73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</si>
  <si>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</si>
  <si>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603 99 00</t>
  </si>
  <si>
    <t>603 82 10</t>
  </si>
  <si>
    <t>603 82 23</t>
  </si>
  <si>
    <t>603 82 20</t>
  </si>
  <si>
    <t>603 82 00</t>
  </si>
  <si>
    <t>Муниципальная программа "Программа развития образования в Миасском городском округе на 2014-2015 годы"</t>
  </si>
  <si>
    <t>795 00 45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</si>
  <si>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2014-2015гг."</t>
  </si>
  <si>
    <t>795 00 41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</si>
  <si>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</si>
  <si>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603 02 03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</si>
  <si>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</si>
  <si>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604 02 00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</si>
  <si>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</si>
  <si>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604 02 04</t>
  </si>
  <si>
    <t>604 82 00</t>
  </si>
  <si>
    <t>Приложение 6</t>
  </si>
  <si>
    <t>Приложение 8</t>
  </si>
  <si>
    <t>Приложение 9</t>
  </si>
  <si>
    <t>Приложение  11</t>
  </si>
  <si>
    <t>РАСПРЕДЕЛЕНИЕ БЮДЖЕТНЫХ АССИГНОВАНИЙ НА 2015 ГОД</t>
  </si>
  <si>
    <t>на 2015 год  (тыс. руб.)</t>
  </si>
  <si>
    <t>Сумма,                 2015г.</t>
  </si>
  <si>
    <t>Приложение  12</t>
  </si>
  <si>
    <t>Наименование объектов</t>
  </si>
  <si>
    <t>Объем бюджетных ассигнований</t>
  </si>
  <si>
    <t>2015 год</t>
  </si>
  <si>
    <t>2016 год</t>
  </si>
  <si>
    <t>2017 год</t>
  </si>
  <si>
    <t>Муниципальная программа  «Капитальное строительство на территории Миасского городского округа на 2014-2015 годы»:</t>
  </si>
  <si>
    <t>- блочно-модульная котельная в п. Новоандреевка;</t>
  </si>
  <si>
    <t>- котельная к зданию школы в п. Северные Печи;</t>
  </si>
  <si>
    <t>- ГТС Миасского городского пруда,</t>
  </si>
  <si>
    <t>в том числе проектно-изыскательские работы</t>
  </si>
  <si>
    <t>Всего по программе</t>
  </si>
  <si>
    <t>Муниципальная программа по реализации Национального Проекта «Доступное и комфортное жилье - гражданам России» на территории МГО на 2014-2015г.г., подпрограмма «Модернизация объектов коммунальной инфраструктуры»:</t>
  </si>
  <si>
    <t>- газоснабжение ж/д п.Ленинск;</t>
  </si>
  <si>
    <t>- газопровод от п.Сыростан до п.Хребет в том числе проектно-изыскательские работы;</t>
  </si>
  <si>
    <t>-  очистные сооружения п.Хребет, в том числе проектно-изыскательские работы</t>
  </si>
  <si>
    <t>Итого</t>
  </si>
  <si>
    <t>Распределение бюджетных ассигнований на капитальные вложения в объекты муниципальной  собственности Миасского городского округа на 2015-2017 годы</t>
  </si>
  <si>
    <t>(тыс. рублей)</t>
  </si>
  <si>
    <t>Мероприятия в области малого и среднего предпринимательства</t>
  </si>
  <si>
    <t>312 00 00</t>
  </si>
  <si>
    <t>312 82 00</t>
  </si>
  <si>
    <t>312 82 10</t>
  </si>
  <si>
    <t>601 8Г 00</t>
  </si>
  <si>
    <t>601 8Г 30</t>
  </si>
  <si>
    <t>601 8Д 00</t>
  </si>
  <si>
    <t>601 8Д 30</t>
  </si>
  <si>
    <t>Муниципальная программа "развитие здравоохранения Миасского городского округа на 2014 год и плановый период 2015 и 2016 годов"</t>
  </si>
  <si>
    <t>795 00 38</t>
  </si>
  <si>
    <t>Муниципальная целевая программа " Капитальное строительство на территории Миасского городского округа на 2014-2015 годы"</t>
  </si>
  <si>
    <t xml:space="preserve"> - крытый каток с искусственным льдом, </t>
  </si>
  <si>
    <t>к Решению Собрания</t>
  </si>
  <si>
    <t>от  19.12.2014 г. №3</t>
  </si>
  <si>
    <t>от 19.12.2014 г. №3</t>
  </si>
  <si>
    <t>от 19.12.2014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</si>
</sst>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</numFmts>
  <fonts count="4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i/>
      <sz val="11"/>
      <name val="Arial Cyr"/>
      <family val="0"/>
    </font>
    <font>
      <sz val="13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6" applyNumberFormat="1" applyFont="1" applyAlignment="1">
      <alignment horizontal="left"/>
      <protection/>
    </xf>
    <xf numFmtId="0" fontId="11" fillId="0" borderId="0" xfId="56" applyFont="1">
      <alignment/>
      <protection/>
    </xf>
    <xf numFmtId="0" fontId="0" fillId="0" borderId="0" xfId="0" applyFont="1" applyAlignment="1">
      <alignment horizontal="right"/>
    </xf>
    <xf numFmtId="0" fontId="9" fillId="0" borderId="0" xfId="56" applyFont="1" applyAlignment="1">
      <alignment/>
      <protection/>
    </xf>
    <xf numFmtId="0" fontId="11" fillId="0" borderId="0" xfId="56" applyFont="1" applyAlignment="1">
      <alignment/>
      <protection/>
    </xf>
    <xf numFmtId="0" fontId="14" fillId="0" borderId="0" xfId="56" applyFont="1" applyAlignment="1">
      <alignment horizontal="center" vertical="center" wrapText="1"/>
      <protection/>
    </xf>
    <xf numFmtId="0" fontId="13" fillId="0" borderId="0" xfId="56" applyFont="1">
      <alignment/>
      <protection/>
    </xf>
    <xf numFmtId="49" fontId="7" fillId="0" borderId="15" xfId="56" applyNumberFormat="1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vertical="justify"/>
      <protection/>
    </xf>
    <xf numFmtId="164" fontId="7" fillId="0" borderId="15" xfId="56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 readingOrder="1"/>
    </xf>
    <xf numFmtId="0" fontId="7" fillId="0" borderId="0" xfId="56" applyFont="1">
      <alignment/>
      <protection/>
    </xf>
    <xf numFmtId="0" fontId="9" fillId="0" borderId="17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center" wrapText="1"/>
    </xf>
    <xf numFmtId="49" fontId="7" fillId="0" borderId="15" xfId="56" applyNumberFormat="1" applyFont="1" applyBorder="1" applyAlignment="1">
      <alignment horizontal="left" vertical="center"/>
      <protection/>
    </xf>
    <xf numFmtId="0" fontId="9" fillId="0" borderId="15" xfId="0" applyFont="1" applyBorder="1" applyAlignment="1">
      <alignment vertical="justify"/>
    </xf>
    <xf numFmtId="164" fontId="7" fillId="0" borderId="15" xfId="56" applyNumberFormat="1" applyFont="1" applyBorder="1" applyAlignment="1">
      <alignment vertical="center"/>
      <protection/>
    </xf>
    <xf numFmtId="0" fontId="9" fillId="0" borderId="15" xfId="0" applyNumberFormat="1" applyFont="1" applyBorder="1" applyAlignment="1">
      <alignment vertical="justify"/>
    </xf>
    <xf numFmtId="0" fontId="9" fillId="0" borderId="15" xfId="0" applyFont="1" applyFill="1" applyBorder="1" applyAlignment="1">
      <alignment vertical="center" wrapText="1"/>
    </xf>
    <xf numFmtId="49" fontId="7" fillId="0" borderId="0" xfId="56" applyNumberFormat="1" applyFont="1" applyAlignment="1">
      <alignment horizontal="left"/>
      <protection/>
    </xf>
    <xf numFmtId="0" fontId="7" fillId="0" borderId="0" xfId="56" applyFont="1" applyAlignment="1">
      <alignment/>
      <protection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16" fillId="0" borderId="0" xfId="56" applyNumberFormat="1" applyFont="1" applyFill="1" applyAlignment="1">
      <alignment horizontal="left"/>
      <protection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5" fillId="0" borderId="0" xfId="54" applyFont="1">
      <alignment/>
      <protection/>
    </xf>
    <xf numFmtId="0" fontId="3" fillId="0" borderId="0" xfId="54" applyFont="1">
      <alignment/>
      <protection/>
    </xf>
    <xf numFmtId="0" fontId="5" fillId="0" borderId="19" xfId="54" applyFont="1" applyBorder="1">
      <alignment/>
      <protection/>
    </xf>
    <xf numFmtId="0" fontId="5" fillId="0" borderId="20" xfId="54" applyFont="1" applyBorder="1" applyAlignment="1">
      <alignment horizontal="center" vertical="justify"/>
      <protection/>
    </xf>
    <xf numFmtId="0" fontId="5" fillId="0" borderId="21" xfId="54" applyFont="1" applyBorder="1" applyAlignment="1">
      <alignment horizontal="left" wrapText="1"/>
      <protection/>
    </xf>
    <xf numFmtId="164" fontId="5" fillId="0" borderId="22" xfId="54" applyNumberFormat="1" applyFont="1" applyBorder="1" applyAlignment="1">
      <alignment horizontal="center" vertical="center"/>
      <protection/>
    </xf>
    <xf numFmtId="0" fontId="5" fillId="0" borderId="23" xfId="54" applyFont="1" applyBorder="1" applyAlignment="1">
      <alignment horizontal="center"/>
      <protection/>
    </xf>
    <xf numFmtId="164" fontId="5" fillId="0" borderId="13" xfId="54" applyNumberFormat="1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/>
      <protection/>
    </xf>
    <xf numFmtId="0" fontId="5" fillId="0" borderId="20" xfId="54" applyFont="1" applyBorder="1" applyAlignment="1">
      <alignment horizontal="left" wrapText="1"/>
      <protection/>
    </xf>
    <xf numFmtId="164" fontId="5" fillId="0" borderId="20" xfId="54" applyNumberFormat="1" applyFont="1" applyBorder="1" applyAlignment="1">
      <alignment horizontal="center" vertical="center"/>
      <protection/>
    </xf>
    <xf numFmtId="0" fontId="5" fillId="0" borderId="25" xfId="54" applyFont="1" applyBorder="1" applyAlignment="1">
      <alignment wrapText="1"/>
      <protection/>
    </xf>
    <xf numFmtId="0" fontId="5" fillId="0" borderId="26" xfId="54" applyFont="1" applyBorder="1" applyAlignment="1">
      <alignment horizontal="center"/>
      <protection/>
    </xf>
    <xf numFmtId="164" fontId="5" fillId="0" borderId="14" xfId="54" applyNumberFormat="1" applyFont="1" applyBorder="1" applyAlignment="1">
      <alignment horizontal="center" vertical="center"/>
      <protection/>
    </xf>
    <xf numFmtId="0" fontId="5" fillId="0" borderId="20" xfId="54" applyFont="1" applyBorder="1">
      <alignment/>
      <protection/>
    </xf>
    <xf numFmtId="0" fontId="5" fillId="0" borderId="25" xfId="54" applyFont="1" applyBorder="1" applyAlignment="1">
      <alignment horizontal="center"/>
      <protection/>
    </xf>
    <xf numFmtId="164" fontId="5" fillId="0" borderId="27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9" fillId="0" borderId="0" xfId="56" applyFont="1" applyAlignment="1">
      <alignment wrapText="1"/>
      <protection/>
    </xf>
    <xf numFmtId="0" fontId="5" fillId="0" borderId="15" xfId="55" applyFont="1" applyBorder="1" applyAlignment="1">
      <alignment vertical="justify" wrapText="1"/>
      <protection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Border="1" applyAlignment="1">
      <alignment vertical="justify" wrapText="1"/>
    </xf>
    <xf numFmtId="0" fontId="9" fillId="0" borderId="15" xfId="0" applyNumberFormat="1" applyFont="1" applyBorder="1" applyAlignment="1">
      <alignment vertical="justify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5" fillId="0" borderId="0" xfId="0" applyNumberFormat="1" applyFont="1" applyAlignment="1">
      <alignment horizontal="center"/>
    </xf>
    <xf numFmtId="164" fontId="15" fillId="0" borderId="22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justify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164" fontId="36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4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25" borderId="23" xfId="0" applyFont="1" applyFill="1" applyBorder="1" applyAlignment="1">
      <alignment horizontal="left" vertical="center" wrapText="1"/>
    </xf>
    <xf numFmtId="0" fontId="7" fillId="25" borderId="23" xfId="0" applyFont="1" applyFill="1" applyBorder="1" applyAlignment="1">
      <alignment vertical="center" wrapText="1"/>
    </xf>
    <xf numFmtId="0" fontId="6" fillId="25" borderId="23" xfId="0" applyFont="1" applyFill="1" applyBorder="1" applyAlignment="1">
      <alignment vertical="center" wrapText="1"/>
    </xf>
    <xf numFmtId="43" fontId="7" fillId="0" borderId="0" xfId="0" applyNumberFormat="1" applyFont="1" applyAlignment="1">
      <alignment horizontal="center"/>
    </xf>
    <xf numFmtId="49" fontId="7" fillId="25" borderId="15" xfId="0" applyNumberFormat="1" applyFont="1" applyFill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13" fillId="0" borderId="29" xfId="0" applyNumberFormat="1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justify"/>
    </xf>
    <xf numFmtId="49" fontId="13" fillId="0" borderId="32" xfId="0" applyNumberFormat="1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24" borderId="34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49" fontId="13" fillId="0" borderId="34" xfId="0" applyNumberFormat="1" applyFont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24" borderId="34" xfId="0" applyNumberFormat="1" applyFont="1" applyFill="1" applyBorder="1" applyAlignment="1">
      <alignment horizontal="left" vertical="center" wrapText="1"/>
    </xf>
    <xf numFmtId="49" fontId="13" fillId="0" borderId="35" xfId="0" applyNumberFormat="1" applyFont="1" applyFill="1" applyBorder="1" applyAlignment="1">
      <alignment horizontal="left" vertical="center" wrapText="1"/>
    </xf>
    <xf numFmtId="49" fontId="7" fillId="25" borderId="34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justify" wrapText="1"/>
    </xf>
    <xf numFmtId="165" fontId="5" fillId="0" borderId="0" xfId="54" applyNumberFormat="1" applyFont="1">
      <alignment/>
      <protection/>
    </xf>
    <xf numFmtId="164" fontId="7" fillId="0" borderId="15" xfId="56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1" fillId="0" borderId="0" xfId="56" applyFont="1" applyAlignment="1">
      <alignment/>
      <protection/>
    </xf>
    <xf numFmtId="0" fontId="42" fillId="0" borderId="0" xfId="56" applyFont="1" applyAlignment="1">
      <alignment horizontal="center" vertical="center" wrapText="1"/>
      <protection/>
    </xf>
    <xf numFmtId="164" fontId="7" fillId="0" borderId="0" xfId="56" applyNumberFormat="1" applyFont="1">
      <alignment/>
      <protection/>
    </xf>
    <xf numFmtId="49" fontId="9" fillId="0" borderId="15" xfId="0" applyNumberFormat="1" applyFont="1" applyBorder="1" applyAlignment="1">
      <alignment horizontal="left" vertical="justify"/>
    </xf>
    <xf numFmtId="0" fontId="7" fillId="0" borderId="23" xfId="0" applyFont="1" applyFill="1" applyBorder="1" applyAlignment="1">
      <alignment vertical="center" wrapText="1"/>
    </xf>
    <xf numFmtId="0" fontId="5" fillId="0" borderId="15" xfId="55" applyFont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right" wrapText="1"/>
    </xf>
    <xf numFmtId="165" fontId="9" fillId="0" borderId="0" xfId="0" applyNumberFormat="1" applyFont="1" applyAlignment="1">
      <alignment/>
    </xf>
    <xf numFmtId="0" fontId="6" fillId="0" borderId="23" xfId="0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left" vertical="center" wrapText="1"/>
    </xf>
    <xf numFmtId="164" fontId="40" fillId="0" borderId="36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164" fontId="41" fillId="0" borderId="36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164" fontId="40" fillId="0" borderId="36" xfId="0" applyNumberFormat="1" applyFont="1" applyFill="1" applyBorder="1" applyAlignment="1">
      <alignment horizontal="center" vertical="center"/>
    </xf>
    <xf numFmtId="164" fontId="39" fillId="0" borderId="36" xfId="0" applyNumberFormat="1" applyFont="1" applyFill="1" applyBorder="1" applyAlignment="1">
      <alignment horizontal="center" vertical="center" wrapText="1"/>
    </xf>
    <xf numFmtId="164" fontId="40" fillId="0" borderId="36" xfId="64" applyNumberFormat="1" applyFont="1" applyFill="1" applyBorder="1" applyAlignment="1">
      <alignment horizontal="center"/>
    </xf>
    <xf numFmtId="164" fontId="40" fillId="25" borderId="36" xfId="64" applyNumberFormat="1" applyFont="1" applyFill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164" fontId="40" fillId="25" borderId="36" xfId="0" applyNumberFormat="1" applyFont="1" applyFill="1" applyBorder="1" applyAlignment="1">
      <alignment horizontal="center" vertical="center" wrapText="1"/>
    </xf>
    <xf numFmtId="164" fontId="40" fillId="25" borderId="36" xfId="0" applyNumberFormat="1" applyFont="1" applyFill="1" applyBorder="1" applyAlignment="1">
      <alignment horizontal="center"/>
    </xf>
    <xf numFmtId="164" fontId="39" fillId="0" borderId="38" xfId="0" applyNumberFormat="1" applyFont="1" applyFill="1" applyBorder="1" applyAlignment="1">
      <alignment horizontal="center" vertical="center" wrapText="1"/>
    </xf>
    <xf numFmtId="164" fontId="40" fillId="25" borderId="36" xfId="0" applyNumberFormat="1" applyFont="1" applyFill="1" applyBorder="1" applyAlignment="1">
      <alignment horizontal="center" vertical="center"/>
    </xf>
    <xf numFmtId="164" fontId="39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left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Fill="1" applyBorder="1" applyAlignment="1">
      <alignment horizontal="center" vertical="center"/>
    </xf>
    <xf numFmtId="164" fontId="39" fillId="0" borderId="13" xfId="0" applyNumberFormat="1" applyFont="1" applyFill="1" applyBorder="1" applyAlignment="1">
      <alignment horizontal="center" vertical="center" wrapText="1"/>
    </xf>
    <xf numFmtId="164" fontId="40" fillId="25" borderId="13" xfId="0" applyNumberFormat="1" applyFont="1" applyFill="1" applyBorder="1" applyAlignment="1">
      <alignment horizontal="center" vertical="center" wrapText="1"/>
    </xf>
    <xf numFmtId="164" fontId="41" fillId="0" borderId="13" xfId="0" applyNumberFormat="1" applyFont="1" applyFill="1" applyBorder="1" applyAlignment="1">
      <alignment horizontal="center" vertical="center" wrapText="1"/>
    </xf>
    <xf numFmtId="164" fontId="40" fillId="25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9" fontId="13" fillId="0" borderId="18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25" borderId="23" xfId="0" applyNumberFormat="1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vertical="center" wrapText="1"/>
    </xf>
    <xf numFmtId="49" fontId="7" fillId="25" borderId="15" xfId="0" applyNumberFormat="1" applyFont="1" applyFill="1" applyBorder="1" applyAlignment="1">
      <alignment vertical="center" wrapText="1"/>
    </xf>
    <xf numFmtId="49" fontId="7" fillId="0" borderId="23" xfId="0" applyNumberFormat="1" applyFont="1" applyBorder="1" applyAlignment="1">
      <alignment vertical="center" wrapText="1"/>
    </xf>
    <xf numFmtId="49" fontId="38" fillId="0" borderId="18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49" fontId="13" fillId="25" borderId="18" xfId="0" applyNumberFormat="1" applyFont="1" applyFill="1" applyBorder="1" applyAlignment="1">
      <alignment vertical="center" wrapText="1"/>
    </xf>
    <xf numFmtId="49" fontId="38" fillId="25" borderId="18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49" fontId="13" fillId="0" borderId="32" xfId="0" applyNumberFormat="1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49" fontId="7" fillId="25" borderId="18" xfId="0" applyNumberFormat="1" applyFont="1" applyFill="1" applyBorder="1" applyAlignment="1">
      <alignment vertical="center" wrapText="1"/>
    </xf>
    <xf numFmtId="49" fontId="43" fillId="0" borderId="18" xfId="0" applyNumberFormat="1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49" fontId="13" fillId="0" borderId="42" xfId="0" applyNumberFormat="1" applyFont="1" applyBorder="1" applyAlignment="1">
      <alignment vertical="center" wrapText="1"/>
    </xf>
    <xf numFmtId="49" fontId="13" fillId="0" borderId="29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25" borderId="18" xfId="0" applyNumberFormat="1" applyFont="1" applyFill="1" applyBorder="1" applyAlignment="1">
      <alignment vertical="center"/>
    </xf>
    <xf numFmtId="49" fontId="7" fillId="25" borderId="15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4" fillId="25" borderId="15" xfId="0" applyNumberFormat="1" applyFont="1" applyFill="1" applyBorder="1" applyAlignment="1">
      <alignment vertical="center"/>
    </xf>
    <xf numFmtId="49" fontId="4" fillId="25" borderId="15" xfId="0" applyNumberFormat="1" applyFont="1" applyFill="1" applyBorder="1" applyAlignment="1">
      <alignment vertical="center"/>
    </xf>
    <xf numFmtId="49" fontId="38" fillId="25" borderId="18" xfId="0" applyNumberFormat="1" applyFont="1" applyFill="1" applyBorder="1" applyAlignment="1">
      <alignment vertical="center"/>
    </xf>
    <xf numFmtId="49" fontId="6" fillId="25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164" fontId="41" fillId="0" borderId="36" xfId="64" applyNumberFormat="1" applyFont="1" applyFill="1" applyBorder="1" applyAlignment="1">
      <alignment horizontal="center"/>
    </xf>
    <xf numFmtId="164" fontId="5" fillId="25" borderId="36" xfId="0" applyNumberFormat="1" applyFont="1" applyFill="1" applyBorder="1" applyAlignment="1">
      <alignment horizontal="center"/>
    </xf>
    <xf numFmtId="164" fontId="5" fillId="25" borderId="36" xfId="0" applyNumberFormat="1" applyFont="1" applyFill="1" applyBorder="1" applyAlignment="1">
      <alignment horizont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49" fontId="7" fillId="0" borderId="45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49" fontId="7" fillId="0" borderId="47" xfId="0" applyNumberFormat="1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9" fontId="7" fillId="0" borderId="34" xfId="0" applyNumberFormat="1" applyFont="1" applyFill="1" applyBorder="1" applyAlignment="1">
      <alignment vertical="center" wrapText="1"/>
    </xf>
    <xf numFmtId="49" fontId="7" fillId="24" borderId="34" xfId="0" applyNumberFormat="1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vertical="center"/>
    </xf>
    <xf numFmtId="49" fontId="7" fillId="25" borderId="34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186" fontId="7" fillId="0" borderId="34" xfId="64" applyNumberFormat="1" applyFont="1" applyFill="1" applyBorder="1" applyAlignment="1">
      <alignment vertical="center"/>
    </xf>
    <xf numFmtId="49" fontId="4" fillId="0" borderId="34" xfId="0" applyNumberFormat="1" applyFont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49" fontId="4" fillId="25" borderId="18" xfId="0" applyNumberFormat="1" applyFont="1" applyFill="1" applyBorder="1" applyAlignment="1">
      <alignment vertical="center"/>
    </xf>
    <xf numFmtId="49" fontId="4" fillId="25" borderId="34" xfId="0" applyNumberFormat="1" applyFont="1" applyFill="1" applyBorder="1" applyAlignment="1">
      <alignment vertical="center"/>
    </xf>
    <xf numFmtId="49" fontId="4" fillId="25" borderId="34" xfId="0" applyNumberFormat="1" applyFont="1" applyFill="1" applyBorder="1" applyAlignment="1">
      <alignment vertical="center"/>
    </xf>
    <xf numFmtId="49" fontId="13" fillId="0" borderId="34" xfId="0" applyNumberFormat="1" applyFont="1" applyFill="1" applyBorder="1" applyAlignment="1">
      <alignment vertical="center" wrapText="1"/>
    </xf>
    <xf numFmtId="49" fontId="7" fillId="25" borderId="34" xfId="0" applyNumberFormat="1" applyFont="1" applyFill="1" applyBorder="1" applyAlignment="1">
      <alignment vertical="center" wrapText="1"/>
    </xf>
    <xf numFmtId="0" fontId="48" fillId="0" borderId="34" xfId="0" applyFont="1" applyFill="1" applyBorder="1" applyAlignment="1">
      <alignment vertical="center" wrapText="1"/>
    </xf>
    <xf numFmtId="0" fontId="47" fillId="0" borderId="3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25" borderId="23" xfId="0" applyFont="1" applyFill="1" applyBorder="1" applyAlignment="1">
      <alignment vertical="center" wrapText="1"/>
    </xf>
    <xf numFmtId="0" fontId="4" fillId="25" borderId="23" xfId="0" applyNumberFormat="1" applyFont="1" applyFill="1" applyBorder="1" applyAlignment="1">
      <alignment vertical="center" wrapText="1"/>
    </xf>
    <xf numFmtId="0" fontId="4" fillId="25" borderId="23" xfId="0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center" wrapText="1"/>
    </xf>
    <xf numFmtId="0" fontId="6" fillId="25" borderId="23" xfId="0" applyFont="1" applyFill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49" fontId="7" fillId="0" borderId="49" xfId="0" applyNumberFormat="1" applyFont="1" applyBorder="1" applyAlignment="1">
      <alignment vertical="center" wrapText="1"/>
    </xf>
    <xf numFmtId="49" fontId="7" fillId="0" borderId="50" xfId="0" applyNumberFormat="1" applyFont="1" applyFill="1" applyBorder="1" applyAlignment="1">
      <alignment vertical="center" wrapText="1"/>
    </xf>
    <xf numFmtId="49" fontId="7" fillId="0" borderId="51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49" fontId="7" fillId="0" borderId="19" xfId="0" applyNumberFormat="1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9" xfId="0" applyFont="1" applyBorder="1" applyAlignment="1">
      <alignment horizontal="left" vertical="justify"/>
    </xf>
    <xf numFmtId="49" fontId="7" fillId="25" borderId="18" xfId="0" applyNumberFormat="1" applyFont="1" applyFill="1" applyBorder="1" applyAlignment="1">
      <alignment horizontal="left" vertical="center"/>
    </xf>
    <xf numFmtId="49" fontId="7" fillId="25" borderId="15" xfId="0" applyNumberFormat="1" applyFont="1" applyFill="1" applyBorder="1" applyAlignment="1">
      <alignment horizontal="left" vertical="center"/>
    </xf>
    <xf numFmtId="49" fontId="7" fillId="25" borderId="34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/>
    </xf>
    <xf numFmtId="0" fontId="7" fillId="0" borderId="42" xfId="0" applyFont="1" applyBorder="1" applyAlignment="1">
      <alignment horizontal="left" vertical="justify"/>
    </xf>
    <xf numFmtId="49" fontId="13" fillId="0" borderId="4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186" fontId="7" fillId="0" borderId="34" xfId="64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7" fillId="0" borderId="37" xfId="0" applyFont="1" applyFill="1" applyBorder="1" applyAlignment="1">
      <alignment horizontal="left" vertical="center" wrapText="1"/>
    </xf>
    <xf numFmtId="0" fontId="6" fillId="25" borderId="34" xfId="0" applyFont="1" applyFill="1" applyBorder="1" applyAlignment="1">
      <alignment horizontal="left" vertical="center"/>
    </xf>
    <xf numFmtId="0" fontId="47" fillId="0" borderId="53" xfId="0" applyFont="1" applyFill="1" applyBorder="1" applyAlignment="1">
      <alignment horizontal="left" vertical="center" wrapText="1"/>
    </xf>
    <xf numFmtId="49" fontId="4" fillId="25" borderId="18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49" fontId="4" fillId="25" borderId="34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49" fontId="4" fillId="25" borderId="18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49" fontId="4" fillId="25" borderId="34" xfId="0" applyNumberFormat="1" applyFont="1" applyFill="1" applyBorder="1" applyAlignment="1">
      <alignment horizontal="left" vertical="center"/>
    </xf>
    <xf numFmtId="164" fontId="39" fillId="0" borderId="12" xfId="0" applyNumberFormat="1" applyFont="1" applyFill="1" applyBorder="1" applyAlignment="1">
      <alignment horizontal="center" vertical="center"/>
    </xf>
    <xf numFmtId="164" fontId="40" fillId="0" borderId="13" xfId="64" applyNumberFormat="1" applyFont="1" applyFill="1" applyBorder="1" applyAlignment="1">
      <alignment horizontal="center" vertical="center"/>
    </xf>
    <xf numFmtId="164" fontId="39" fillId="0" borderId="13" xfId="0" applyNumberFormat="1" applyFont="1" applyFill="1" applyBorder="1" applyAlignment="1">
      <alignment horizontal="center" vertical="center"/>
    </xf>
    <xf numFmtId="164" fontId="40" fillId="25" borderId="13" xfId="64" applyNumberFormat="1" applyFont="1" applyFill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164" fontId="41" fillId="25" borderId="13" xfId="0" applyNumberFormat="1" applyFont="1" applyFill="1" applyBorder="1" applyAlignment="1">
      <alignment horizontal="center" vertical="center"/>
    </xf>
    <xf numFmtId="164" fontId="41" fillId="25" borderId="13" xfId="0" applyNumberFormat="1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49" fontId="13" fillId="0" borderId="54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 wrapText="1"/>
    </xf>
    <xf numFmtId="49" fontId="7" fillId="25" borderId="40" xfId="0" applyNumberFormat="1" applyFont="1" applyFill="1" applyBorder="1" applyAlignment="1">
      <alignment horizontal="left" vertical="center"/>
    </xf>
    <xf numFmtId="49" fontId="13" fillId="0" borderId="40" xfId="0" applyNumberFormat="1" applyFont="1" applyFill="1" applyBorder="1" applyAlignment="1">
      <alignment horizontal="left" vertical="center"/>
    </xf>
    <xf numFmtId="49" fontId="13" fillId="0" borderId="40" xfId="0" applyNumberFormat="1" applyFont="1" applyFill="1" applyBorder="1" applyAlignment="1">
      <alignment horizontal="left" vertical="center" wrapText="1"/>
    </xf>
    <xf numFmtId="49" fontId="38" fillId="0" borderId="40" xfId="0" applyNumberFormat="1" applyFont="1" applyFill="1" applyBorder="1" applyAlignment="1">
      <alignment horizontal="left" vertical="center" wrapText="1"/>
    </xf>
    <xf numFmtId="49" fontId="13" fillId="25" borderId="40" xfId="0" applyNumberFormat="1" applyFont="1" applyFill="1" applyBorder="1" applyAlignment="1">
      <alignment horizontal="left" vertical="center" wrapText="1"/>
    </xf>
    <xf numFmtId="49" fontId="43" fillId="0" borderId="40" xfId="0" applyNumberFormat="1" applyFont="1" applyFill="1" applyBorder="1" applyAlignment="1">
      <alignment horizontal="left" vertical="center" wrapText="1"/>
    </xf>
    <xf numFmtId="49" fontId="7" fillId="25" borderId="4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vertical="center" wrapText="1"/>
    </xf>
    <xf numFmtId="49" fontId="38" fillId="25" borderId="40" xfId="0" applyNumberFormat="1" applyFont="1" applyFill="1" applyBorder="1" applyAlignment="1">
      <alignment horizontal="left" vertical="center" wrapText="1"/>
    </xf>
    <xf numFmtId="49" fontId="6" fillId="25" borderId="40" xfId="0" applyNumberFormat="1" applyFont="1" applyFill="1" applyBorder="1" applyAlignment="1">
      <alignment horizontal="left" vertical="center"/>
    </xf>
    <xf numFmtId="49" fontId="6" fillId="0" borderId="40" xfId="0" applyNumberFormat="1" applyFont="1" applyFill="1" applyBorder="1" applyAlignment="1">
      <alignment horizontal="left" vertical="center"/>
    </xf>
    <xf numFmtId="49" fontId="4" fillId="25" borderId="40" xfId="0" applyNumberFormat="1" applyFont="1" applyFill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4" fillId="0" borderId="40" xfId="0" applyNumberFormat="1" applyFont="1" applyBorder="1" applyAlignment="1">
      <alignment horizontal="left" vertical="center" wrapText="1"/>
    </xf>
    <xf numFmtId="49" fontId="38" fillId="25" borderId="40" xfId="0" applyNumberFormat="1" applyFont="1" applyFill="1" applyBorder="1" applyAlignment="1">
      <alignment horizontal="left" vertical="center"/>
    </xf>
    <xf numFmtId="49" fontId="13" fillId="0" borderId="5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25" borderId="13" xfId="0" applyFont="1" applyFill="1" applyBorder="1" applyAlignment="1">
      <alignment vertical="center"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37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justify"/>
    </xf>
    <xf numFmtId="0" fontId="13" fillId="0" borderId="12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7" fillId="0" borderId="53" xfId="0" applyFont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165" fontId="7" fillId="0" borderId="53" xfId="0" applyNumberFormat="1" applyFont="1" applyBorder="1" applyAlignment="1">
      <alignment horizontal="right" vertical="top" wrapText="1"/>
    </xf>
    <xf numFmtId="165" fontId="7" fillId="0" borderId="53" xfId="0" applyNumberFormat="1" applyFont="1" applyBorder="1" applyAlignment="1">
      <alignment horizontal="center" vertical="top" wrapText="1"/>
    </xf>
    <xf numFmtId="165" fontId="7" fillId="0" borderId="39" xfId="0" applyNumberFormat="1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165" fontId="7" fillId="0" borderId="38" xfId="0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165" fontId="7" fillId="0" borderId="36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horizontal="right" vertical="top" wrapText="1"/>
    </xf>
    <xf numFmtId="165" fontId="7" fillId="0" borderId="38" xfId="0" applyNumberFormat="1" applyFont="1" applyBorder="1" applyAlignment="1">
      <alignment horizontal="right" vertical="top" wrapText="1"/>
    </xf>
    <xf numFmtId="165" fontId="7" fillId="0" borderId="36" xfId="0" applyNumberFormat="1" applyFont="1" applyBorder="1" applyAlignment="1">
      <alignment horizontal="right" vertical="top" wrapText="1"/>
    </xf>
    <xf numFmtId="165" fontId="7" fillId="0" borderId="31" xfId="0" applyNumberFormat="1" applyFont="1" applyBorder="1" applyAlignment="1">
      <alignment horizontal="center" vertical="top" wrapText="1"/>
    </xf>
    <xf numFmtId="190" fontId="0" fillId="0" borderId="0" xfId="0" applyNumberFormat="1" applyAlignment="1">
      <alignment/>
    </xf>
    <xf numFmtId="0" fontId="7" fillId="0" borderId="56" xfId="0" applyFont="1" applyBorder="1" applyAlignment="1">
      <alignment vertical="center" wrapText="1"/>
    </xf>
    <xf numFmtId="49" fontId="7" fillId="0" borderId="57" xfId="0" applyNumberFormat="1" applyFont="1" applyBorder="1" applyAlignment="1">
      <alignment vertical="center" wrapText="1"/>
    </xf>
    <xf numFmtId="49" fontId="7" fillId="0" borderId="58" xfId="0" applyNumberFormat="1" applyFont="1" applyFill="1" applyBorder="1" applyAlignment="1">
      <alignment vertical="center" wrapText="1"/>
    </xf>
    <xf numFmtId="164" fontId="40" fillId="0" borderId="53" xfId="0" applyNumberFormat="1" applyFont="1" applyFill="1" applyBorder="1" applyAlignment="1">
      <alignment horizontal="center" vertical="center" wrapText="1"/>
    </xf>
    <xf numFmtId="164" fontId="40" fillId="0" borderId="5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5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 vertical="justify" wrapText="1"/>
      <protection/>
    </xf>
    <xf numFmtId="0" fontId="12" fillId="0" borderId="0" xfId="56" applyFont="1" applyAlignment="1">
      <alignment horizontal="center" vertical="justify"/>
      <protection/>
    </xf>
    <xf numFmtId="0" fontId="7" fillId="0" borderId="50" xfId="56" applyFont="1" applyBorder="1" applyAlignment="1">
      <alignment horizontal="center" vertical="center" wrapText="1"/>
      <protection/>
    </xf>
    <xf numFmtId="0" fontId="7" fillId="0" borderId="60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center" vertical="center" wrapText="1"/>
      <protection/>
    </xf>
    <xf numFmtId="49" fontId="37" fillId="0" borderId="15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693"/>
  <sheetViews>
    <sheetView zoomScalePageLayoutView="0" workbookViewId="0" topLeftCell="A653">
      <selection activeCell="F5" sqref="F5:G5"/>
    </sheetView>
  </sheetViews>
  <sheetFormatPr defaultColWidth="9.125" defaultRowHeight="12.75"/>
  <cols>
    <col min="1" max="1" width="69.125" style="67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3.875" style="3" customWidth="1"/>
    <col min="8" max="8" width="6.125" style="3" hidden="1" customWidth="1"/>
    <col min="9" max="9" width="10.25390625" style="3" hidden="1" customWidth="1"/>
    <col min="10" max="10" width="13.25390625" style="37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5" width="12.625" style="0" hidden="1" customWidth="1"/>
    <col min="16" max="16" width="9.125" style="0" customWidth="1"/>
  </cols>
  <sheetData>
    <row r="1" spans="6:7" ht="12.75">
      <c r="F1" s="16" t="s">
        <v>459</v>
      </c>
      <c r="G1" s="36"/>
    </row>
    <row r="2" spans="6:7" ht="12.75">
      <c r="F2" s="4" t="s">
        <v>744</v>
      </c>
      <c r="G2" s="36"/>
    </row>
    <row r="3" spans="6:7" ht="12.75">
      <c r="F3" s="4" t="s">
        <v>250</v>
      </c>
      <c r="G3" s="36"/>
    </row>
    <row r="4" spans="6:7" ht="12.75">
      <c r="F4" s="4" t="s">
        <v>251</v>
      </c>
      <c r="G4" s="36"/>
    </row>
    <row r="5" spans="6:9" ht="12.75">
      <c r="F5" s="421" t="s">
        <v>745</v>
      </c>
      <c r="G5" s="421"/>
      <c r="H5" s="5"/>
      <c r="I5" s="5"/>
    </row>
    <row r="6" spans="3:6" ht="12.75">
      <c r="C6" s="6" t="s">
        <v>710</v>
      </c>
      <c r="F6" s="4"/>
    </row>
    <row r="7" spans="3:6" ht="12.75">
      <c r="C7" s="6" t="s">
        <v>252</v>
      </c>
      <c r="F7" s="7"/>
    </row>
    <row r="8" spans="3:6" ht="12.75">
      <c r="C8" s="6" t="s">
        <v>253</v>
      </c>
      <c r="F8" s="7"/>
    </row>
    <row r="9" ht="12.75">
      <c r="C9" s="8" t="s">
        <v>254</v>
      </c>
    </row>
    <row r="10" spans="2:9" ht="16.5" thickBot="1">
      <c r="B10" s="9"/>
      <c r="G10" s="5"/>
      <c r="H10" s="5"/>
      <c r="I10" s="5"/>
    </row>
    <row r="11" spans="1:15" ht="15" thickBot="1">
      <c r="A11" s="422" t="s">
        <v>255</v>
      </c>
      <c r="B11" s="322"/>
      <c r="C11" s="313" t="s">
        <v>580</v>
      </c>
      <c r="D11" s="314"/>
      <c r="E11" s="314"/>
      <c r="F11" s="315"/>
      <c r="G11" s="123" t="s">
        <v>257</v>
      </c>
      <c r="H11" s="10" t="s">
        <v>258</v>
      </c>
      <c r="I11" s="10" t="s">
        <v>259</v>
      </c>
      <c r="O11" s="66"/>
    </row>
    <row r="12" spans="1:9" ht="42" customHeight="1" thickBot="1">
      <c r="A12" s="423"/>
      <c r="B12" s="391" t="s">
        <v>260</v>
      </c>
      <c r="C12" s="323" t="s">
        <v>261</v>
      </c>
      <c r="D12" s="316" t="s">
        <v>262</v>
      </c>
      <c r="E12" s="316" t="s">
        <v>263</v>
      </c>
      <c r="F12" s="175" t="s">
        <v>484</v>
      </c>
      <c r="G12" s="124" t="s">
        <v>711</v>
      </c>
      <c r="H12" s="11" t="s">
        <v>424</v>
      </c>
      <c r="I12" s="11" t="s">
        <v>425</v>
      </c>
    </row>
    <row r="13" spans="1:13" s="13" customFormat="1" ht="15.75">
      <c r="A13" s="392" t="s">
        <v>426</v>
      </c>
      <c r="B13" s="349"/>
      <c r="C13" s="163" t="s">
        <v>427</v>
      </c>
      <c r="D13" s="155"/>
      <c r="E13" s="155"/>
      <c r="F13" s="164"/>
      <c r="G13" s="341">
        <f>SUM(G14+G18+G25+G47+G61+G64)+G56</f>
        <v>196908.9</v>
      </c>
      <c r="H13" s="12" t="e">
        <f>SUM(H14+H18+H25+H44+H47+H61+H64+#REF!+H56)</f>
        <v>#REF!</v>
      </c>
      <c r="I13" s="12" t="e">
        <f>SUM(H13/G13*100)</f>
        <v>#REF!</v>
      </c>
      <c r="K13" s="69">
        <f>SUM(J14:J87)</f>
        <v>196908.89999999997</v>
      </c>
      <c r="L13" s="13">
        <f>SUM('ведомствен.2015'!G12+'ведомствен.2015'!G36+'ведомствен.2015'!G55+'ведомствен.2015'!G296)</f>
        <v>196908.89999999997</v>
      </c>
      <c r="M13" s="69">
        <f>SUM(L13-K13)</f>
        <v>0</v>
      </c>
    </row>
    <row r="14" spans="1:15" ht="28.5">
      <c r="A14" s="371" t="s">
        <v>428</v>
      </c>
      <c r="B14" s="350"/>
      <c r="C14" s="68" t="s">
        <v>427</v>
      </c>
      <c r="D14" s="107" t="s">
        <v>429</v>
      </c>
      <c r="E14" s="107"/>
      <c r="F14" s="165"/>
      <c r="G14" s="216">
        <f>SUM(G15)</f>
        <v>1725</v>
      </c>
      <c r="H14" s="14">
        <f>SUM(H15)</f>
        <v>983.5</v>
      </c>
      <c r="I14" s="14">
        <f>SUM(H14/G14*100)</f>
        <v>57.014492753623195</v>
      </c>
      <c r="J14"/>
      <c r="M14" s="311">
        <f>SUM(G13-K13)</f>
        <v>2.9103830456733704E-11</v>
      </c>
      <c r="O14" s="66" t="e">
        <f>SUM(G14+G18+G25+G47+#REF!)</f>
        <v>#REF!</v>
      </c>
    </row>
    <row r="15" spans="1:10" ht="42.75">
      <c r="A15" s="371" t="s">
        <v>96</v>
      </c>
      <c r="B15" s="350"/>
      <c r="C15" s="68" t="s">
        <v>427</v>
      </c>
      <c r="D15" s="107" t="s">
        <v>429</v>
      </c>
      <c r="E15" s="107" t="s">
        <v>97</v>
      </c>
      <c r="F15" s="165"/>
      <c r="G15" s="216">
        <f>SUM(G17)</f>
        <v>1725</v>
      </c>
      <c r="H15" s="14">
        <f>SUM(H17:H17)</f>
        <v>983.5</v>
      </c>
      <c r="I15" s="14">
        <f aca="true" t="shared" si="0" ref="I15:I54">SUM(H15/G15*100)</f>
        <v>57.014492753623195</v>
      </c>
      <c r="J15"/>
    </row>
    <row r="16" spans="1:10" ht="15">
      <c r="A16" s="371" t="s">
        <v>98</v>
      </c>
      <c r="B16" s="350"/>
      <c r="C16" s="68" t="s">
        <v>427</v>
      </c>
      <c r="D16" s="107" t="s">
        <v>429</v>
      </c>
      <c r="E16" s="107" t="s">
        <v>99</v>
      </c>
      <c r="F16" s="165"/>
      <c r="G16" s="216">
        <f>SUM(G17)</f>
        <v>1725</v>
      </c>
      <c r="H16" s="14">
        <f>SUM(H17)</f>
        <v>983.5</v>
      </c>
      <c r="I16" s="14">
        <f t="shared" si="0"/>
        <v>57.014492753623195</v>
      </c>
      <c r="J16"/>
    </row>
    <row r="17" spans="1:10" ht="28.5">
      <c r="A17" s="371" t="s">
        <v>470</v>
      </c>
      <c r="B17" s="350"/>
      <c r="C17" s="68" t="s">
        <v>427</v>
      </c>
      <c r="D17" s="107" t="s">
        <v>429</v>
      </c>
      <c r="E17" s="107" t="s">
        <v>99</v>
      </c>
      <c r="F17" s="165" t="s">
        <v>471</v>
      </c>
      <c r="G17" s="216">
        <v>1725</v>
      </c>
      <c r="H17" s="14">
        <v>983.5</v>
      </c>
      <c r="I17" s="14">
        <f t="shared" si="0"/>
        <v>57.014492753623195</v>
      </c>
      <c r="J17" s="37">
        <f>SUM('ведомствен.2015'!G16)</f>
        <v>1725</v>
      </c>
    </row>
    <row r="18" spans="1:10" ht="42.75">
      <c r="A18" s="371" t="s">
        <v>102</v>
      </c>
      <c r="B18" s="350"/>
      <c r="C18" s="68" t="s">
        <v>427</v>
      </c>
      <c r="D18" s="107" t="s">
        <v>103</v>
      </c>
      <c r="E18" s="107"/>
      <c r="F18" s="165"/>
      <c r="G18" s="216">
        <f>SUM(G19)</f>
        <v>11601.1</v>
      </c>
      <c r="H18" s="14">
        <f>SUM(H19)</f>
        <v>8231.8</v>
      </c>
      <c r="I18" s="14">
        <f t="shared" si="0"/>
        <v>70.95706441630534</v>
      </c>
      <c r="J18"/>
    </row>
    <row r="19" spans="1:10" ht="42.75">
      <c r="A19" s="371" t="s">
        <v>96</v>
      </c>
      <c r="B19" s="350"/>
      <c r="C19" s="68" t="s">
        <v>427</v>
      </c>
      <c r="D19" s="107" t="s">
        <v>103</v>
      </c>
      <c r="E19" s="107" t="s">
        <v>97</v>
      </c>
      <c r="F19" s="166"/>
      <c r="G19" s="216">
        <f>SUM(G20+G23)</f>
        <v>11601.1</v>
      </c>
      <c r="H19" s="14">
        <f>SUM(H20+H23)</f>
        <v>8231.8</v>
      </c>
      <c r="I19" s="14">
        <f t="shared" si="0"/>
        <v>70.95706441630534</v>
      </c>
      <c r="J19"/>
    </row>
    <row r="20" spans="1:10" ht="15">
      <c r="A20" s="371" t="s">
        <v>104</v>
      </c>
      <c r="B20" s="350"/>
      <c r="C20" s="68" t="s">
        <v>105</v>
      </c>
      <c r="D20" s="107" t="s">
        <v>103</v>
      </c>
      <c r="E20" s="107" t="s">
        <v>106</v>
      </c>
      <c r="F20" s="166"/>
      <c r="G20" s="216">
        <f>SUM(G21)+G22</f>
        <v>11601.1</v>
      </c>
      <c r="H20" s="14">
        <f>SUM(H21)</f>
        <v>8068.7</v>
      </c>
      <c r="I20" s="14">
        <f t="shared" si="0"/>
        <v>69.55116325176061</v>
      </c>
      <c r="J20"/>
    </row>
    <row r="21" spans="1:10" ht="28.5">
      <c r="A21" s="371" t="s">
        <v>470</v>
      </c>
      <c r="B21" s="350"/>
      <c r="C21" s="68" t="s">
        <v>427</v>
      </c>
      <c r="D21" s="107" t="s">
        <v>103</v>
      </c>
      <c r="E21" s="107" t="s">
        <v>106</v>
      </c>
      <c r="F21" s="165" t="s">
        <v>471</v>
      </c>
      <c r="G21" s="216">
        <v>11591.5</v>
      </c>
      <c r="H21" s="14">
        <v>8068.7</v>
      </c>
      <c r="I21" s="14">
        <f t="shared" si="0"/>
        <v>69.60876504335073</v>
      </c>
      <c r="J21" s="37">
        <f>SUM('ведомствен.2015'!G20)</f>
        <v>11591.5</v>
      </c>
    </row>
    <row r="22" spans="1:10" ht="15">
      <c r="A22" s="371" t="s">
        <v>475</v>
      </c>
      <c r="B22" s="350"/>
      <c r="C22" s="68" t="s">
        <v>427</v>
      </c>
      <c r="D22" s="107" t="s">
        <v>103</v>
      </c>
      <c r="E22" s="107" t="s">
        <v>106</v>
      </c>
      <c r="F22" s="165" t="s">
        <v>117</v>
      </c>
      <c r="G22" s="217">
        <v>9.6</v>
      </c>
      <c r="H22" s="14"/>
      <c r="I22" s="14"/>
      <c r="J22" s="37">
        <f>SUM('ведомствен.2015'!G21)</f>
        <v>9.6</v>
      </c>
    </row>
    <row r="23" spans="1:10" ht="15" hidden="1">
      <c r="A23" s="371" t="s">
        <v>107</v>
      </c>
      <c r="B23" s="350"/>
      <c r="C23" s="68" t="s">
        <v>105</v>
      </c>
      <c r="D23" s="107" t="s">
        <v>103</v>
      </c>
      <c r="E23" s="107" t="s">
        <v>108</v>
      </c>
      <c r="F23" s="165"/>
      <c r="G23" s="217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371" t="s">
        <v>100</v>
      </c>
      <c r="B24" s="350"/>
      <c r="C24" s="68" t="s">
        <v>105</v>
      </c>
      <c r="D24" s="107" t="s">
        <v>103</v>
      </c>
      <c r="E24" s="107" t="s">
        <v>108</v>
      </c>
      <c r="F24" s="165" t="s">
        <v>101</v>
      </c>
      <c r="G24" s="217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371" t="s">
        <v>236</v>
      </c>
      <c r="B25" s="350"/>
      <c r="C25" s="68" t="s">
        <v>427</v>
      </c>
      <c r="D25" s="107" t="s">
        <v>119</v>
      </c>
      <c r="E25" s="107"/>
      <c r="F25" s="165"/>
      <c r="G25" s="216">
        <f>SUM(G26)</f>
        <v>96659.19999999998</v>
      </c>
      <c r="H25" s="14">
        <f>SUM(H26)+H41+H39</f>
        <v>52319.90000000001</v>
      </c>
      <c r="I25" s="14">
        <f t="shared" si="0"/>
        <v>54.12821542077735</v>
      </c>
      <c r="J25"/>
    </row>
    <row r="26" spans="1:10" ht="42.75">
      <c r="A26" s="371" t="s">
        <v>96</v>
      </c>
      <c r="B26" s="350"/>
      <c r="C26" s="68" t="s">
        <v>427</v>
      </c>
      <c r="D26" s="107" t="s">
        <v>119</v>
      </c>
      <c r="E26" s="107" t="s">
        <v>97</v>
      </c>
      <c r="F26" s="166"/>
      <c r="G26" s="216">
        <f>SUM(G27+G42+G30+G33+G36+G39)</f>
        <v>96659.19999999998</v>
      </c>
      <c r="H26" s="14">
        <f>SUM(H27+H37)</f>
        <v>51899.200000000004</v>
      </c>
      <c r="I26" s="14">
        <f t="shared" si="0"/>
        <v>53.692974905647894</v>
      </c>
      <c r="J26"/>
    </row>
    <row r="27" spans="1:10" ht="15">
      <c r="A27" s="371" t="s">
        <v>104</v>
      </c>
      <c r="B27" s="350"/>
      <c r="C27" s="68" t="s">
        <v>427</v>
      </c>
      <c r="D27" s="107" t="s">
        <v>119</v>
      </c>
      <c r="E27" s="107" t="s">
        <v>106</v>
      </c>
      <c r="F27" s="166"/>
      <c r="G27" s="216">
        <f>SUM(G28+G29)</f>
        <v>93349.59999999999</v>
      </c>
      <c r="H27" s="14">
        <f>SUM(H28:H28+H29+H31+H34)+H30</f>
        <v>51161.8</v>
      </c>
      <c r="I27" s="14">
        <f t="shared" si="0"/>
        <v>54.8066622674334</v>
      </c>
      <c r="J27"/>
    </row>
    <row r="28" spans="1:10" ht="28.5">
      <c r="A28" s="371" t="s">
        <v>470</v>
      </c>
      <c r="B28" s="350"/>
      <c r="C28" s="68" t="s">
        <v>427</v>
      </c>
      <c r="D28" s="107" t="s">
        <v>119</v>
      </c>
      <c r="E28" s="107" t="s">
        <v>106</v>
      </c>
      <c r="F28" s="165" t="s">
        <v>471</v>
      </c>
      <c r="G28" s="216">
        <v>93253.4</v>
      </c>
      <c r="H28" s="14">
        <v>50612.1</v>
      </c>
      <c r="I28" s="14">
        <f t="shared" si="0"/>
        <v>54.27373157439837</v>
      </c>
      <c r="J28" s="37">
        <f>SUM('ведомствен.2015'!G59)</f>
        <v>93253.4</v>
      </c>
    </row>
    <row r="29" spans="1:10" ht="15">
      <c r="A29" s="371" t="s">
        <v>475</v>
      </c>
      <c r="B29" s="350"/>
      <c r="C29" s="68" t="s">
        <v>427</v>
      </c>
      <c r="D29" s="107" t="s">
        <v>119</v>
      </c>
      <c r="E29" s="107" t="s">
        <v>106</v>
      </c>
      <c r="F29" s="165" t="s">
        <v>117</v>
      </c>
      <c r="G29" s="217">
        <v>96.2</v>
      </c>
      <c r="H29" s="14">
        <v>507.8</v>
      </c>
      <c r="I29" s="14">
        <f t="shared" si="0"/>
        <v>527.8586278586279</v>
      </c>
      <c r="J29" s="37">
        <f>SUM('ведомствен.2015'!G60)</f>
        <v>96.2</v>
      </c>
    </row>
    <row r="30" spans="1:9" ht="42.75">
      <c r="A30" s="371" t="s">
        <v>123</v>
      </c>
      <c r="B30" s="350"/>
      <c r="C30" s="68" t="s">
        <v>427</v>
      </c>
      <c r="D30" s="107" t="s">
        <v>119</v>
      </c>
      <c r="E30" s="107" t="s">
        <v>124</v>
      </c>
      <c r="F30" s="165"/>
      <c r="G30" s="216">
        <f>SUM(G31:G32)</f>
        <v>1392.3999999999999</v>
      </c>
      <c r="H30" s="14"/>
      <c r="I30" s="14">
        <f t="shared" si="0"/>
        <v>0</v>
      </c>
    </row>
    <row r="31" spans="1:10" ht="28.5">
      <c r="A31" s="371" t="s">
        <v>470</v>
      </c>
      <c r="B31" s="350"/>
      <c r="C31" s="68" t="s">
        <v>427</v>
      </c>
      <c r="D31" s="107" t="s">
        <v>119</v>
      </c>
      <c r="E31" s="107" t="s">
        <v>124</v>
      </c>
      <c r="F31" s="165" t="s">
        <v>471</v>
      </c>
      <c r="G31" s="216">
        <v>1368.8</v>
      </c>
      <c r="H31" s="14">
        <v>41.9</v>
      </c>
      <c r="I31" s="14">
        <f t="shared" si="0"/>
        <v>3.061075394506137</v>
      </c>
      <c r="J31" s="37">
        <f>SUM('ведомствен.2015'!G62)</f>
        <v>1368.8</v>
      </c>
    </row>
    <row r="32" spans="1:10" ht="15">
      <c r="A32" s="371" t="s">
        <v>475</v>
      </c>
      <c r="B32" s="350"/>
      <c r="C32" s="68" t="s">
        <v>427</v>
      </c>
      <c r="D32" s="107" t="s">
        <v>119</v>
      </c>
      <c r="E32" s="107" t="s">
        <v>124</v>
      </c>
      <c r="F32" s="165" t="s">
        <v>117</v>
      </c>
      <c r="G32" s="217">
        <v>23.6</v>
      </c>
      <c r="H32" s="14"/>
      <c r="I32" s="14">
        <f>SUM(H32/G32*100)</f>
        <v>0</v>
      </c>
      <c r="J32" s="37">
        <f>SUM('ведомствен.2015'!G63)</f>
        <v>23.6</v>
      </c>
    </row>
    <row r="33" spans="1:9" ht="42.75">
      <c r="A33" s="371" t="s">
        <v>351</v>
      </c>
      <c r="B33" s="350"/>
      <c r="C33" s="68" t="s">
        <v>427</v>
      </c>
      <c r="D33" s="107" t="s">
        <v>119</v>
      </c>
      <c r="E33" s="107" t="s">
        <v>352</v>
      </c>
      <c r="F33" s="165"/>
      <c r="G33" s="216">
        <f>SUM(G34:G35)</f>
        <v>93.8</v>
      </c>
      <c r="H33" s="14"/>
      <c r="I33" s="14"/>
    </row>
    <row r="34" spans="1:10" ht="28.5">
      <c r="A34" s="371" t="s">
        <v>470</v>
      </c>
      <c r="B34" s="350"/>
      <c r="C34" s="68" t="s">
        <v>427</v>
      </c>
      <c r="D34" s="107" t="s">
        <v>119</v>
      </c>
      <c r="E34" s="107" t="s">
        <v>352</v>
      </c>
      <c r="F34" s="165" t="s">
        <v>471</v>
      </c>
      <c r="G34" s="216">
        <v>72.3</v>
      </c>
      <c r="H34" s="14"/>
      <c r="I34" s="14">
        <f t="shared" si="0"/>
        <v>0</v>
      </c>
      <c r="J34" s="37">
        <f>SUM('ведомствен.2015'!G65)</f>
        <v>72.3</v>
      </c>
    </row>
    <row r="35" spans="1:10" ht="15">
      <c r="A35" s="371" t="s">
        <v>475</v>
      </c>
      <c r="B35" s="350"/>
      <c r="C35" s="68" t="s">
        <v>427</v>
      </c>
      <c r="D35" s="107" t="s">
        <v>119</v>
      </c>
      <c r="E35" s="107" t="s">
        <v>352</v>
      </c>
      <c r="F35" s="165" t="s">
        <v>117</v>
      </c>
      <c r="G35" s="217">
        <v>21.5</v>
      </c>
      <c r="H35" s="14"/>
      <c r="I35" s="14"/>
      <c r="J35" s="37">
        <f>SUM('ведомствен.2015'!G66)</f>
        <v>21.5</v>
      </c>
    </row>
    <row r="36" spans="1:9" ht="28.5">
      <c r="A36" s="194" t="s">
        <v>60</v>
      </c>
      <c r="B36" s="215"/>
      <c r="C36" s="106" t="s">
        <v>427</v>
      </c>
      <c r="D36" s="156" t="s">
        <v>119</v>
      </c>
      <c r="E36" s="156" t="s">
        <v>61</v>
      </c>
      <c r="F36" s="166"/>
      <c r="G36" s="216">
        <f>SUM(G37:G38)</f>
        <v>179.2</v>
      </c>
      <c r="H36" s="14"/>
      <c r="I36" s="14"/>
    </row>
    <row r="37" spans="1:10" ht="28.5">
      <c r="A37" s="371" t="s">
        <v>470</v>
      </c>
      <c r="B37" s="350"/>
      <c r="C37" s="68" t="s">
        <v>427</v>
      </c>
      <c r="D37" s="107" t="s">
        <v>119</v>
      </c>
      <c r="E37" s="156" t="s">
        <v>61</v>
      </c>
      <c r="F37" s="165" t="s">
        <v>471</v>
      </c>
      <c r="G37" s="216">
        <v>140</v>
      </c>
      <c r="H37" s="14">
        <f>SUM(H38)</f>
        <v>737.4</v>
      </c>
      <c r="I37" s="14">
        <f t="shared" si="0"/>
        <v>526.7142857142857</v>
      </c>
      <c r="J37" s="37">
        <f>SUM('ведомствен.2015'!G68)</f>
        <v>140</v>
      </c>
    </row>
    <row r="38" spans="1:10" ht="15">
      <c r="A38" s="371" t="s">
        <v>475</v>
      </c>
      <c r="B38" s="350"/>
      <c r="C38" s="68" t="s">
        <v>427</v>
      </c>
      <c r="D38" s="107" t="s">
        <v>119</v>
      </c>
      <c r="E38" s="156" t="s">
        <v>61</v>
      </c>
      <c r="F38" s="165" t="s">
        <v>117</v>
      </c>
      <c r="G38" s="217">
        <v>39.2</v>
      </c>
      <c r="H38" s="14">
        <v>737.4</v>
      </c>
      <c r="I38" s="14">
        <f t="shared" si="0"/>
        <v>1881.1224489795916</v>
      </c>
      <c r="J38" s="37">
        <f>SUM('ведомствен.2015'!G69)</f>
        <v>39.2</v>
      </c>
    </row>
    <row r="39" spans="1:10" ht="28.5">
      <c r="A39" s="194" t="s">
        <v>143</v>
      </c>
      <c r="B39" s="215"/>
      <c r="C39" s="106" t="s">
        <v>427</v>
      </c>
      <c r="D39" s="156" t="s">
        <v>119</v>
      </c>
      <c r="E39" s="156" t="s">
        <v>144</v>
      </c>
      <c r="F39" s="166"/>
      <c r="G39" s="216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28.5">
      <c r="A40" s="371" t="s">
        <v>470</v>
      </c>
      <c r="B40" s="350"/>
      <c r="C40" s="68" t="s">
        <v>427</v>
      </c>
      <c r="D40" s="107" t="s">
        <v>119</v>
      </c>
      <c r="E40" s="156" t="s">
        <v>144</v>
      </c>
      <c r="F40" s="165" t="s">
        <v>471</v>
      </c>
      <c r="G40" s="216">
        <v>288.8</v>
      </c>
      <c r="H40" s="14">
        <v>264.8</v>
      </c>
      <c r="I40" s="14">
        <f t="shared" si="0"/>
        <v>91.68975069252078</v>
      </c>
      <c r="J40" s="37">
        <f>SUM('ведомствен.2015'!G71)</f>
        <v>288.8</v>
      </c>
    </row>
    <row r="41" spans="1:10" ht="15">
      <c r="A41" s="371" t="s">
        <v>475</v>
      </c>
      <c r="B41" s="350"/>
      <c r="C41" s="68" t="s">
        <v>427</v>
      </c>
      <c r="D41" s="107" t="s">
        <v>119</v>
      </c>
      <c r="E41" s="156" t="s">
        <v>144</v>
      </c>
      <c r="F41" s="165" t="s">
        <v>117</v>
      </c>
      <c r="G41" s="217">
        <v>68.9</v>
      </c>
      <c r="H41" s="14">
        <f>SUM(H42)</f>
        <v>155.9</v>
      </c>
      <c r="I41" s="14">
        <f t="shared" si="0"/>
        <v>226.26995645863568</v>
      </c>
      <c r="J41" s="37">
        <f>SUM('ведомствен.2015'!G72)</f>
        <v>68.9</v>
      </c>
    </row>
    <row r="42" spans="1:10" ht="28.5">
      <c r="A42" s="371" t="s">
        <v>353</v>
      </c>
      <c r="B42" s="350"/>
      <c r="C42" s="68" t="s">
        <v>105</v>
      </c>
      <c r="D42" s="107" t="s">
        <v>119</v>
      </c>
      <c r="E42" s="107" t="s">
        <v>354</v>
      </c>
      <c r="F42" s="166"/>
      <c r="G42" s="216">
        <f>SUM(G43)</f>
        <v>1286.5</v>
      </c>
      <c r="H42" s="14">
        <f>SUM(H43:H43)</f>
        <v>155.9</v>
      </c>
      <c r="I42" s="14">
        <f t="shared" si="0"/>
        <v>12.11815001943257</v>
      </c>
      <c r="J42"/>
    </row>
    <row r="43" spans="1:10" ht="42" customHeight="1">
      <c r="A43" s="371" t="s">
        <v>470</v>
      </c>
      <c r="B43" s="350"/>
      <c r="C43" s="68" t="s">
        <v>427</v>
      </c>
      <c r="D43" s="107" t="s">
        <v>119</v>
      </c>
      <c r="E43" s="107" t="s">
        <v>354</v>
      </c>
      <c r="F43" s="165" t="s">
        <v>471</v>
      </c>
      <c r="G43" s="216">
        <v>1286.5</v>
      </c>
      <c r="H43" s="14">
        <v>155.9</v>
      </c>
      <c r="I43" s="14">
        <f t="shared" si="0"/>
        <v>12.11815001943257</v>
      </c>
      <c r="J43" s="37">
        <f>SUM('ведомствен.2015'!G74)</f>
        <v>1286.5</v>
      </c>
    </row>
    <row r="44" spans="1:10" ht="15" hidden="1">
      <c r="A44" s="371" t="s">
        <v>127</v>
      </c>
      <c r="B44" s="350"/>
      <c r="C44" s="68" t="s">
        <v>427</v>
      </c>
      <c r="D44" s="107" t="s">
        <v>128</v>
      </c>
      <c r="E44" s="107"/>
      <c r="F44" s="166"/>
      <c r="G44" s="217">
        <f>SUM(G45)</f>
        <v>0</v>
      </c>
      <c r="H44" s="14" t="e">
        <f>SUM(H45)</f>
        <v>#REF!</v>
      </c>
      <c r="I44" s="14" t="e">
        <f t="shared" si="0"/>
        <v>#REF!</v>
      </c>
      <c r="J44"/>
    </row>
    <row r="45" spans="1:10" ht="42.75" hidden="1">
      <c r="A45" s="372" t="s">
        <v>230</v>
      </c>
      <c r="B45" s="350"/>
      <c r="C45" s="68" t="s">
        <v>427</v>
      </c>
      <c r="D45" s="107" t="s">
        <v>128</v>
      </c>
      <c r="E45" s="107" t="s">
        <v>357</v>
      </c>
      <c r="F45" s="166"/>
      <c r="G45" s="217">
        <f>SUM(G46)</f>
        <v>0</v>
      </c>
      <c r="H45" s="14" t="e">
        <f>SUM(H46)</f>
        <v>#REF!</v>
      </c>
      <c r="I45" s="14" t="e">
        <f t="shared" si="0"/>
        <v>#REF!</v>
      </c>
      <c r="J45"/>
    </row>
    <row r="46" spans="1:10" ht="15" hidden="1">
      <c r="A46" s="371" t="s">
        <v>100</v>
      </c>
      <c r="B46" s="350"/>
      <c r="C46" s="68" t="s">
        <v>427</v>
      </c>
      <c r="D46" s="107" t="s">
        <v>128</v>
      </c>
      <c r="E46" s="107" t="s">
        <v>357</v>
      </c>
      <c r="F46" s="165" t="s">
        <v>101</v>
      </c>
      <c r="G46" s="217"/>
      <c r="H46" s="14" t="e">
        <f>SUM('[1]Ведомств.'!G83)</f>
        <v>#REF!</v>
      </c>
      <c r="I46" s="14" t="e">
        <f t="shared" si="0"/>
        <v>#REF!</v>
      </c>
      <c r="J46" s="37">
        <f>SUM('ведомствен.2015'!G77)</f>
        <v>0</v>
      </c>
    </row>
    <row r="47" spans="1:9" s="15" customFormat="1" ht="28.5">
      <c r="A47" s="371" t="s">
        <v>358</v>
      </c>
      <c r="B47" s="350"/>
      <c r="C47" s="68" t="s">
        <v>427</v>
      </c>
      <c r="D47" s="107" t="s">
        <v>359</v>
      </c>
      <c r="E47" s="107"/>
      <c r="F47" s="165"/>
      <c r="G47" s="216">
        <f>SUM(G48)</f>
        <v>24265.2</v>
      </c>
      <c r="H47" s="14">
        <f>SUM(H48)</f>
        <v>12415.9</v>
      </c>
      <c r="I47" s="14">
        <f t="shared" si="0"/>
        <v>51.16751561907588</v>
      </c>
    </row>
    <row r="48" spans="1:9" s="15" customFormat="1" ht="42.75">
      <c r="A48" s="371" t="s">
        <v>96</v>
      </c>
      <c r="B48" s="350"/>
      <c r="C48" s="68" t="s">
        <v>427</v>
      </c>
      <c r="D48" s="107" t="s">
        <v>359</v>
      </c>
      <c r="E48" s="107" t="s">
        <v>97</v>
      </c>
      <c r="F48" s="165"/>
      <c r="G48" s="216">
        <f>SUM(G49)+G52+G54</f>
        <v>24265.2</v>
      </c>
      <c r="H48" s="14">
        <f>SUM(H49+H54)</f>
        <v>12415.9</v>
      </c>
      <c r="I48" s="14">
        <f t="shared" si="0"/>
        <v>51.16751561907588</v>
      </c>
    </row>
    <row r="49" spans="1:9" s="15" customFormat="1" ht="15">
      <c r="A49" s="371" t="s">
        <v>104</v>
      </c>
      <c r="B49" s="350"/>
      <c r="C49" s="68" t="s">
        <v>427</v>
      </c>
      <c r="D49" s="107" t="s">
        <v>359</v>
      </c>
      <c r="E49" s="107" t="s">
        <v>106</v>
      </c>
      <c r="F49" s="165"/>
      <c r="G49" s="216">
        <f>SUM(G50+G51)</f>
        <v>22573.2</v>
      </c>
      <c r="H49" s="14">
        <f>SUM(H50+H52)</f>
        <v>11864.3</v>
      </c>
      <c r="I49" s="14">
        <f t="shared" si="0"/>
        <v>52.55922952882178</v>
      </c>
    </row>
    <row r="50" spans="1:10" s="15" customFormat="1" ht="28.5">
      <c r="A50" s="371" t="s">
        <v>470</v>
      </c>
      <c r="B50" s="350"/>
      <c r="C50" s="68" t="s">
        <v>105</v>
      </c>
      <c r="D50" s="107" t="s">
        <v>359</v>
      </c>
      <c r="E50" s="107" t="s">
        <v>106</v>
      </c>
      <c r="F50" s="167" t="s">
        <v>471</v>
      </c>
      <c r="G50" s="216">
        <v>22559.4</v>
      </c>
      <c r="H50" s="14">
        <v>2278</v>
      </c>
      <c r="I50" s="14">
        <f t="shared" si="0"/>
        <v>10.097786288642428</v>
      </c>
      <c r="J50" s="38">
        <f>SUM('ведомствен.2015'!G40+'ведомствен.2015'!G300)</f>
        <v>22559.4</v>
      </c>
    </row>
    <row r="51" spans="1:10" s="15" customFormat="1" ht="15" hidden="1">
      <c r="A51" s="371" t="s">
        <v>475</v>
      </c>
      <c r="B51" s="350"/>
      <c r="C51" s="68" t="s">
        <v>427</v>
      </c>
      <c r="D51" s="107" t="s">
        <v>359</v>
      </c>
      <c r="E51" s="107" t="s">
        <v>106</v>
      </c>
      <c r="F51" s="165" t="s">
        <v>117</v>
      </c>
      <c r="G51" s="217">
        <v>13.8</v>
      </c>
      <c r="H51" s="14"/>
      <c r="I51" s="14"/>
      <c r="J51" s="38">
        <f>SUM('ведомствен.2015'!G41+'ведомствен.2015'!G301)</f>
        <v>13.8</v>
      </c>
    </row>
    <row r="52" spans="1:10" ht="28.5" hidden="1">
      <c r="A52" s="371" t="s">
        <v>360</v>
      </c>
      <c r="B52" s="350"/>
      <c r="C52" s="68" t="s">
        <v>105</v>
      </c>
      <c r="D52" s="107" t="s">
        <v>359</v>
      </c>
      <c r="E52" s="107" t="s">
        <v>361</v>
      </c>
      <c r="F52" s="165"/>
      <c r="G52" s="216">
        <f>SUM(G53)</f>
        <v>0</v>
      </c>
      <c r="H52" s="14">
        <f>SUM(H53)</f>
        <v>9586.3</v>
      </c>
      <c r="I52" s="14" t="e">
        <f t="shared" si="0"/>
        <v>#DIV/0!</v>
      </c>
      <c r="J52"/>
    </row>
    <row r="53" spans="1:10" s="16" customFormat="1" ht="28.5" hidden="1">
      <c r="A53" s="371" t="s">
        <v>470</v>
      </c>
      <c r="B53" s="350"/>
      <c r="C53" s="68" t="s">
        <v>105</v>
      </c>
      <c r="D53" s="107" t="s">
        <v>359</v>
      </c>
      <c r="E53" s="107" t="s">
        <v>361</v>
      </c>
      <c r="F53" s="167" t="s">
        <v>471</v>
      </c>
      <c r="G53" s="216"/>
      <c r="H53" s="14">
        <v>9586.3</v>
      </c>
      <c r="I53" s="14" t="e">
        <f t="shared" si="0"/>
        <v>#DIV/0!</v>
      </c>
      <c r="J53" s="38">
        <f>SUM('ведомствен.2015'!G303)</f>
        <v>0</v>
      </c>
    </row>
    <row r="54" spans="1:10" ht="28.5">
      <c r="A54" s="371" t="s">
        <v>362</v>
      </c>
      <c r="B54" s="350"/>
      <c r="C54" s="68" t="s">
        <v>105</v>
      </c>
      <c r="D54" s="107" t="s">
        <v>359</v>
      </c>
      <c r="E54" s="107" t="s">
        <v>363</v>
      </c>
      <c r="F54" s="167"/>
      <c r="G54" s="216">
        <f>SUM(G55)</f>
        <v>1692</v>
      </c>
      <c r="H54" s="14">
        <f>SUM(H55)</f>
        <v>551.6</v>
      </c>
      <c r="I54" s="14">
        <f t="shared" si="0"/>
        <v>32.600472813238774</v>
      </c>
      <c r="J54"/>
    </row>
    <row r="55" spans="1:10" ht="28.5">
      <c r="A55" s="371" t="s">
        <v>470</v>
      </c>
      <c r="B55" s="350"/>
      <c r="C55" s="68" t="s">
        <v>105</v>
      </c>
      <c r="D55" s="107" t="s">
        <v>359</v>
      </c>
      <c r="E55" s="107" t="s">
        <v>363</v>
      </c>
      <c r="F55" s="165" t="s">
        <v>471</v>
      </c>
      <c r="G55" s="216">
        <v>1692</v>
      </c>
      <c r="H55" s="14">
        <v>551.6</v>
      </c>
      <c r="I55" s="14">
        <f aca="true" t="shared" si="1" ref="I55:I88">SUM(H55/G55*100)</f>
        <v>32.600472813238774</v>
      </c>
      <c r="J55" s="37">
        <f>SUM('ведомствен.2015'!G43)</f>
        <v>1692</v>
      </c>
    </row>
    <row r="56" spans="1:10" ht="15">
      <c r="A56" s="194" t="s">
        <v>364</v>
      </c>
      <c r="B56" s="215"/>
      <c r="C56" s="106" t="s">
        <v>427</v>
      </c>
      <c r="D56" s="156" t="s">
        <v>114</v>
      </c>
      <c r="E56" s="156"/>
      <c r="F56" s="166"/>
      <c r="G56" s="217">
        <f>SUM(G57)</f>
        <v>7169.3</v>
      </c>
      <c r="H56" s="14" t="e">
        <f>SUM(#REF!)</f>
        <v>#REF!</v>
      </c>
      <c r="I56" s="14" t="e">
        <f t="shared" si="1"/>
        <v>#REF!</v>
      </c>
      <c r="J56"/>
    </row>
    <row r="57" spans="1:10" ht="28.5">
      <c r="A57" s="371" t="s">
        <v>365</v>
      </c>
      <c r="B57" s="350"/>
      <c r="C57" s="68" t="s">
        <v>427</v>
      </c>
      <c r="D57" s="107" t="s">
        <v>114</v>
      </c>
      <c r="E57" s="107" t="s">
        <v>606</v>
      </c>
      <c r="F57" s="165"/>
      <c r="G57" s="216">
        <f>SUM(G58)</f>
        <v>7169.3</v>
      </c>
      <c r="H57" s="14">
        <f>SUM(H58:H58)</f>
        <v>2142.4</v>
      </c>
      <c r="I57" s="14">
        <f t="shared" si="1"/>
        <v>29.882973233091096</v>
      </c>
      <c r="J57"/>
    </row>
    <row r="58" spans="1:10" ht="15">
      <c r="A58" s="194" t="s">
        <v>476</v>
      </c>
      <c r="B58" s="350"/>
      <c r="C58" s="68" t="s">
        <v>427</v>
      </c>
      <c r="D58" s="107" t="s">
        <v>114</v>
      </c>
      <c r="E58" s="107" t="s">
        <v>606</v>
      </c>
      <c r="F58" s="165" t="s">
        <v>166</v>
      </c>
      <c r="G58" s="216">
        <v>7169.3</v>
      </c>
      <c r="H58" s="14">
        <v>2142.4</v>
      </c>
      <c r="I58" s="14">
        <f t="shared" si="1"/>
        <v>29.882973233091096</v>
      </c>
      <c r="J58">
        <f>SUM('ведомствен.2015'!G80)</f>
        <v>7169.3</v>
      </c>
    </row>
    <row r="59" spans="1:10" ht="15" hidden="1">
      <c r="A59" s="371" t="s">
        <v>366</v>
      </c>
      <c r="B59" s="215"/>
      <c r="C59" s="106" t="s">
        <v>427</v>
      </c>
      <c r="D59" s="156" t="s">
        <v>114</v>
      </c>
      <c r="E59" s="156" t="s">
        <v>367</v>
      </c>
      <c r="F59" s="166"/>
      <c r="G59" s="217">
        <f>SUM(G60)</f>
        <v>0</v>
      </c>
      <c r="H59" s="14">
        <f>SUM(H60)</f>
        <v>2077.4</v>
      </c>
      <c r="I59" s="14" t="e">
        <f t="shared" si="1"/>
        <v>#DIV/0!</v>
      </c>
      <c r="J59"/>
    </row>
    <row r="60" spans="1:10" ht="15" hidden="1">
      <c r="A60" s="371" t="s">
        <v>100</v>
      </c>
      <c r="B60" s="215"/>
      <c r="C60" s="106" t="s">
        <v>427</v>
      </c>
      <c r="D60" s="156" t="s">
        <v>114</v>
      </c>
      <c r="E60" s="156" t="s">
        <v>367</v>
      </c>
      <c r="F60" s="166" t="s">
        <v>101</v>
      </c>
      <c r="G60" s="217"/>
      <c r="H60" s="14">
        <v>2077.4</v>
      </c>
      <c r="I60" s="14" t="e">
        <f t="shared" si="1"/>
        <v>#DIV/0!</v>
      </c>
      <c r="J60"/>
    </row>
    <row r="61" spans="1:9" s="15" customFormat="1" ht="15">
      <c r="A61" s="371" t="s">
        <v>373</v>
      </c>
      <c r="B61" s="350"/>
      <c r="C61" s="68" t="s">
        <v>427</v>
      </c>
      <c r="D61" s="107" t="s">
        <v>385</v>
      </c>
      <c r="E61" s="107"/>
      <c r="F61" s="165"/>
      <c r="G61" s="216">
        <f>SUM(G62)</f>
        <v>4592</v>
      </c>
      <c r="H61" s="14" t="e">
        <f>SUM(H62)</f>
        <v>#REF!</v>
      </c>
      <c r="I61" s="14" t="e">
        <f t="shared" si="1"/>
        <v>#REF!</v>
      </c>
    </row>
    <row r="62" spans="1:9" s="15" customFormat="1" ht="15">
      <c r="A62" s="371" t="s">
        <v>355</v>
      </c>
      <c r="B62" s="350"/>
      <c r="C62" s="68" t="s">
        <v>427</v>
      </c>
      <c r="D62" s="107" t="s">
        <v>385</v>
      </c>
      <c r="E62" s="107" t="s">
        <v>482</v>
      </c>
      <c r="F62" s="165"/>
      <c r="G62" s="216">
        <f>SUM(G63)</f>
        <v>4592</v>
      </c>
      <c r="H62" s="14" t="e">
        <f>SUM(#REF!)</f>
        <v>#REF!</v>
      </c>
      <c r="I62" s="14" t="e">
        <f t="shared" si="1"/>
        <v>#REF!</v>
      </c>
    </row>
    <row r="63" spans="1:10" s="15" customFormat="1" ht="15">
      <c r="A63" s="371" t="s">
        <v>476</v>
      </c>
      <c r="B63" s="350"/>
      <c r="C63" s="68" t="s">
        <v>427</v>
      </c>
      <c r="D63" s="107" t="s">
        <v>385</v>
      </c>
      <c r="E63" s="107" t="s">
        <v>482</v>
      </c>
      <c r="F63" s="165" t="s">
        <v>166</v>
      </c>
      <c r="G63" s="216">
        <v>4592</v>
      </c>
      <c r="H63" s="14" t="e">
        <f>SUM(#REF!)</f>
        <v>#REF!</v>
      </c>
      <c r="I63" s="14" t="e">
        <f t="shared" si="1"/>
        <v>#REF!</v>
      </c>
      <c r="J63" s="15">
        <f>SUM('ведомствен.2015'!G306)</f>
        <v>4592</v>
      </c>
    </row>
    <row r="64" spans="1:10" ht="15">
      <c r="A64" s="371" t="s">
        <v>109</v>
      </c>
      <c r="B64" s="350"/>
      <c r="C64" s="68" t="s">
        <v>427</v>
      </c>
      <c r="D64" s="107" t="s">
        <v>218</v>
      </c>
      <c r="E64" s="107"/>
      <c r="F64" s="166"/>
      <c r="G64" s="216">
        <f>SUM(G65+G78)+G85</f>
        <v>50897.100000000006</v>
      </c>
      <c r="H64" s="14" t="e">
        <f>SUM(H65+H80+#REF!+#REF!+#REF!+#REF!+H70+H77)</f>
        <v>#REF!</v>
      </c>
      <c r="I64" s="14" t="e">
        <f t="shared" si="1"/>
        <v>#REF!</v>
      </c>
      <c r="J64"/>
    </row>
    <row r="65" spans="1:10" ht="28.5">
      <c r="A65" s="194" t="s">
        <v>472</v>
      </c>
      <c r="B65" s="351"/>
      <c r="C65" s="325" t="s">
        <v>427</v>
      </c>
      <c r="D65" s="326" t="s">
        <v>218</v>
      </c>
      <c r="E65" s="326" t="s">
        <v>473</v>
      </c>
      <c r="F65" s="327"/>
      <c r="G65" s="342">
        <f>G66+G69+G71+G74</f>
        <v>47983.3</v>
      </c>
      <c r="H65" s="14">
        <f>SUM(H66+H68)</f>
        <v>2749.5</v>
      </c>
      <c r="I65" s="14">
        <f t="shared" si="1"/>
        <v>5.730118603764226</v>
      </c>
      <c r="J65"/>
    </row>
    <row r="66" spans="1:10" ht="15">
      <c r="A66" s="194" t="s">
        <v>463</v>
      </c>
      <c r="B66" s="352"/>
      <c r="C66" s="325" t="s">
        <v>427</v>
      </c>
      <c r="D66" s="326" t="s">
        <v>218</v>
      </c>
      <c r="E66" s="326" t="s">
        <v>474</v>
      </c>
      <c r="F66" s="328"/>
      <c r="G66" s="342">
        <f>G67+G68</f>
        <v>4763</v>
      </c>
      <c r="H66" s="14">
        <f>SUM(H67)</f>
        <v>2749.5</v>
      </c>
      <c r="I66" s="14">
        <f t="shared" si="1"/>
        <v>57.7262229687172</v>
      </c>
      <c r="J66"/>
    </row>
    <row r="67" spans="1:10" ht="15">
      <c r="A67" s="194" t="s">
        <v>475</v>
      </c>
      <c r="B67" s="352"/>
      <c r="C67" s="325" t="s">
        <v>427</v>
      </c>
      <c r="D67" s="326" t="s">
        <v>218</v>
      </c>
      <c r="E67" s="326" t="s">
        <v>474</v>
      </c>
      <c r="F67" s="328" t="s">
        <v>117</v>
      </c>
      <c r="G67" s="342">
        <v>4635.2</v>
      </c>
      <c r="H67" s="14">
        <v>2749.5</v>
      </c>
      <c r="I67" s="14">
        <f t="shared" si="1"/>
        <v>59.3178287884018</v>
      </c>
      <c r="J67" s="37">
        <f>SUM('ведомствен.2015'!G27+'ведомствен.2015'!G47+'ведомствен.2015'!G84+'ведомствен.2015'!G310)</f>
        <v>4635.2</v>
      </c>
    </row>
    <row r="68" spans="1:10" ht="15">
      <c r="A68" s="194" t="s">
        <v>476</v>
      </c>
      <c r="B68" s="352"/>
      <c r="C68" s="325" t="s">
        <v>427</v>
      </c>
      <c r="D68" s="326" t="s">
        <v>218</v>
      </c>
      <c r="E68" s="326" t="s">
        <v>474</v>
      </c>
      <c r="F68" s="328" t="s">
        <v>166</v>
      </c>
      <c r="G68" s="342">
        <v>127.8</v>
      </c>
      <c r="H68" s="14">
        <f>SUM(H69)</f>
        <v>0</v>
      </c>
      <c r="I68" s="14">
        <f t="shared" si="1"/>
        <v>0</v>
      </c>
      <c r="J68" s="37">
        <f>SUM('ведомствен.2015'!G28+'ведомствен.2015'!G48+'ведомствен.2015'!G85+'ведомствен.2015'!G311)</f>
        <v>127.79999999999998</v>
      </c>
    </row>
    <row r="69" spans="1:9" ht="28.5">
      <c r="A69" s="194" t="s">
        <v>464</v>
      </c>
      <c r="B69" s="352"/>
      <c r="C69" s="325" t="s">
        <v>427</v>
      </c>
      <c r="D69" s="326" t="s">
        <v>218</v>
      </c>
      <c r="E69" s="326" t="s">
        <v>477</v>
      </c>
      <c r="F69" s="328"/>
      <c r="G69" s="342">
        <f>SUM(G70)</f>
        <v>11477.8</v>
      </c>
      <c r="H69" s="14"/>
      <c r="I69" s="14">
        <f t="shared" si="1"/>
        <v>0</v>
      </c>
    </row>
    <row r="70" spans="1:10" ht="15">
      <c r="A70" s="194" t="s">
        <v>475</v>
      </c>
      <c r="B70" s="352"/>
      <c r="C70" s="325" t="s">
        <v>427</v>
      </c>
      <c r="D70" s="326" t="s">
        <v>218</v>
      </c>
      <c r="E70" s="326" t="s">
        <v>477</v>
      </c>
      <c r="F70" s="328" t="s">
        <v>117</v>
      </c>
      <c r="G70" s="342">
        <v>11477.8</v>
      </c>
      <c r="H70" s="14">
        <f>SUM(H74+H72)</f>
        <v>836.4</v>
      </c>
      <c r="I70" s="14">
        <f t="shared" si="1"/>
        <v>7.287110770356689</v>
      </c>
      <c r="J70" s="37">
        <f>SUM('ведомствен.2015'!G30+'ведомствен.2015'!G50+'ведомствен.2015'!G87+'ведомствен.2015'!G313)</f>
        <v>11477.800000000001</v>
      </c>
    </row>
    <row r="71" spans="1:10" ht="28.5">
      <c r="A71" s="194" t="s">
        <v>494</v>
      </c>
      <c r="B71" s="352"/>
      <c r="C71" s="325" t="s">
        <v>427</v>
      </c>
      <c r="D71" s="326" t="s">
        <v>218</v>
      </c>
      <c r="E71" s="326" t="s">
        <v>495</v>
      </c>
      <c r="F71" s="328"/>
      <c r="G71" s="342">
        <f>SUM(G72:G73)</f>
        <v>8017.5</v>
      </c>
      <c r="H71" s="14">
        <f>SUM(H72)</f>
        <v>0</v>
      </c>
      <c r="I71" s="14">
        <f t="shared" si="1"/>
        <v>0</v>
      </c>
      <c r="J71"/>
    </row>
    <row r="72" spans="1:10" ht="15">
      <c r="A72" s="194" t="s">
        <v>475</v>
      </c>
      <c r="B72" s="352"/>
      <c r="C72" s="325" t="s">
        <v>427</v>
      </c>
      <c r="D72" s="326" t="s">
        <v>218</v>
      </c>
      <c r="E72" s="326" t="s">
        <v>495</v>
      </c>
      <c r="F72" s="328" t="s">
        <v>117</v>
      </c>
      <c r="G72" s="342">
        <v>7967.5</v>
      </c>
      <c r="H72" s="14"/>
      <c r="I72" s="14">
        <f t="shared" si="1"/>
        <v>0</v>
      </c>
      <c r="J72">
        <f>SUM('ведомствен.2015'!G89)</f>
        <v>7967.5</v>
      </c>
    </row>
    <row r="73" spans="1:10" ht="15">
      <c r="A73" s="194" t="s">
        <v>476</v>
      </c>
      <c r="B73" s="352"/>
      <c r="C73" s="325" t="s">
        <v>427</v>
      </c>
      <c r="D73" s="326" t="s">
        <v>218</v>
      </c>
      <c r="E73" s="326" t="s">
        <v>495</v>
      </c>
      <c r="F73" s="328" t="s">
        <v>166</v>
      </c>
      <c r="G73" s="342">
        <v>50</v>
      </c>
      <c r="H73" s="14"/>
      <c r="I73" s="14"/>
      <c r="J73">
        <f>SUM('ведомствен.2015'!G90)</f>
        <v>50</v>
      </c>
    </row>
    <row r="74" spans="1:10" ht="28.5">
      <c r="A74" s="194" t="s">
        <v>478</v>
      </c>
      <c r="B74" s="352"/>
      <c r="C74" s="325" t="s">
        <v>427</v>
      </c>
      <c r="D74" s="326" t="s">
        <v>218</v>
      </c>
      <c r="E74" s="326" t="s">
        <v>479</v>
      </c>
      <c r="F74" s="328"/>
      <c r="G74" s="342">
        <f>SUM(G75:G77)</f>
        <v>23725</v>
      </c>
      <c r="H74" s="14">
        <f>SUM(H75)</f>
        <v>836.4</v>
      </c>
      <c r="I74" s="14">
        <f t="shared" si="1"/>
        <v>3.5253951527924126</v>
      </c>
      <c r="J74"/>
    </row>
    <row r="75" spans="1:10" ht="15">
      <c r="A75" s="194" t="s">
        <v>475</v>
      </c>
      <c r="B75" s="352"/>
      <c r="C75" s="325" t="s">
        <v>427</v>
      </c>
      <c r="D75" s="326" t="s">
        <v>218</v>
      </c>
      <c r="E75" s="326" t="s">
        <v>479</v>
      </c>
      <c r="F75" s="328" t="s">
        <v>117</v>
      </c>
      <c r="G75" s="342">
        <v>20432.9</v>
      </c>
      <c r="H75" s="14">
        <v>836.4</v>
      </c>
      <c r="I75" s="14">
        <f t="shared" si="1"/>
        <v>4.093398391809287</v>
      </c>
      <c r="J75">
        <f>SUM('ведомствен.2015'!G32+'ведомствен.2015'!G52+'ведомствен.2015'!G92+'ведомствен.2015'!G315)</f>
        <v>20432.9</v>
      </c>
    </row>
    <row r="76" spans="1:12" ht="15">
      <c r="A76" s="371" t="s">
        <v>480</v>
      </c>
      <c r="B76" s="350"/>
      <c r="C76" s="68" t="s">
        <v>427</v>
      </c>
      <c r="D76" s="107" t="s">
        <v>218</v>
      </c>
      <c r="E76" s="107" t="s">
        <v>479</v>
      </c>
      <c r="F76" s="167" t="s">
        <v>481</v>
      </c>
      <c r="G76" s="216">
        <v>667</v>
      </c>
      <c r="H76" s="14"/>
      <c r="I76" s="14"/>
      <c r="J76">
        <f>SUM('ведомствен.2015'!G33)</f>
        <v>667</v>
      </c>
      <c r="L76" s="415">
        <f>SUM(G76+G499+G521+G524+G527+G530+G533+G536+G540+G546+G554+G559+G562+G565+G568+G571+G574+G577+G582+G585+G588+G591+G593+G596+G601+G605+G608+G613+G616+G619)/G691</f>
        <v>0.24281183842378387</v>
      </c>
    </row>
    <row r="77" spans="1:10" ht="15">
      <c r="A77" s="194" t="s">
        <v>476</v>
      </c>
      <c r="B77" s="352"/>
      <c r="C77" s="325" t="s">
        <v>427</v>
      </c>
      <c r="D77" s="326" t="s">
        <v>218</v>
      </c>
      <c r="E77" s="326" t="s">
        <v>479</v>
      </c>
      <c r="F77" s="328" t="s">
        <v>166</v>
      </c>
      <c r="G77" s="342">
        <v>2625.1</v>
      </c>
      <c r="H77" s="14">
        <f>SUM(H79)</f>
        <v>536.9</v>
      </c>
      <c r="I77" s="14">
        <f t="shared" si="1"/>
        <v>20.45255418841187</v>
      </c>
      <c r="J77">
        <f>SUM('ведомствен.2015'!G34+'ведомствен.2015'!G53+'ведомствен.2015'!G93+'ведомствен.2015'!G316)</f>
        <v>2625.1</v>
      </c>
    </row>
    <row r="78" spans="1:10" ht="28.5">
      <c r="A78" s="194" t="s">
        <v>564</v>
      </c>
      <c r="B78" s="352"/>
      <c r="C78" s="325" t="s">
        <v>427</v>
      </c>
      <c r="D78" s="326" t="s">
        <v>218</v>
      </c>
      <c r="E78" s="326" t="s">
        <v>133</v>
      </c>
      <c r="F78" s="328"/>
      <c r="G78" s="342">
        <f>G79</f>
        <v>2813.8</v>
      </c>
      <c r="H78" s="14">
        <f>SUM(H79)</f>
        <v>536.9</v>
      </c>
      <c r="I78" s="14">
        <f t="shared" si="1"/>
        <v>19.08095813490653</v>
      </c>
      <c r="J78"/>
    </row>
    <row r="79" spans="1:10" ht="28.5">
      <c r="A79" s="194" t="s">
        <v>15</v>
      </c>
      <c r="B79" s="352"/>
      <c r="C79" s="325" t="s">
        <v>427</v>
      </c>
      <c r="D79" s="326" t="s">
        <v>218</v>
      </c>
      <c r="E79" s="326" t="s">
        <v>188</v>
      </c>
      <c r="F79" s="328"/>
      <c r="G79" s="342">
        <f>G80+G82</f>
        <v>2813.8</v>
      </c>
      <c r="H79" s="14">
        <f>423.2+113.7</f>
        <v>536.9</v>
      </c>
      <c r="I79" s="14">
        <f t="shared" si="1"/>
        <v>19.08095813490653</v>
      </c>
      <c r="J79"/>
    </row>
    <row r="80" spans="1:10" ht="28.5">
      <c r="A80" s="194" t="s">
        <v>594</v>
      </c>
      <c r="B80" s="352"/>
      <c r="C80" s="325" t="s">
        <v>427</v>
      </c>
      <c r="D80" s="326" t="s">
        <v>218</v>
      </c>
      <c r="E80" s="326" t="s">
        <v>190</v>
      </c>
      <c r="F80" s="328"/>
      <c r="G80" s="342">
        <f>SUM(G81)</f>
        <v>2380.3</v>
      </c>
      <c r="H80" s="14">
        <f>SUM(H82)</f>
        <v>917.7</v>
      </c>
      <c r="I80" s="14">
        <f t="shared" si="1"/>
        <v>38.55396378607738</v>
      </c>
      <c r="J80"/>
    </row>
    <row r="81" spans="1:10" ht="28.5">
      <c r="A81" s="194" t="s">
        <v>496</v>
      </c>
      <c r="B81" s="352"/>
      <c r="C81" s="325" t="s">
        <v>427</v>
      </c>
      <c r="D81" s="326" t="s">
        <v>218</v>
      </c>
      <c r="E81" s="326" t="s">
        <v>190</v>
      </c>
      <c r="F81" s="328" t="s">
        <v>487</v>
      </c>
      <c r="G81" s="342">
        <v>2380.3</v>
      </c>
      <c r="H81" s="14"/>
      <c r="I81" s="14"/>
      <c r="J81">
        <f>SUM('ведомствен.2015'!G97)</f>
        <v>2380.3</v>
      </c>
    </row>
    <row r="82" spans="1:10" ht="15">
      <c r="A82" s="371" t="s">
        <v>153</v>
      </c>
      <c r="B82" s="352"/>
      <c r="C82" s="325" t="s">
        <v>427</v>
      </c>
      <c r="D82" s="326" t="s">
        <v>218</v>
      </c>
      <c r="E82" s="326" t="s">
        <v>381</v>
      </c>
      <c r="F82" s="328"/>
      <c r="G82" s="342">
        <f>SUM(G83)</f>
        <v>433.5</v>
      </c>
      <c r="H82" s="14">
        <f>SUM(H83)</f>
        <v>917.7</v>
      </c>
      <c r="I82" s="14">
        <f t="shared" si="1"/>
        <v>211.69550173010384</v>
      </c>
      <c r="J82"/>
    </row>
    <row r="83" spans="1:10" ht="28.5">
      <c r="A83" s="194" t="s">
        <v>140</v>
      </c>
      <c r="B83" s="352"/>
      <c r="C83" s="325" t="s">
        <v>427</v>
      </c>
      <c r="D83" s="326" t="s">
        <v>218</v>
      </c>
      <c r="E83" s="326" t="s">
        <v>382</v>
      </c>
      <c r="F83" s="328"/>
      <c r="G83" s="342">
        <f>SUM(G84)</f>
        <v>433.5</v>
      </c>
      <c r="H83" s="14">
        <v>917.7</v>
      </c>
      <c r="I83" s="14">
        <f t="shared" si="1"/>
        <v>211.69550173010384</v>
      </c>
      <c r="J83">
        <f>SUM('ведомствен.2015'!G99)</f>
        <v>433.5</v>
      </c>
    </row>
    <row r="84" spans="1:9" ht="28.5">
      <c r="A84" s="194" t="s">
        <v>496</v>
      </c>
      <c r="B84" s="352"/>
      <c r="C84" s="325" t="s">
        <v>427</v>
      </c>
      <c r="D84" s="326" t="s">
        <v>218</v>
      </c>
      <c r="E84" s="326" t="s">
        <v>382</v>
      </c>
      <c r="F84" s="328" t="s">
        <v>487</v>
      </c>
      <c r="G84" s="342">
        <v>433.5</v>
      </c>
      <c r="H84" s="14"/>
      <c r="I84" s="14"/>
    </row>
    <row r="85" spans="1:9" ht="15">
      <c r="A85" s="373" t="s">
        <v>524</v>
      </c>
      <c r="B85" s="352"/>
      <c r="C85" s="325" t="s">
        <v>427</v>
      </c>
      <c r="D85" s="326" t="s">
        <v>218</v>
      </c>
      <c r="E85" s="326" t="s">
        <v>126</v>
      </c>
      <c r="F85" s="328"/>
      <c r="G85" s="342">
        <f>SUM(G86)</f>
        <v>100</v>
      </c>
      <c r="H85" s="14"/>
      <c r="I85" s="14"/>
    </row>
    <row r="86" spans="1:9" ht="28.5">
      <c r="A86" s="194" t="s">
        <v>607</v>
      </c>
      <c r="B86" s="352"/>
      <c r="C86" s="325" t="s">
        <v>427</v>
      </c>
      <c r="D86" s="326" t="s">
        <v>218</v>
      </c>
      <c r="E86" s="326" t="s">
        <v>608</v>
      </c>
      <c r="F86" s="328"/>
      <c r="G86" s="342">
        <f>SUM(G87)</f>
        <v>100</v>
      </c>
      <c r="H86" s="14"/>
      <c r="I86" s="14"/>
    </row>
    <row r="87" spans="1:10" ht="15">
      <c r="A87" s="194" t="s">
        <v>475</v>
      </c>
      <c r="B87" s="352"/>
      <c r="C87" s="325" t="s">
        <v>427</v>
      </c>
      <c r="D87" s="326" t="s">
        <v>218</v>
      </c>
      <c r="E87" s="326" t="s">
        <v>608</v>
      </c>
      <c r="F87" s="328" t="s">
        <v>117</v>
      </c>
      <c r="G87" s="342">
        <v>100</v>
      </c>
      <c r="H87" s="14"/>
      <c r="I87" s="14"/>
      <c r="J87" s="37">
        <f>SUM('ведомствен.2015'!G104)</f>
        <v>100</v>
      </c>
    </row>
    <row r="88" spans="1:12" s="13" customFormat="1" ht="30">
      <c r="A88" s="374" t="s">
        <v>135</v>
      </c>
      <c r="B88" s="353"/>
      <c r="C88" s="171" t="s">
        <v>103</v>
      </c>
      <c r="D88" s="158"/>
      <c r="E88" s="158"/>
      <c r="F88" s="169"/>
      <c r="G88" s="343">
        <f>SUM(G89+G95)</f>
        <v>21303.6</v>
      </c>
      <c r="H88" s="17" t="e">
        <f>SUM(#REF!+H93)+H113</f>
        <v>#REF!</v>
      </c>
      <c r="I88" s="17" t="e">
        <f t="shared" si="1"/>
        <v>#REF!</v>
      </c>
      <c r="K88" s="13">
        <f>SUM(J89:J118)</f>
        <v>21303.6</v>
      </c>
      <c r="L88" s="13">
        <f>SUM('ведомствен.2015'!G105)</f>
        <v>21303.6</v>
      </c>
    </row>
    <row r="89" spans="1:9" s="16" customFormat="1" ht="15">
      <c r="A89" s="375" t="s">
        <v>59</v>
      </c>
      <c r="B89" s="352"/>
      <c r="C89" s="325" t="s">
        <v>103</v>
      </c>
      <c r="D89" s="326" t="s">
        <v>119</v>
      </c>
      <c r="E89" s="326"/>
      <c r="F89" s="328"/>
      <c r="G89" s="342">
        <f>SUM(G91)</f>
        <v>5304.4</v>
      </c>
      <c r="H89" s="14">
        <f>SUM(H91)</f>
        <v>0</v>
      </c>
      <c r="I89" s="14" t="e">
        <f>SUM(H89/#REF!*100)</f>
        <v>#REF!</v>
      </c>
    </row>
    <row r="90" spans="1:9" s="16" customFormat="1" ht="15">
      <c r="A90" s="194" t="s">
        <v>376</v>
      </c>
      <c r="B90" s="352"/>
      <c r="C90" s="325" t="s">
        <v>103</v>
      </c>
      <c r="D90" s="326" t="s">
        <v>119</v>
      </c>
      <c r="E90" s="326" t="s">
        <v>377</v>
      </c>
      <c r="F90" s="328"/>
      <c r="G90" s="342">
        <f>SUM(G91)</f>
        <v>5304.4</v>
      </c>
      <c r="H90" s="14"/>
      <c r="I90" s="14"/>
    </row>
    <row r="91" spans="1:9" s="16" customFormat="1" ht="28.5">
      <c r="A91" s="194" t="s">
        <v>575</v>
      </c>
      <c r="B91" s="352"/>
      <c r="C91" s="325" t="s">
        <v>103</v>
      </c>
      <c r="D91" s="326" t="s">
        <v>119</v>
      </c>
      <c r="E91" s="326" t="s">
        <v>500</v>
      </c>
      <c r="F91" s="328"/>
      <c r="G91" s="342">
        <f>G92+G93+G94</f>
        <v>5304.4</v>
      </c>
      <c r="H91" s="14">
        <f>SUM(H92)</f>
        <v>0</v>
      </c>
      <c r="I91" s="14" t="e">
        <f>SUM(H91/#REF!*100)</f>
        <v>#REF!</v>
      </c>
    </row>
    <row r="92" spans="1:10" s="16" customFormat="1" ht="28.5">
      <c r="A92" s="194" t="s">
        <v>470</v>
      </c>
      <c r="B92" s="352"/>
      <c r="C92" s="325" t="s">
        <v>103</v>
      </c>
      <c r="D92" s="326" t="s">
        <v>119</v>
      </c>
      <c r="E92" s="326" t="s">
        <v>500</v>
      </c>
      <c r="F92" s="328" t="s">
        <v>471</v>
      </c>
      <c r="G92" s="342">
        <v>3843.6</v>
      </c>
      <c r="H92" s="14"/>
      <c r="I92" s="14" t="e">
        <f>SUM(H92/#REF!*100)</f>
        <v>#REF!</v>
      </c>
      <c r="J92" s="16">
        <f>SUM('ведомствен.2015'!G109)</f>
        <v>3843.6</v>
      </c>
    </row>
    <row r="93" spans="1:10" ht="15">
      <c r="A93" s="194" t="s">
        <v>475</v>
      </c>
      <c r="B93" s="352"/>
      <c r="C93" s="325" t="s">
        <v>103</v>
      </c>
      <c r="D93" s="326" t="s">
        <v>119</v>
      </c>
      <c r="E93" s="326" t="s">
        <v>500</v>
      </c>
      <c r="F93" s="328" t="s">
        <v>117</v>
      </c>
      <c r="G93" s="342">
        <v>1362.8</v>
      </c>
      <c r="H93" s="14" t="e">
        <f>SUM(#REF!+H98+H101+H104)+#REF!</f>
        <v>#REF!</v>
      </c>
      <c r="I93" s="14" t="e">
        <f>SUM(H93/G95*100)</f>
        <v>#REF!</v>
      </c>
      <c r="J93" s="16">
        <f>SUM('ведомствен.2015'!G110)</f>
        <v>1362.8</v>
      </c>
    </row>
    <row r="94" spans="1:10" ht="15">
      <c r="A94" s="194" t="s">
        <v>476</v>
      </c>
      <c r="B94" s="352"/>
      <c r="C94" s="325" t="s">
        <v>103</v>
      </c>
      <c r="D94" s="326" t="s">
        <v>119</v>
      </c>
      <c r="E94" s="326" t="s">
        <v>500</v>
      </c>
      <c r="F94" s="328" t="s">
        <v>166</v>
      </c>
      <c r="G94" s="342">
        <v>98</v>
      </c>
      <c r="H94" s="14" t="e">
        <f>SUM(#REF!)</f>
        <v>#REF!</v>
      </c>
      <c r="I94" s="14" t="e">
        <f>SUM(H94/G96*100)</f>
        <v>#REF!</v>
      </c>
      <c r="J94" s="16">
        <f>SUM('ведомствен.2015'!G111)</f>
        <v>98</v>
      </c>
    </row>
    <row r="95" spans="1:9" ht="42.75">
      <c r="A95" s="376" t="s">
        <v>278</v>
      </c>
      <c r="B95" s="354"/>
      <c r="C95" s="317" t="s">
        <v>103</v>
      </c>
      <c r="D95" s="318" t="s">
        <v>279</v>
      </c>
      <c r="E95" s="318"/>
      <c r="F95" s="319"/>
      <c r="G95" s="344">
        <f>G106+G111+G96+G116</f>
        <v>15999.2</v>
      </c>
      <c r="H95" s="14">
        <v>438.8</v>
      </c>
      <c r="I95" s="14" t="e">
        <f>SUM(H95/G101*100)</f>
        <v>#DIV/0!</v>
      </c>
    </row>
    <row r="96" spans="1:10" ht="28.5">
      <c r="A96" s="194" t="s">
        <v>565</v>
      </c>
      <c r="B96" s="352"/>
      <c r="C96" s="325" t="s">
        <v>103</v>
      </c>
      <c r="D96" s="326" t="s">
        <v>279</v>
      </c>
      <c r="E96" s="326" t="s">
        <v>501</v>
      </c>
      <c r="F96" s="328"/>
      <c r="G96" s="342">
        <f>SUM(G97)</f>
        <v>12499.1</v>
      </c>
      <c r="H96" s="14">
        <f>SUM(H97)</f>
        <v>9825.3</v>
      </c>
      <c r="I96" s="14">
        <f>SUM(H96/G102*100)</f>
        <v>404.8498083975441</v>
      </c>
      <c r="J96"/>
    </row>
    <row r="97" spans="1:9" ht="28.5">
      <c r="A97" s="194" t="s">
        <v>56</v>
      </c>
      <c r="B97" s="352"/>
      <c r="C97" s="325" t="s">
        <v>103</v>
      </c>
      <c r="D97" s="326" t="s">
        <v>279</v>
      </c>
      <c r="E97" s="326" t="s">
        <v>502</v>
      </c>
      <c r="F97" s="328"/>
      <c r="G97" s="342">
        <f>G98+G102+G105</f>
        <v>12499.1</v>
      </c>
      <c r="H97" s="14">
        <v>9825.3</v>
      </c>
      <c r="I97" s="14" t="e">
        <f>SUM(H97/G103*100)</f>
        <v>#DIV/0!</v>
      </c>
    </row>
    <row r="98" spans="1:10" ht="28.5">
      <c r="A98" s="194" t="s">
        <v>470</v>
      </c>
      <c r="B98" s="352"/>
      <c r="C98" s="325" t="s">
        <v>103</v>
      </c>
      <c r="D98" s="326" t="s">
        <v>279</v>
      </c>
      <c r="E98" s="326" t="s">
        <v>502</v>
      </c>
      <c r="F98" s="328" t="s">
        <v>471</v>
      </c>
      <c r="G98" s="342">
        <v>9858.5</v>
      </c>
      <c r="H98" s="14">
        <f>SUM(H99)</f>
        <v>227.3</v>
      </c>
      <c r="I98" s="14" t="e">
        <f>SUM(H98/G104*100)</f>
        <v>#DIV/0!</v>
      </c>
      <c r="J98">
        <f>SUM('ведомствен.2015'!G115)</f>
        <v>9858.5</v>
      </c>
    </row>
    <row r="99" spans="1:10" ht="15" hidden="1">
      <c r="A99" s="194" t="s">
        <v>503</v>
      </c>
      <c r="B99" s="352"/>
      <c r="C99" s="325" t="s">
        <v>103</v>
      </c>
      <c r="D99" s="326" t="s">
        <v>279</v>
      </c>
      <c r="E99" s="326" t="s">
        <v>502</v>
      </c>
      <c r="F99" s="328" t="s">
        <v>504</v>
      </c>
      <c r="G99" s="342"/>
      <c r="H99" s="14">
        <f>SUM(H100)</f>
        <v>227.3</v>
      </c>
      <c r="I99" s="14">
        <f aca="true" t="shared" si="2" ref="I99:I104">SUM(H99/G106*100)</f>
        <v>6.685097497132437</v>
      </c>
      <c r="J99"/>
    </row>
    <row r="100" spans="1:9" ht="28.5" hidden="1">
      <c r="A100" s="194" t="s">
        <v>505</v>
      </c>
      <c r="B100" s="355"/>
      <c r="C100" s="325" t="s">
        <v>103</v>
      </c>
      <c r="D100" s="326" t="s">
        <v>279</v>
      </c>
      <c r="E100" s="326" t="s">
        <v>502</v>
      </c>
      <c r="F100" s="328" t="s">
        <v>506</v>
      </c>
      <c r="G100" s="342"/>
      <c r="H100" s="14">
        <v>227.3</v>
      </c>
      <c r="I100" s="14">
        <f t="shared" si="2"/>
        <v>16.234554674666096</v>
      </c>
    </row>
    <row r="101" spans="1:10" ht="28.5" hidden="1">
      <c r="A101" s="194" t="s">
        <v>507</v>
      </c>
      <c r="B101" s="355"/>
      <c r="C101" s="325" t="s">
        <v>103</v>
      </c>
      <c r="D101" s="326" t="s">
        <v>279</v>
      </c>
      <c r="E101" s="326" t="s">
        <v>502</v>
      </c>
      <c r="F101" s="328" t="s">
        <v>508</v>
      </c>
      <c r="G101" s="342"/>
      <c r="H101" s="14">
        <f>SUM(H102)</f>
        <v>5387.8</v>
      </c>
      <c r="I101" s="14">
        <f t="shared" si="2"/>
        <v>384.8153703306907</v>
      </c>
      <c r="J101"/>
    </row>
    <row r="102" spans="1:10" ht="15">
      <c r="A102" s="194" t="s">
        <v>475</v>
      </c>
      <c r="B102" s="355"/>
      <c r="C102" s="325" t="s">
        <v>103</v>
      </c>
      <c r="D102" s="326" t="s">
        <v>279</v>
      </c>
      <c r="E102" s="326" t="s">
        <v>502</v>
      </c>
      <c r="F102" s="328" t="s">
        <v>117</v>
      </c>
      <c r="G102" s="342">
        <v>2426.9</v>
      </c>
      <c r="H102" s="14">
        <f>SUM(H103)</f>
        <v>5387.8</v>
      </c>
      <c r="I102" s="14">
        <f t="shared" si="2"/>
        <v>269.39000000000004</v>
      </c>
      <c r="J102">
        <f>SUM('ведомствен.2015'!G119)</f>
        <v>2426.9</v>
      </c>
    </row>
    <row r="103" spans="1:9" ht="28.5" hidden="1">
      <c r="A103" s="194" t="s">
        <v>490</v>
      </c>
      <c r="B103" s="355"/>
      <c r="C103" s="325" t="s">
        <v>103</v>
      </c>
      <c r="D103" s="326" t="s">
        <v>279</v>
      </c>
      <c r="E103" s="326" t="s">
        <v>502</v>
      </c>
      <c r="F103" s="328" t="s">
        <v>491</v>
      </c>
      <c r="G103" s="342"/>
      <c r="H103" s="14">
        <v>5387.8</v>
      </c>
      <c r="I103" s="14">
        <f t="shared" si="2"/>
        <v>269.39000000000004</v>
      </c>
    </row>
    <row r="104" spans="1:9" s="19" customFormat="1" ht="28.5" hidden="1">
      <c r="A104" s="194" t="s">
        <v>492</v>
      </c>
      <c r="B104" s="352"/>
      <c r="C104" s="325" t="s">
        <v>103</v>
      </c>
      <c r="D104" s="326" t="s">
        <v>279</v>
      </c>
      <c r="E104" s="326" t="s">
        <v>502</v>
      </c>
      <c r="F104" s="328" t="s">
        <v>493</v>
      </c>
      <c r="G104" s="342"/>
      <c r="H104" s="14">
        <f>SUM(H107)</f>
        <v>0</v>
      </c>
      <c r="I104" s="14" t="e">
        <f t="shared" si="2"/>
        <v>#DIV/0!</v>
      </c>
    </row>
    <row r="105" spans="1:10" s="19" customFormat="1" ht="15">
      <c r="A105" s="194" t="s">
        <v>476</v>
      </c>
      <c r="B105" s="352"/>
      <c r="C105" s="325" t="s">
        <v>103</v>
      </c>
      <c r="D105" s="326" t="s">
        <v>279</v>
      </c>
      <c r="E105" s="326" t="s">
        <v>502</v>
      </c>
      <c r="F105" s="328" t="s">
        <v>166</v>
      </c>
      <c r="G105" s="342">
        <v>213.7</v>
      </c>
      <c r="H105" s="14"/>
      <c r="I105" s="14"/>
      <c r="J105" s="19">
        <f>SUM('ведомствен.2015'!G121)</f>
        <v>213.7</v>
      </c>
    </row>
    <row r="106" spans="1:9" s="19" customFormat="1" ht="28.5">
      <c r="A106" s="194" t="s">
        <v>566</v>
      </c>
      <c r="B106" s="352"/>
      <c r="C106" s="325" t="s">
        <v>103</v>
      </c>
      <c r="D106" s="326" t="s">
        <v>279</v>
      </c>
      <c r="E106" s="326" t="s">
        <v>509</v>
      </c>
      <c r="F106" s="328"/>
      <c r="G106" s="342">
        <f>SUM(G108+G110)</f>
        <v>3400.1</v>
      </c>
      <c r="H106" s="14">
        <f>SUM(H107)</f>
        <v>0</v>
      </c>
      <c r="I106" s="14" t="e">
        <f>SUM(H106/G112*100)</f>
        <v>#DIV/0!</v>
      </c>
    </row>
    <row r="107" spans="1:10" ht="28.5">
      <c r="A107" s="194" t="s">
        <v>567</v>
      </c>
      <c r="B107" s="352"/>
      <c r="C107" s="325" t="s">
        <v>103</v>
      </c>
      <c r="D107" s="326" t="s">
        <v>279</v>
      </c>
      <c r="E107" s="326" t="s">
        <v>510</v>
      </c>
      <c r="F107" s="328"/>
      <c r="G107" s="342">
        <f>SUM(G108)</f>
        <v>1400.1</v>
      </c>
      <c r="H107" s="14"/>
      <c r="I107" s="14" t="e">
        <f>SUM(H107/G113*100)</f>
        <v>#DIV/0!</v>
      </c>
      <c r="J107"/>
    </row>
    <row r="108" spans="1:10" ht="15">
      <c r="A108" s="194" t="s">
        <v>475</v>
      </c>
      <c r="B108" s="352"/>
      <c r="C108" s="325" t="s">
        <v>103</v>
      </c>
      <c r="D108" s="326" t="s">
        <v>279</v>
      </c>
      <c r="E108" s="326" t="s">
        <v>510</v>
      </c>
      <c r="F108" s="328" t="s">
        <v>117</v>
      </c>
      <c r="G108" s="342">
        <v>1400.1</v>
      </c>
      <c r="H108" s="14"/>
      <c r="I108" s="14"/>
      <c r="J108">
        <f>SUM('ведомствен.2015'!G124)</f>
        <v>1400.1</v>
      </c>
    </row>
    <row r="109" spans="1:10" ht="28.5">
      <c r="A109" s="194" t="s">
        <v>0</v>
      </c>
      <c r="B109" s="352"/>
      <c r="C109" s="325" t="s">
        <v>103</v>
      </c>
      <c r="D109" s="326" t="s">
        <v>279</v>
      </c>
      <c r="E109" s="326" t="s">
        <v>511</v>
      </c>
      <c r="F109" s="328"/>
      <c r="G109" s="342">
        <f>SUM(G110)</f>
        <v>2000</v>
      </c>
      <c r="H109" s="14"/>
      <c r="I109" s="14"/>
      <c r="J109"/>
    </row>
    <row r="110" spans="1:10" ht="16.5" customHeight="1">
      <c r="A110" s="194" t="s">
        <v>475</v>
      </c>
      <c r="B110" s="352"/>
      <c r="C110" s="325" t="s">
        <v>103</v>
      </c>
      <c r="D110" s="326" t="s">
        <v>279</v>
      </c>
      <c r="E110" s="326" t="s">
        <v>511</v>
      </c>
      <c r="F110" s="328" t="s">
        <v>117</v>
      </c>
      <c r="G110" s="342">
        <v>2000</v>
      </c>
      <c r="H110" s="14"/>
      <c r="I110" s="14"/>
      <c r="J110">
        <f>SUM('ведомствен.2015'!G126)</f>
        <v>2000</v>
      </c>
    </row>
    <row r="111" spans="1:10" ht="15" hidden="1">
      <c r="A111" s="194" t="s">
        <v>1</v>
      </c>
      <c r="B111" s="215"/>
      <c r="C111" s="106" t="s">
        <v>103</v>
      </c>
      <c r="D111" s="156" t="s">
        <v>279</v>
      </c>
      <c r="E111" s="156" t="s">
        <v>512</v>
      </c>
      <c r="F111" s="166"/>
      <c r="G111" s="342"/>
      <c r="H111" s="14"/>
      <c r="I111" s="14"/>
      <c r="J111"/>
    </row>
    <row r="112" spans="1:10" ht="28.5" hidden="1">
      <c r="A112" s="194" t="s">
        <v>2</v>
      </c>
      <c r="B112" s="215"/>
      <c r="C112" s="106" t="s">
        <v>103</v>
      </c>
      <c r="D112" s="156" t="s">
        <v>279</v>
      </c>
      <c r="E112" s="156" t="s">
        <v>513</v>
      </c>
      <c r="F112" s="166"/>
      <c r="G112" s="342"/>
      <c r="H112" s="14"/>
      <c r="I112" s="14"/>
      <c r="J112"/>
    </row>
    <row r="113" spans="1:10" ht="15" hidden="1">
      <c r="A113" s="194" t="s">
        <v>475</v>
      </c>
      <c r="B113" s="215"/>
      <c r="C113" s="106" t="s">
        <v>103</v>
      </c>
      <c r="D113" s="156" t="s">
        <v>279</v>
      </c>
      <c r="E113" s="156" t="s">
        <v>513</v>
      </c>
      <c r="F113" s="166" t="s">
        <v>117</v>
      </c>
      <c r="G113" s="342"/>
      <c r="H113" s="14">
        <f>SUM(H114+H117)</f>
        <v>0</v>
      </c>
      <c r="I113" s="14" t="e">
        <f>SUM(H113/#REF!*100)</f>
        <v>#REF!</v>
      </c>
      <c r="J113"/>
    </row>
    <row r="114" spans="1:10" ht="15" customHeight="1" hidden="1">
      <c r="A114" s="194" t="s">
        <v>490</v>
      </c>
      <c r="B114" s="215"/>
      <c r="C114" s="106" t="s">
        <v>103</v>
      </c>
      <c r="D114" s="156" t="s">
        <v>279</v>
      </c>
      <c r="E114" s="156" t="s">
        <v>513</v>
      </c>
      <c r="F114" s="166" t="s">
        <v>491</v>
      </c>
      <c r="G114" s="342"/>
      <c r="H114" s="14">
        <f>SUM(H115)</f>
        <v>0</v>
      </c>
      <c r="I114" s="14" t="e">
        <f>SUM(H114/#REF!*100)</f>
        <v>#REF!</v>
      </c>
      <c r="J114"/>
    </row>
    <row r="115" spans="1:10" ht="15.75" customHeight="1" hidden="1">
      <c r="A115" s="194" t="s">
        <v>492</v>
      </c>
      <c r="B115" s="215"/>
      <c r="C115" s="106" t="s">
        <v>103</v>
      </c>
      <c r="D115" s="156" t="s">
        <v>279</v>
      </c>
      <c r="E115" s="156" t="s">
        <v>513</v>
      </c>
      <c r="F115" s="166" t="s">
        <v>493</v>
      </c>
      <c r="G115" s="342"/>
      <c r="H115" s="14">
        <f>SUM(H116)</f>
        <v>0</v>
      </c>
      <c r="I115" s="14" t="e">
        <f>SUM(H115/#REF!*100)</f>
        <v>#REF!</v>
      </c>
      <c r="J115"/>
    </row>
    <row r="116" spans="1:10" ht="15">
      <c r="A116" s="377" t="s">
        <v>524</v>
      </c>
      <c r="B116" s="215"/>
      <c r="C116" s="109" t="s">
        <v>103</v>
      </c>
      <c r="D116" s="154" t="s">
        <v>279</v>
      </c>
      <c r="E116" s="156" t="s">
        <v>126</v>
      </c>
      <c r="F116" s="329"/>
      <c r="G116" s="345">
        <f>SUM(G117)</f>
        <v>100</v>
      </c>
      <c r="H116" s="14"/>
      <c r="I116" s="14" t="e">
        <f>SUM(H116/#REF!*100)</f>
        <v>#REF!</v>
      </c>
      <c r="J116"/>
    </row>
    <row r="117" spans="1:10" ht="42.75">
      <c r="A117" s="194" t="s">
        <v>609</v>
      </c>
      <c r="B117" s="350"/>
      <c r="C117" s="109" t="s">
        <v>103</v>
      </c>
      <c r="D117" s="154" t="s">
        <v>279</v>
      </c>
      <c r="E117" s="156" t="s">
        <v>610</v>
      </c>
      <c r="F117" s="166"/>
      <c r="G117" s="216">
        <f>SUM(G118)</f>
        <v>100</v>
      </c>
      <c r="H117" s="14">
        <f>SUM(H118)</f>
        <v>0</v>
      </c>
      <c r="I117" s="14" t="e">
        <f>SUM(H117/#REF!*100)</f>
        <v>#REF!</v>
      </c>
      <c r="J117"/>
    </row>
    <row r="118" spans="1:10" ht="15">
      <c r="A118" s="194" t="s">
        <v>475</v>
      </c>
      <c r="B118" s="350"/>
      <c r="C118" s="109" t="s">
        <v>103</v>
      </c>
      <c r="D118" s="154" t="s">
        <v>279</v>
      </c>
      <c r="E118" s="156" t="s">
        <v>610</v>
      </c>
      <c r="F118" s="166" t="s">
        <v>117</v>
      </c>
      <c r="G118" s="216">
        <v>100</v>
      </c>
      <c r="H118" s="14"/>
      <c r="I118" s="14" t="e">
        <f>SUM(H118/#REF!*100)</f>
        <v>#REF!</v>
      </c>
      <c r="J118">
        <f>SUM('ведомствен.2015'!G134)</f>
        <v>100</v>
      </c>
    </row>
    <row r="119" spans="1:12" ht="15">
      <c r="A119" s="374" t="s">
        <v>118</v>
      </c>
      <c r="B119" s="353"/>
      <c r="C119" s="168" t="s">
        <v>119</v>
      </c>
      <c r="D119" s="157"/>
      <c r="E119" s="157"/>
      <c r="F119" s="170"/>
      <c r="G119" s="343">
        <f>SUM(G120+G132+G138)</f>
        <v>81077.90000000001</v>
      </c>
      <c r="H119" s="14"/>
      <c r="I119" s="14">
        <f>SUM(H119/G128*100)</f>
        <v>0</v>
      </c>
      <c r="J119"/>
      <c r="K119">
        <f>SUM(J120:J161)</f>
        <v>81077.9</v>
      </c>
      <c r="L119">
        <f>SUM('ведомствен.2015'!G137+'ведомствен.2015'!G342+'ведомствен.2015'!G319)</f>
        <v>81077.90000000001</v>
      </c>
    </row>
    <row r="120" spans="1:10" ht="15">
      <c r="A120" s="194" t="s">
        <v>120</v>
      </c>
      <c r="B120" s="352"/>
      <c r="C120" s="325" t="s">
        <v>119</v>
      </c>
      <c r="D120" s="326" t="s">
        <v>121</v>
      </c>
      <c r="E120" s="326"/>
      <c r="F120" s="328"/>
      <c r="G120" s="342">
        <f>G121</f>
        <v>28426.9</v>
      </c>
      <c r="H120" s="14">
        <v>870.4</v>
      </c>
      <c r="I120" s="14" t="e">
        <f>SUM(H120/G130*100)</f>
        <v>#DIV/0!</v>
      </c>
      <c r="J120"/>
    </row>
    <row r="121" spans="1:10" ht="28.5">
      <c r="A121" s="194" t="s">
        <v>514</v>
      </c>
      <c r="B121" s="352"/>
      <c r="C121" s="325" t="s">
        <v>119</v>
      </c>
      <c r="D121" s="326" t="s">
        <v>121</v>
      </c>
      <c r="E121" s="326" t="s">
        <v>515</v>
      </c>
      <c r="F121" s="328"/>
      <c r="G121" s="342">
        <f>G122+G126</f>
        <v>28426.9</v>
      </c>
      <c r="H121" s="14">
        <f>SUM(H128)</f>
        <v>30706.4</v>
      </c>
      <c r="I121" s="14" t="e">
        <f>SUM(H121/G131*100)</f>
        <v>#DIV/0!</v>
      </c>
      <c r="J121"/>
    </row>
    <row r="122" spans="1:10" ht="15">
      <c r="A122" s="194" t="s">
        <v>516</v>
      </c>
      <c r="B122" s="352"/>
      <c r="C122" s="325" t="s">
        <v>119</v>
      </c>
      <c r="D122" s="326" t="s">
        <v>121</v>
      </c>
      <c r="E122" s="326" t="s">
        <v>517</v>
      </c>
      <c r="F122" s="328"/>
      <c r="G122" s="342">
        <f>G123</f>
        <v>12208.9</v>
      </c>
      <c r="H122" s="14"/>
      <c r="I122" s="14"/>
      <c r="J122"/>
    </row>
    <row r="123" spans="1:10" ht="15">
      <c r="A123" s="194" t="s">
        <v>6</v>
      </c>
      <c r="B123" s="352"/>
      <c r="C123" s="325" t="s">
        <v>119</v>
      </c>
      <c r="D123" s="326" t="s">
        <v>121</v>
      </c>
      <c r="E123" s="326" t="s">
        <v>518</v>
      </c>
      <c r="F123" s="328"/>
      <c r="G123" s="342">
        <f>SUM(G124)</f>
        <v>12208.9</v>
      </c>
      <c r="H123" s="14"/>
      <c r="I123" s="14"/>
      <c r="J123"/>
    </row>
    <row r="124" spans="1:10" ht="15">
      <c r="A124" s="194" t="s">
        <v>476</v>
      </c>
      <c r="B124" s="352"/>
      <c r="C124" s="325" t="s">
        <v>119</v>
      </c>
      <c r="D124" s="326" t="s">
        <v>121</v>
      </c>
      <c r="E124" s="326" t="s">
        <v>518</v>
      </c>
      <c r="F124" s="328" t="s">
        <v>166</v>
      </c>
      <c r="G124" s="342">
        <v>12208.9</v>
      </c>
      <c r="H124" s="14"/>
      <c r="I124" s="14"/>
      <c r="J124">
        <f>SUM('ведомствен.2015'!G142)+'ведомствен.2015'!G347</f>
        <v>12208.9</v>
      </c>
    </row>
    <row r="125" spans="1:10" ht="42.75" hidden="1">
      <c r="A125" s="194" t="s">
        <v>519</v>
      </c>
      <c r="B125" s="352"/>
      <c r="C125" s="325" t="s">
        <v>119</v>
      </c>
      <c r="D125" s="326" t="s">
        <v>121</v>
      </c>
      <c r="E125" s="326" t="s">
        <v>518</v>
      </c>
      <c r="F125" s="328" t="s">
        <v>192</v>
      </c>
      <c r="G125" s="342"/>
      <c r="H125" s="14"/>
      <c r="I125" s="14"/>
      <c r="J125"/>
    </row>
    <row r="126" spans="1:10" ht="15">
      <c r="A126" s="194" t="s">
        <v>122</v>
      </c>
      <c r="B126" s="352"/>
      <c r="C126" s="325" t="s">
        <v>119</v>
      </c>
      <c r="D126" s="326" t="s">
        <v>121</v>
      </c>
      <c r="E126" s="326" t="s">
        <v>383</v>
      </c>
      <c r="F126" s="328"/>
      <c r="G126" s="342">
        <f>G127</f>
        <v>16218</v>
      </c>
      <c r="H126" s="14"/>
      <c r="I126" s="14"/>
      <c r="J126"/>
    </row>
    <row r="127" spans="1:10" ht="28.5">
      <c r="A127" s="194" t="s">
        <v>15</v>
      </c>
      <c r="B127" s="352"/>
      <c r="C127" s="325" t="s">
        <v>119</v>
      </c>
      <c r="D127" s="326" t="s">
        <v>121</v>
      </c>
      <c r="E127" s="326" t="s">
        <v>76</v>
      </c>
      <c r="F127" s="328"/>
      <c r="G127" s="342">
        <f>SUM(G128)</f>
        <v>16218</v>
      </c>
      <c r="H127" s="14"/>
      <c r="I127" s="14"/>
      <c r="J127"/>
    </row>
    <row r="128" spans="1:10" ht="28.5">
      <c r="A128" s="194" t="s">
        <v>189</v>
      </c>
      <c r="B128" s="352"/>
      <c r="C128" s="325" t="s">
        <v>119</v>
      </c>
      <c r="D128" s="326" t="s">
        <v>121</v>
      </c>
      <c r="E128" s="326" t="s">
        <v>77</v>
      </c>
      <c r="F128" s="328"/>
      <c r="G128" s="342">
        <f>SUM(G129)</f>
        <v>16218</v>
      </c>
      <c r="H128" s="14">
        <f>SUM(H129)+H130</f>
        <v>30706.4</v>
      </c>
      <c r="I128" s="14">
        <f>SUM(H128/G134*100)</f>
        <v>84.42921796895192</v>
      </c>
      <c r="J128"/>
    </row>
    <row r="129" spans="1:10" ht="28.5">
      <c r="A129" s="194" t="s">
        <v>496</v>
      </c>
      <c r="B129" s="352"/>
      <c r="C129" s="325" t="s">
        <v>119</v>
      </c>
      <c r="D129" s="326" t="s">
        <v>121</v>
      </c>
      <c r="E129" s="326" t="s">
        <v>77</v>
      </c>
      <c r="F129" s="328" t="s">
        <v>487</v>
      </c>
      <c r="G129" s="342">
        <v>16218</v>
      </c>
      <c r="H129" s="14">
        <v>30706.4</v>
      </c>
      <c r="I129" s="14" t="e">
        <f>SUM(H129/G135*100)</f>
        <v>#DIV/0!</v>
      </c>
      <c r="J129" s="37">
        <f>SUM('ведомствен.2015'!G147)</f>
        <v>16218</v>
      </c>
    </row>
    <row r="130" spans="1:10" ht="15" hidden="1">
      <c r="A130" s="194" t="s">
        <v>497</v>
      </c>
      <c r="B130" s="352"/>
      <c r="C130" s="325" t="s">
        <v>119</v>
      </c>
      <c r="D130" s="326" t="s">
        <v>121</v>
      </c>
      <c r="E130" s="326" t="s">
        <v>77</v>
      </c>
      <c r="F130" s="328" t="s">
        <v>498</v>
      </c>
      <c r="G130" s="342"/>
      <c r="H130" s="14">
        <f>SUM(H131)</f>
        <v>0</v>
      </c>
      <c r="I130" s="14" t="e">
        <f>SUM(H130/G136*100)</f>
        <v>#DIV/0!</v>
      </c>
      <c r="J130"/>
    </row>
    <row r="131" spans="1:10" ht="42.75" hidden="1">
      <c r="A131" s="376" t="s">
        <v>499</v>
      </c>
      <c r="B131" s="352"/>
      <c r="C131" s="325" t="s">
        <v>119</v>
      </c>
      <c r="D131" s="326" t="s">
        <v>121</v>
      </c>
      <c r="E131" s="326" t="s">
        <v>77</v>
      </c>
      <c r="F131" s="328" t="s">
        <v>58</v>
      </c>
      <c r="G131" s="342"/>
      <c r="H131" s="14"/>
      <c r="I131" s="14" t="e">
        <f>SUM(H131/G137*100)</f>
        <v>#DIV/0!</v>
      </c>
      <c r="J131"/>
    </row>
    <row r="132" spans="1:10" ht="15">
      <c r="A132" s="194" t="s">
        <v>142</v>
      </c>
      <c r="B132" s="352"/>
      <c r="C132" s="325" t="s">
        <v>119</v>
      </c>
      <c r="D132" s="326" t="s">
        <v>279</v>
      </c>
      <c r="E132" s="326"/>
      <c r="F132" s="328"/>
      <c r="G132" s="342">
        <f>G133</f>
        <v>36369.4</v>
      </c>
      <c r="H132" s="14"/>
      <c r="I132" s="14"/>
      <c r="J132"/>
    </row>
    <row r="133" spans="1:9" s="71" customFormat="1" ht="42.75">
      <c r="A133" s="194" t="s">
        <v>38</v>
      </c>
      <c r="B133" s="352"/>
      <c r="C133" s="325" t="s">
        <v>119</v>
      </c>
      <c r="D133" s="326" t="s">
        <v>279</v>
      </c>
      <c r="E133" s="326" t="s">
        <v>39</v>
      </c>
      <c r="F133" s="328"/>
      <c r="G133" s="342">
        <f>G134</f>
        <v>36369.4</v>
      </c>
      <c r="H133" s="18"/>
      <c r="I133" s="18"/>
    </row>
    <row r="134" spans="1:10" s="71" customFormat="1" ht="15">
      <c r="A134" s="194" t="s">
        <v>475</v>
      </c>
      <c r="B134" s="352"/>
      <c r="C134" s="325" t="s">
        <v>119</v>
      </c>
      <c r="D134" s="326" t="s">
        <v>279</v>
      </c>
      <c r="E134" s="326" t="s">
        <v>39</v>
      </c>
      <c r="F134" s="328" t="s">
        <v>117</v>
      </c>
      <c r="G134" s="342">
        <v>36369.4</v>
      </c>
      <c r="H134" s="18"/>
      <c r="I134" s="18"/>
      <c r="J134" s="37">
        <f>SUM('ведомствен.2015'!G152)</f>
        <v>36369.4</v>
      </c>
    </row>
    <row r="135" spans="1:9" s="2" customFormat="1" ht="28.5" hidden="1">
      <c r="A135" s="194" t="s">
        <v>490</v>
      </c>
      <c r="B135" s="352"/>
      <c r="C135" s="325" t="s">
        <v>119</v>
      </c>
      <c r="D135" s="326" t="s">
        <v>279</v>
      </c>
      <c r="E135" s="326" t="s">
        <v>39</v>
      </c>
      <c r="F135" s="328" t="s">
        <v>491</v>
      </c>
      <c r="G135" s="342"/>
      <c r="H135" s="18"/>
      <c r="I135" s="18"/>
    </row>
    <row r="136" spans="1:9" s="75" customFormat="1" ht="28.5" hidden="1">
      <c r="A136" s="194" t="s">
        <v>492</v>
      </c>
      <c r="B136" s="352"/>
      <c r="C136" s="325" t="s">
        <v>119</v>
      </c>
      <c r="D136" s="326" t="s">
        <v>279</v>
      </c>
      <c r="E136" s="326" t="s">
        <v>39</v>
      </c>
      <c r="F136" s="328" t="s">
        <v>493</v>
      </c>
      <c r="G136" s="342"/>
      <c r="H136" s="74"/>
      <c r="I136" s="74"/>
    </row>
    <row r="137" spans="1:9" s="15" customFormat="1" ht="28.5" hidden="1">
      <c r="A137" s="194" t="s">
        <v>520</v>
      </c>
      <c r="B137" s="352"/>
      <c r="C137" s="325" t="s">
        <v>119</v>
      </c>
      <c r="D137" s="326" t="s">
        <v>279</v>
      </c>
      <c r="E137" s="326" t="s">
        <v>39</v>
      </c>
      <c r="F137" s="328" t="s">
        <v>493</v>
      </c>
      <c r="G137" s="342"/>
      <c r="H137" s="14"/>
      <c r="I137" s="14"/>
    </row>
    <row r="138" spans="1:9" s="15" customFormat="1" ht="15">
      <c r="A138" s="194" t="s">
        <v>384</v>
      </c>
      <c r="B138" s="352"/>
      <c r="C138" s="325" t="s">
        <v>119</v>
      </c>
      <c r="D138" s="326" t="s">
        <v>374</v>
      </c>
      <c r="E138" s="326"/>
      <c r="F138" s="328"/>
      <c r="G138" s="342">
        <f>SUM(G139+G153+G159)+G157</f>
        <v>16281.6</v>
      </c>
      <c r="H138" s="14"/>
      <c r="I138" s="14"/>
    </row>
    <row r="139" spans="1:9" s="15" customFormat="1" ht="28.5">
      <c r="A139" s="194" t="s">
        <v>514</v>
      </c>
      <c r="B139" s="352"/>
      <c r="C139" s="325" t="s">
        <v>119</v>
      </c>
      <c r="D139" s="326" t="s">
        <v>374</v>
      </c>
      <c r="E139" s="326" t="s">
        <v>515</v>
      </c>
      <c r="F139" s="328"/>
      <c r="G139" s="342">
        <f>SUM(G144)+G140</f>
        <v>4350.900000000001</v>
      </c>
      <c r="H139" s="14"/>
      <c r="I139" s="14"/>
    </row>
    <row r="140" spans="1:9" s="15" customFormat="1" ht="15">
      <c r="A140" s="183" t="s">
        <v>732</v>
      </c>
      <c r="B140" s="257"/>
      <c r="C140" s="256" t="s">
        <v>119</v>
      </c>
      <c r="D140" s="256" t="s">
        <v>374</v>
      </c>
      <c r="E140" s="256" t="s">
        <v>733</v>
      </c>
      <c r="F140" s="285"/>
      <c r="G140" s="207">
        <f>SUM(G141)</f>
        <v>722.1</v>
      </c>
      <c r="H140" s="14"/>
      <c r="I140" s="14"/>
    </row>
    <row r="141" spans="1:9" s="15" customFormat="1" ht="28.5">
      <c r="A141" s="183" t="s">
        <v>15</v>
      </c>
      <c r="B141" s="257"/>
      <c r="C141" s="256" t="s">
        <v>119</v>
      </c>
      <c r="D141" s="256" t="s">
        <v>374</v>
      </c>
      <c r="E141" s="256" t="s">
        <v>734</v>
      </c>
      <c r="F141" s="285"/>
      <c r="G141" s="207">
        <f>SUM(G142)</f>
        <v>722.1</v>
      </c>
      <c r="H141" s="14"/>
      <c r="I141" s="14"/>
    </row>
    <row r="142" spans="1:9" s="15" customFormat="1" ht="28.5">
      <c r="A142" s="183" t="s">
        <v>189</v>
      </c>
      <c r="B142" s="257"/>
      <c r="C142" s="256" t="s">
        <v>119</v>
      </c>
      <c r="D142" s="256" t="s">
        <v>374</v>
      </c>
      <c r="E142" s="256" t="s">
        <v>735</v>
      </c>
      <c r="F142" s="285"/>
      <c r="G142" s="207">
        <f>SUM(G143)</f>
        <v>722.1</v>
      </c>
      <c r="H142" s="14"/>
      <c r="I142" s="14"/>
    </row>
    <row r="143" spans="1:10" s="15" customFormat="1" ht="28.5">
      <c r="A143" s="183" t="s">
        <v>496</v>
      </c>
      <c r="B143" s="257"/>
      <c r="C143" s="256" t="s">
        <v>119</v>
      </c>
      <c r="D143" s="256" t="s">
        <v>374</v>
      </c>
      <c r="E143" s="256" t="s">
        <v>735</v>
      </c>
      <c r="F143" s="285" t="s">
        <v>487</v>
      </c>
      <c r="G143" s="207">
        <v>722.1</v>
      </c>
      <c r="H143" s="14"/>
      <c r="I143" s="14"/>
      <c r="J143" s="15">
        <f>SUM('ведомствен.2015'!G161)</f>
        <v>722.1</v>
      </c>
    </row>
    <row r="144" spans="1:9" s="15" customFormat="1" ht="18.75" customHeight="1">
      <c r="A144" s="194" t="s">
        <v>389</v>
      </c>
      <c r="B144" s="352"/>
      <c r="C144" s="325" t="s">
        <v>119</v>
      </c>
      <c r="D144" s="326" t="s">
        <v>374</v>
      </c>
      <c r="E144" s="326" t="s">
        <v>521</v>
      </c>
      <c r="F144" s="328"/>
      <c r="G144" s="342">
        <f>SUM(G145,G149)</f>
        <v>3628.8</v>
      </c>
      <c r="H144" s="14"/>
      <c r="I144" s="14"/>
    </row>
    <row r="145" spans="1:9" s="75" customFormat="1" ht="15" hidden="1">
      <c r="A145" s="194" t="s">
        <v>526</v>
      </c>
      <c r="B145" s="352"/>
      <c r="C145" s="325" t="s">
        <v>119</v>
      </c>
      <c r="D145" s="326" t="s">
        <v>374</v>
      </c>
      <c r="E145" s="156" t="s">
        <v>522</v>
      </c>
      <c r="F145" s="328"/>
      <c r="G145" s="342">
        <f>SUM(G146)</f>
        <v>0</v>
      </c>
      <c r="H145" s="74"/>
      <c r="I145" s="74"/>
    </row>
    <row r="146" spans="1:10" s="75" customFormat="1" ht="18.75" customHeight="1" hidden="1">
      <c r="A146" s="194" t="s">
        <v>475</v>
      </c>
      <c r="B146" s="352"/>
      <c r="C146" s="325" t="s">
        <v>119</v>
      </c>
      <c r="D146" s="326" t="s">
        <v>374</v>
      </c>
      <c r="E146" s="156" t="s">
        <v>522</v>
      </c>
      <c r="F146" s="328" t="s">
        <v>117</v>
      </c>
      <c r="G146" s="342"/>
      <c r="H146" s="74"/>
      <c r="I146" s="74"/>
      <c r="J146" s="37">
        <f>SUM('ведомствен.2015'!G164)</f>
        <v>0</v>
      </c>
    </row>
    <row r="147" spans="1:9" s="75" customFormat="1" ht="28.5" hidden="1">
      <c r="A147" s="194" t="s">
        <v>490</v>
      </c>
      <c r="B147" s="352"/>
      <c r="C147" s="325" t="s">
        <v>119</v>
      </c>
      <c r="D147" s="326" t="s">
        <v>374</v>
      </c>
      <c r="E147" s="156" t="s">
        <v>522</v>
      </c>
      <c r="F147" s="328" t="s">
        <v>491</v>
      </c>
      <c r="G147" s="342"/>
      <c r="H147" s="74"/>
      <c r="I147" s="74"/>
    </row>
    <row r="148" spans="1:9" s="75" customFormat="1" ht="28.5">
      <c r="A148" s="194" t="s">
        <v>15</v>
      </c>
      <c r="B148" s="352"/>
      <c r="C148" s="325" t="s">
        <v>119</v>
      </c>
      <c r="D148" s="326" t="s">
        <v>374</v>
      </c>
      <c r="E148" s="326" t="s">
        <v>527</v>
      </c>
      <c r="F148" s="328"/>
      <c r="G148" s="342">
        <f>SUM(G149)</f>
        <v>3628.8</v>
      </c>
      <c r="H148" s="74"/>
      <c r="I148" s="74"/>
    </row>
    <row r="149" spans="1:9" s="75" customFormat="1" ht="28.5">
      <c r="A149" s="194" t="s">
        <v>189</v>
      </c>
      <c r="B149" s="352"/>
      <c r="C149" s="325" t="s">
        <v>119</v>
      </c>
      <c r="D149" s="326" t="s">
        <v>374</v>
      </c>
      <c r="E149" s="326" t="s">
        <v>523</v>
      </c>
      <c r="F149" s="328"/>
      <c r="G149" s="342">
        <f>G150</f>
        <v>3628.8</v>
      </c>
      <c r="H149" s="74"/>
      <c r="I149" s="74"/>
    </row>
    <row r="150" spans="1:10" s="75" customFormat="1" ht="28.5">
      <c r="A150" s="194" t="s">
        <v>496</v>
      </c>
      <c r="B150" s="352"/>
      <c r="C150" s="325" t="s">
        <v>119</v>
      </c>
      <c r="D150" s="326" t="s">
        <v>374</v>
      </c>
      <c r="E150" s="326" t="s">
        <v>523</v>
      </c>
      <c r="F150" s="328" t="s">
        <v>487</v>
      </c>
      <c r="G150" s="342">
        <v>3628.8</v>
      </c>
      <c r="H150" s="74"/>
      <c r="I150" s="74"/>
      <c r="J150" s="37">
        <f>SUM('ведомствен.2015'!G168)</f>
        <v>3628.8</v>
      </c>
    </row>
    <row r="151" spans="1:9" s="75" customFormat="1" ht="15" hidden="1">
      <c r="A151" s="194" t="s">
        <v>497</v>
      </c>
      <c r="B151" s="352"/>
      <c r="C151" s="325" t="s">
        <v>119</v>
      </c>
      <c r="D151" s="326" t="s">
        <v>374</v>
      </c>
      <c r="E151" s="326" t="s">
        <v>523</v>
      </c>
      <c r="F151" s="328" t="s">
        <v>498</v>
      </c>
      <c r="G151" s="342"/>
      <c r="H151" s="74"/>
      <c r="I151" s="74"/>
    </row>
    <row r="152" spans="1:9" s="75" customFormat="1" ht="42.75" hidden="1">
      <c r="A152" s="376" t="s">
        <v>499</v>
      </c>
      <c r="B152" s="354"/>
      <c r="C152" s="317" t="s">
        <v>119</v>
      </c>
      <c r="D152" s="318" t="s">
        <v>374</v>
      </c>
      <c r="E152" s="318" t="s">
        <v>523</v>
      </c>
      <c r="F152" s="319" t="s">
        <v>58</v>
      </c>
      <c r="G152" s="344"/>
      <c r="H152" s="74"/>
      <c r="I152" s="74"/>
    </row>
    <row r="153" spans="1:9" s="75" customFormat="1" ht="28.5">
      <c r="A153" s="194" t="s">
        <v>386</v>
      </c>
      <c r="B153" s="350"/>
      <c r="C153" s="325" t="s">
        <v>119</v>
      </c>
      <c r="D153" s="326" t="s">
        <v>374</v>
      </c>
      <c r="E153" s="156" t="s">
        <v>387</v>
      </c>
      <c r="F153" s="166"/>
      <c r="G153" s="216">
        <f>SUM(G154)</f>
        <v>6277.2</v>
      </c>
      <c r="H153" s="74"/>
      <c r="I153" s="74"/>
    </row>
    <row r="154" spans="1:9" s="75" customFormat="1" ht="28.5">
      <c r="A154" s="194" t="s">
        <v>15</v>
      </c>
      <c r="B154" s="352"/>
      <c r="C154" s="325" t="s">
        <v>119</v>
      </c>
      <c r="D154" s="326" t="s">
        <v>374</v>
      </c>
      <c r="E154" s="326" t="s">
        <v>576</v>
      </c>
      <c r="F154" s="328"/>
      <c r="G154" s="342">
        <f>SUM(G155)</f>
        <v>6277.2</v>
      </c>
      <c r="H154" s="74"/>
      <c r="I154" s="74"/>
    </row>
    <row r="155" spans="1:9" s="75" customFormat="1" ht="28.5">
      <c r="A155" s="194" t="s">
        <v>189</v>
      </c>
      <c r="B155" s="352"/>
      <c r="C155" s="325" t="s">
        <v>119</v>
      </c>
      <c r="D155" s="326" t="s">
        <v>374</v>
      </c>
      <c r="E155" s="326" t="s">
        <v>577</v>
      </c>
      <c r="F155" s="328"/>
      <c r="G155" s="342">
        <f>G156</f>
        <v>6277.2</v>
      </c>
      <c r="H155" s="74"/>
      <c r="I155" s="74"/>
    </row>
    <row r="156" spans="1:10" s="75" customFormat="1" ht="28.5">
      <c r="A156" s="194" t="s">
        <v>496</v>
      </c>
      <c r="B156" s="352"/>
      <c r="C156" s="325" t="s">
        <v>119</v>
      </c>
      <c r="D156" s="326" t="s">
        <v>374</v>
      </c>
      <c r="E156" s="326" t="s">
        <v>577</v>
      </c>
      <c r="F156" s="328" t="s">
        <v>487</v>
      </c>
      <c r="G156" s="342">
        <v>6277.2</v>
      </c>
      <c r="H156" s="74"/>
      <c r="I156" s="74"/>
      <c r="J156" s="75">
        <f>SUM('ведомствен.2015'!G352)</f>
        <v>6277.2</v>
      </c>
    </row>
    <row r="157" spans="1:9" s="75" customFormat="1" ht="15" hidden="1">
      <c r="A157" s="372" t="s">
        <v>485</v>
      </c>
      <c r="B157" s="350"/>
      <c r="C157" s="325" t="s">
        <v>119</v>
      </c>
      <c r="D157" s="326" t="s">
        <v>374</v>
      </c>
      <c r="E157" s="107" t="s">
        <v>486</v>
      </c>
      <c r="F157" s="165"/>
      <c r="G157" s="216">
        <f>SUM(G158)</f>
        <v>0</v>
      </c>
      <c r="H157" s="74"/>
      <c r="I157" s="74"/>
    </row>
    <row r="158" spans="1:10" s="75" customFormat="1" ht="15" hidden="1">
      <c r="A158" s="371" t="s">
        <v>476</v>
      </c>
      <c r="B158" s="350"/>
      <c r="C158" s="325" t="s">
        <v>119</v>
      </c>
      <c r="D158" s="326" t="s">
        <v>374</v>
      </c>
      <c r="E158" s="107" t="s">
        <v>486</v>
      </c>
      <c r="F158" s="165" t="s">
        <v>166</v>
      </c>
      <c r="G158" s="216"/>
      <c r="H158" s="74"/>
      <c r="I158" s="74"/>
      <c r="J158" s="75">
        <f>SUM('ведомствен.2015'!G322)</f>
        <v>0</v>
      </c>
    </row>
    <row r="159" spans="1:9" s="75" customFormat="1" ht="16.5" customHeight="1">
      <c r="A159" s="373" t="s">
        <v>524</v>
      </c>
      <c r="B159" s="354"/>
      <c r="C159" s="317" t="s">
        <v>119</v>
      </c>
      <c r="D159" s="318" t="s">
        <v>374</v>
      </c>
      <c r="E159" s="318" t="s">
        <v>126</v>
      </c>
      <c r="F159" s="319"/>
      <c r="G159" s="344">
        <f>G160</f>
        <v>5653.5</v>
      </c>
      <c r="H159" s="74"/>
      <c r="I159" s="74"/>
    </row>
    <row r="160" spans="1:9" s="75" customFormat="1" ht="28.5">
      <c r="A160" s="373" t="s">
        <v>525</v>
      </c>
      <c r="B160" s="354"/>
      <c r="C160" s="317" t="s">
        <v>119</v>
      </c>
      <c r="D160" s="318" t="s">
        <v>374</v>
      </c>
      <c r="E160" s="318" t="s">
        <v>54</v>
      </c>
      <c r="F160" s="319"/>
      <c r="G160" s="344">
        <f>SUM(G161)</f>
        <v>5653.5</v>
      </c>
      <c r="H160" s="74"/>
      <c r="I160" s="74"/>
    </row>
    <row r="161" spans="1:10" s="75" customFormat="1" ht="28.5">
      <c r="A161" s="376" t="s">
        <v>496</v>
      </c>
      <c r="B161" s="354"/>
      <c r="C161" s="317" t="s">
        <v>119</v>
      </c>
      <c r="D161" s="318" t="s">
        <v>374</v>
      </c>
      <c r="E161" s="318" t="s">
        <v>54</v>
      </c>
      <c r="F161" s="319" t="s">
        <v>487</v>
      </c>
      <c r="G161" s="344">
        <v>5653.5</v>
      </c>
      <c r="H161" s="74"/>
      <c r="I161" s="74"/>
      <c r="J161" s="75">
        <f>SUM('ведомствен.2015'!G173)</f>
        <v>5653.5</v>
      </c>
    </row>
    <row r="162" spans="1:12" ht="15">
      <c r="A162" s="378" t="s">
        <v>390</v>
      </c>
      <c r="B162" s="356"/>
      <c r="C162" s="171" t="s">
        <v>128</v>
      </c>
      <c r="D162" s="158"/>
      <c r="E162" s="158"/>
      <c r="F162" s="172"/>
      <c r="G162" s="343">
        <f>SUM(G163+G215+G222+G234)</f>
        <v>87096.6</v>
      </c>
      <c r="H162" s="14">
        <f>SUM(H163)</f>
        <v>0</v>
      </c>
      <c r="I162" s="14" t="e">
        <f aca="true" t="shared" si="3" ref="I162:I185">SUM(H162/G168*100)</f>
        <v>#DIV/0!</v>
      </c>
      <c r="J162"/>
      <c r="K162">
        <f>SUM(J163:J245)</f>
        <v>87096.6</v>
      </c>
      <c r="L162">
        <f>SUM('ведомствен.2015'!G174)+'ведомствен.2015'!G323</f>
        <v>87096.6</v>
      </c>
    </row>
    <row r="163" spans="1:10" ht="15" hidden="1">
      <c r="A163" s="371" t="s">
        <v>391</v>
      </c>
      <c r="B163" s="350"/>
      <c r="C163" s="68" t="s">
        <v>128</v>
      </c>
      <c r="D163" s="107" t="s">
        <v>427</v>
      </c>
      <c r="E163" s="107"/>
      <c r="F163" s="165"/>
      <c r="G163" s="216"/>
      <c r="H163" s="14"/>
      <c r="I163" s="14" t="e">
        <f t="shared" si="3"/>
        <v>#DIV/0!</v>
      </c>
      <c r="J163">
        <f>SUM('ведомствен.2015'!G181)</f>
        <v>0</v>
      </c>
    </row>
    <row r="164" spans="1:10" ht="42.75" hidden="1">
      <c r="A164" s="194" t="s">
        <v>392</v>
      </c>
      <c r="B164" s="350"/>
      <c r="C164" s="68" t="s">
        <v>128</v>
      </c>
      <c r="D164" s="107" t="s">
        <v>427</v>
      </c>
      <c r="E164" s="107" t="s">
        <v>393</v>
      </c>
      <c r="F164" s="165"/>
      <c r="G164" s="216">
        <f>SUM(G165+G172)</f>
        <v>0</v>
      </c>
      <c r="H164" s="14">
        <f>SUM(H165)</f>
        <v>4761.6</v>
      </c>
      <c r="I164" s="14" t="e">
        <f t="shared" si="3"/>
        <v>#DIV/0!</v>
      </c>
      <c r="J164"/>
    </row>
    <row r="165" spans="1:10" ht="71.25" hidden="1">
      <c r="A165" s="194" t="s">
        <v>394</v>
      </c>
      <c r="B165" s="350"/>
      <c r="C165" s="68" t="s">
        <v>128</v>
      </c>
      <c r="D165" s="107" t="s">
        <v>427</v>
      </c>
      <c r="E165" s="107" t="s">
        <v>395</v>
      </c>
      <c r="F165" s="165"/>
      <c r="G165" s="216">
        <f>SUM(G166+G168+G170)</f>
        <v>0</v>
      </c>
      <c r="H165" s="14">
        <v>4761.6</v>
      </c>
      <c r="I165" s="14" t="e">
        <f t="shared" si="3"/>
        <v>#DIV/0!</v>
      </c>
      <c r="J165"/>
    </row>
    <row r="166" spans="1:10" ht="57" hidden="1">
      <c r="A166" s="194" t="s">
        <v>28</v>
      </c>
      <c r="B166" s="350"/>
      <c r="C166" s="68" t="s">
        <v>128</v>
      </c>
      <c r="D166" s="107" t="s">
        <v>427</v>
      </c>
      <c r="E166" s="107" t="s">
        <v>29</v>
      </c>
      <c r="F166" s="165"/>
      <c r="G166" s="216">
        <f>SUM(G167)</f>
        <v>0</v>
      </c>
      <c r="H166" s="14">
        <f>SUM(H167)+H177+H173</f>
        <v>3383.9</v>
      </c>
      <c r="I166" s="14" t="e">
        <f t="shared" si="3"/>
        <v>#DIV/0!</v>
      </c>
      <c r="J166"/>
    </row>
    <row r="167" spans="1:10" ht="15" hidden="1">
      <c r="A167" s="371" t="s">
        <v>7</v>
      </c>
      <c r="B167" s="350"/>
      <c r="C167" s="68" t="s">
        <v>128</v>
      </c>
      <c r="D167" s="107" t="s">
        <v>427</v>
      </c>
      <c r="E167" s="107" t="s">
        <v>29</v>
      </c>
      <c r="F167" s="165" t="s">
        <v>8</v>
      </c>
      <c r="G167" s="216"/>
      <c r="H167" s="14">
        <f>SUM(H168+H169)</f>
        <v>1562</v>
      </c>
      <c r="I167" s="14" t="e">
        <f t="shared" si="3"/>
        <v>#DIV/0!</v>
      </c>
      <c r="J167"/>
    </row>
    <row r="168" spans="1:9" ht="57" hidden="1">
      <c r="A168" s="194" t="s">
        <v>30</v>
      </c>
      <c r="B168" s="350"/>
      <c r="C168" s="68" t="s">
        <v>128</v>
      </c>
      <c r="D168" s="107" t="s">
        <v>427</v>
      </c>
      <c r="E168" s="107" t="s">
        <v>31</v>
      </c>
      <c r="F168" s="165"/>
      <c r="G168" s="216">
        <f>SUM(G169)</f>
        <v>0</v>
      </c>
      <c r="H168" s="14">
        <v>233.9</v>
      </c>
      <c r="I168" s="14" t="e">
        <f t="shared" si="3"/>
        <v>#DIV/0!</v>
      </c>
    </row>
    <row r="169" spans="1:10" ht="15" hidden="1">
      <c r="A169" s="379" t="s">
        <v>131</v>
      </c>
      <c r="B169" s="350"/>
      <c r="C169" s="68" t="s">
        <v>128</v>
      </c>
      <c r="D169" s="107" t="s">
        <v>427</v>
      </c>
      <c r="E169" s="107" t="s">
        <v>31</v>
      </c>
      <c r="F169" s="165" t="s">
        <v>132</v>
      </c>
      <c r="G169" s="216"/>
      <c r="H169" s="14">
        <v>1328.1</v>
      </c>
      <c r="I169" s="14" t="e">
        <f t="shared" si="3"/>
        <v>#DIV/0!</v>
      </c>
      <c r="J169"/>
    </row>
    <row r="170" spans="1:10" ht="71.25" hidden="1">
      <c r="A170" s="194" t="s">
        <v>235</v>
      </c>
      <c r="B170" s="350"/>
      <c r="C170" s="68" t="s">
        <v>128</v>
      </c>
      <c r="D170" s="107" t="s">
        <v>427</v>
      </c>
      <c r="E170" s="107" t="s">
        <v>136</v>
      </c>
      <c r="F170" s="165"/>
      <c r="G170" s="216">
        <f>SUM(G171)</f>
        <v>0</v>
      </c>
      <c r="H170" s="14">
        <f>SUM(H171)</f>
        <v>0</v>
      </c>
      <c r="I170" s="14" t="e">
        <f t="shared" si="3"/>
        <v>#DIV/0!</v>
      </c>
      <c r="J170"/>
    </row>
    <row r="171" spans="1:10" ht="15" hidden="1">
      <c r="A171" s="379" t="s">
        <v>131</v>
      </c>
      <c r="B171" s="350"/>
      <c r="C171" s="68" t="s">
        <v>128</v>
      </c>
      <c r="D171" s="107" t="s">
        <v>427</v>
      </c>
      <c r="E171" s="107" t="s">
        <v>136</v>
      </c>
      <c r="F171" s="165" t="s">
        <v>132</v>
      </c>
      <c r="G171" s="216"/>
      <c r="H171" s="14">
        <f>SUM(H172)</f>
        <v>0</v>
      </c>
      <c r="I171" s="14" t="e">
        <f t="shared" si="3"/>
        <v>#DIV/0!</v>
      </c>
      <c r="J171"/>
    </row>
    <row r="172" spans="1:10" ht="42.75" hidden="1">
      <c r="A172" s="194" t="s">
        <v>396</v>
      </c>
      <c r="B172" s="350"/>
      <c r="C172" s="68" t="s">
        <v>128</v>
      </c>
      <c r="D172" s="107" t="s">
        <v>427</v>
      </c>
      <c r="E172" s="107" t="s">
        <v>397</v>
      </c>
      <c r="F172" s="165"/>
      <c r="G172" s="216">
        <f>SUM(G173)+G179+G182</f>
        <v>0</v>
      </c>
      <c r="H172" s="14"/>
      <c r="I172" s="14" t="e">
        <f t="shared" si="3"/>
        <v>#DIV/0!</v>
      </c>
      <c r="J172"/>
    </row>
    <row r="173" spans="1:10" ht="28.5" hidden="1">
      <c r="A173" s="194" t="s">
        <v>398</v>
      </c>
      <c r="B173" s="350"/>
      <c r="C173" s="68" t="s">
        <v>128</v>
      </c>
      <c r="D173" s="107" t="s">
        <v>427</v>
      </c>
      <c r="E173" s="107" t="s">
        <v>399</v>
      </c>
      <c r="F173" s="165"/>
      <c r="G173" s="216">
        <f>SUM(G174+G175)</f>
        <v>0</v>
      </c>
      <c r="H173" s="14">
        <f>SUM(H175+H176)</f>
        <v>0</v>
      </c>
      <c r="I173" s="14" t="e">
        <f t="shared" si="3"/>
        <v>#DIV/0!</v>
      </c>
      <c r="J173"/>
    </row>
    <row r="174" spans="1:9" s="16" customFormat="1" ht="15" hidden="1">
      <c r="A174" s="194" t="s">
        <v>7</v>
      </c>
      <c r="B174" s="350"/>
      <c r="C174" s="68" t="s">
        <v>128</v>
      </c>
      <c r="D174" s="107" t="s">
        <v>427</v>
      </c>
      <c r="E174" s="107" t="s">
        <v>399</v>
      </c>
      <c r="F174" s="165" t="s">
        <v>8</v>
      </c>
      <c r="G174" s="216"/>
      <c r="H174" s="14">
        <v>1821.9</v>
      </c>
      <c r="I174" s="14" t="e">
        <f t="shared" si="3"/>
        <v>#DIV/0!</v>
      </c>
    </row>
    <row r="175" spans="1:10" ht="28.5" hidden="1">
      <c r="A175" s="194" t="s">
        <v>400</v>
      </c>
      <c r="B175" s="350"/>
      <c r="C175" s="68" t="s">
        <v>128</v>
      </c>
      <c r="D175" s="107" t="s">
        <v>427</v>
      </c>
      <c r="E175" s="107" t="s">
        <v>399</v>
      </c>
      <c r="F175" s="165" t="s">
        <v>401</v>
      </c>
      <c r="G175" s="216"/>
      <c r="H175" s="14"/>
      <c r="I175" s="14" t="e">
        <f t="shared" si="3"/>
        <v>#DIV/0!</v>
      </c>
      <c r="J175"/>
    </row>
    <row r="176" spans="1:10" ht="28.5" hidden="1">
      <c r="A176" s="194" t="s">
        <v>229</v>
      </c>
      <c r="B176" s="350"/>
      <c r="C176" s="68" t="s">
        <v>128</v>
      </c>
      <c r="D176" s="107" t="s">
        <v>427</v>
      </c>
      <c r="E176" s="107" t="s">
        <v>388</v>
      </c>
      <c r="F176" s="165"/>
      <c r="G176" s="216">
        <f>SUM(G177)</f>
        <v>0</v>
      </c>
      <c r="H176" s="14"/>
      <c r="I176" s="14" t="e">
        <f t="shared" si="3"/>
        <v>#DIV/0!</v>
      </c>
      <c r="J176"/>
    </row>
    <row r="177" spans="1:10" ht="28.5" hidden="1">
      <c r="A177" s="194" t="s">
        <v>129</v>
      </c>
      <c r="B177" s="350"/>
      <c r="C177" s="68" t="s">
        <v>128</v>
      </c>
      <c r="D177" s="107" t="s">
        <v>427</v>
      </c>
      <c r="E177" s="107" t="s">
        <v>130</v>
      </c>
      <c r="F177" s="165"/>
      <c r="G177" s="216">
        <f>SUM(G178)</f>
        <v>0</v>
      </c>
      <c r="H177" s="14">
        <f>SUM(H178)</f>
        <v>1821.9</v>
      </c>
      <c r="I177" s="14" t="e">
        <f t="shared" si="3"/>
        <v>#DIV/0!</v>
      </c>
      <c r="J177"/>
    </row>
    <row r="178" spans="1:9" ht="15" hidden="1">
      <c r="A178" s="194" t="s">
        <v>131</v>
      </c>
      <c r="B178" s="350"/>
      <c r="C178" s="68" t="s">
        <v>128</v>
      </c>
      <c r="D178" s="107" t="s">
        <v>427</v>
      </c>
      <c r="E178" s="107" t="s">
        <v>130</v>
      </c>
      <c r="F178" s="165" t="s">
        <v>132</v>
      </c>
      <c r="G178" s="216"/>
      <c r="H178" s="14">
        <v>1821.9</v>
      </c>
      <c r="I178" s="14" t="e">
        <f t="shared" si="3"/>
        <v>#DIV/0!</v>
      </c>
    </row>
    <row r="179" spans="1:10" ht="28.5" hidden="1">
      <c r="A179" s="194" t="s">
        <v>402</v>
      </c>
      <c r="B179" s="350"/>
      <c r="C179" s="68" t="s">
        <v>128</v>
      </c>
      <c r="D179" s="107" t="s">
        <v>427</v>
      </c>
      <c r="E179" s="107" t="s">
        <v>403</v>
      </c>
      <c r="F179" s="165"/>
      <c r="G179" s="216">
        <f>SUM(G180+G181)</f>
        <v>0</v>
      </c>
      <c r="H179" s="14">
        <f>SUM(H180+H182)</f>
        <v>0</v>
      </c>
      <c r="I179" s="14" t="e">
        <f t="shared" si="3"/>
        <v>#DIV/0!</v>
      </c>
      <c r="J179"/>
    </row>
    <row r="180" spans="1:10" ht="42.75" hidden="1">
      <c r="A180" s="371" t="s">
        <v>16</v>
      </c>
      <c r="B180" s="350"/>
      <c r="C180" s="68" t="s">
        <v>128</v>
      </c>
      <c r="D180" s="107" t="s">
        <v>427</v>
      </c>
      <c r="E180" s="107" t="s">
        <v>403</v>
      </c>
      <c r="F180" s="165" t="s">
        <v>58</v>
      </c>
      <c r="G180" s="216"/>
      <c r="H180" s="14">
        <f>SUM(H181)</f>
        <v>0</v>
      </c>
      <c r="I180" s="14" t="e">
        <f t="shared" si="3"/>
        <v>#DIV/0!</v>
      </c>
      <c r="J180"/>
    </row>
    <row r="181" spans="1:10" ht="15" hidden="1">
      <c r="A181" s="379" t="s">
        <v>131</v>
      </c>
      <c r="B181" s="350"/>
      <c r="C181" s="68" t="s">
        <v>128</v>
      </c>
      <c r="D181" s="107" t="s">
        <v>427</v>
      </c>
      <c r="E181" s="107" t="s">
        <v>403</v>
      </c>
      <c r="F181" s="165" t="s">
        <v>132</v>
      </c>
      <c r="G181" s="216"/>
      <c r="H181" s="14"/>
      <c r="I181" s="14" t="e">
        <f t="shared" si="3"/>
        <v>#DIV/0!</v>
      </c>
      <c r="J181"/>
    </row>
    <row r="182" spans="1:9" s="16" customFormat="1" ht="42.75" hidden="1">
      <c r="A182" s="194" t="s">
        <v>406</v>
      </c>
      <c r="B182" s="350"/>
      <c r="C182" s="68" t="s">
        <v>128</v>
      </c>
      <c r="D182" s="107" t="s">
        <v>427</v>
      </c>
      <c r="E182" s="107" t="s">
        <v>407</v>
      </c>
      <c r="F182" s="165"/>
      <c r="G182" s="216">
        <f>SUM(G183)</f>
        <v>0</v>
      </c>
      <c r="H182" s="14">
        <f>SUM(H183)</f>
        <v>0</v>
      </c>
      <c r="I182" s="14" t="e">
        <f t="shared" si="3"/>
        <v>#DIV/0!</v>
      </c>
    </row>
    <row r="183" spans="1:9" s="20" customFormat="1" ht="15" hidden="1">
      <c r="A183" s="379" t="s">
        <v>131</v>
      </c>
      <c r="B183" s="350"/>
      <c r="C183" s="68" t="s">
        <v>128</v>
      </c>
      <c r="D183" s="107" t="s">
        <v>427</v>
      </c>
      <c r="E183" s="107" t="s">
        <v>407</v>
      </c>
      <c r="F183" s="165" t="s">
        <v>132</v>
      </c>
      <c r="G183" s="216"/>
      <c r="H183" s="18"/>
      <c r="I183" s="14" t="e">
        <f t="shared" si="3"/>
        <v>#DIV/0!</v>
      </c>
    </row>
    <row r="184" spans="1:9" s="19" customFormat="1" ht="15" hidden="1">
      <c r="A184" s="371" t="s">
        <v>408</v>
      </c>
      <c r="B184" s="350"/>
      <c r="C184" s="68" t="s">
        <v>128</v>
      </c>
      <c r="D184" s="107" t="s">
        <v>427</v>
      </c>
      <c r="E184" s="107" t="s">
        <v>409</v>
      </c>
      <c r="F184" s="165"/>
      <c r="G184" s="216">
        <f>SUM(G185+G187)</f>
        <v>0</v>
      </c>
      <c r="H184" s="21" t="e">
        <f>SUM(H187)+#REF!+H185</f>
        <v>#REF!</v>
      </c>
      <c r="I184" s="14" t="e">
        <f t="shared" si="3"/>
        <v>#REF!</v>
      </c>
    </row>
    <row r="185" spans="1:9" s="19" customFormat="1" ht="42.75" hidden="1">
      <c r="A185" s="372" t="s">
        <v>410</v>
      </c>
      <c r="B185" s="350"/>
      <c r="C185" s="68" t="s">
        <v>128</v>
      </c>
      <c r="D185" s="107" t="s">
        <v>427</v>
      </c>
      <c r="E185" s="107" t="s">
        <v>411</v>
      </c>
      <c r="F185" s="165"/>
      <c r="G185" s="216">
        <f>SUM(G186)</f>
        <v>0</v>
      </c>
      <c r="H185" s="21">
        <f>SUM(H186)</f>
        <v>0</v>
      </c>
      <c r="I185" s="14" t="e">
        <f t="shared" si="3"/>
        <v>#DIV/0!</v>
      </c>
    </row>
    <row r="186" spans="1:9" s="19" customFormat="1" ht="15" hidden="1">
      <c r="A186" s="371" t="s">
        <v>7</v>
      </c>
      <c r="B186" s="350"/>
      <c r="C186" s="68" t="s">
        <v>128</v>
      </c>
      <c r="D186" s="107" t="s">
        <v>427</v>
      </c>
      <c r="E186" s="107" t="s">
        <v>411</v>
      </c>
      <c r="F186" s="165" t="s">
        <v>8</v>
      </c>
      <c r="G186" s="216"/>
      <c r="H186" s="21"/>
      <c r="I186" s="14" t="e">
        <f>SUM(H186/#REF!*100)</f>
        <v>#REF!</v>
      </c>
    </row>
    <row r="187" spans="1:9" s="19" customFormat="1" ht="28.5" hidden="1">
      <c r="A187" s="372" t="s">
        <v>412</v>
      </c>
      <c r="B187" s="215"/>
      <c r="C187" s="68" t="s">
        <v>128</v>
      </c>
      <c r="D187" s="107" t="s">
        <v>427</v>
      </c>
      <c r="E187" s="107" t="s">
        <v>413</v>
      </c>
      <c r="F187" s="166"/>
      <c r="G187" s="216">
        <f>SUM(G188)</f>
        <v>0</v>
      </c>
      <c r="H187" s="21" t="e">
        <f>SUM(H188+H190)</f>
        <v>#REF!</v>
      </c>
      <c r="I187" s="14" t="e">
        <f>SUM(H187/G192*100)</f>
        <v>#REF!</v>
      </c>
    </row>
    <row r="188" spans="1:9" s="19" customFormat="1" ht="15" hidden="1">
      <c r="A188" s="371" t="s">
        <v>100</v>
      </c>
      <c r="B188" s="357"/>
      <c r="C188" s="68" t="s">
        <v>128</v>
      </c>
      <c r="D188" s="107" t="s">
        <v>427</v>
      </c>
      <c r="E188" s="107" t="s">
        <v>413</v>
      </c>
      <c r="F188" s="165" t="s">
        <v>101</v>
      </c>
      <c r="G188" s="216"/>
      <c r="H188" s="21">
        <f>SUM(H189)</f>
        <v>0</v>
      </c>
      <c r="I188" s="14" t="e">
        <f>SUM(H188/G193*100)</f>
        <v>#DIV/0!</v>
      </c>
    </row>
    <row r="189" spans="1:9" s="19" customFormat="1" ht="15" hidden="1">
      <c r="A189" s="372" t="s">
        <v>3</v>
      </c>
      <c r="B189" s="350"/>
      <c r="C189" s="68" t="s">
        <v>128</v>
      </c>
      <c r="D189" s="107" t="s">
        <v>427</v>
      </c>
      <c r="E189" s="107" t="s">
        <v>4</v>
      </c>
      <c r="F189" s="165"/>
      <c r="G189" s="216">
        <f>SUM(G192)+G197+G190</f>
        <v>0</v>
      </c>
      <c r="H189" s="14">
        <v>0</v>
      </c>
      <c r="I189" s="14" t="e">
        <f>SUM(H189/G194*100)</f>
        <v>#DIV/0!</v>
      </c>
    </row>
    <row r="190" spans="1:9" s="19" customFormat="1" ht="42.75" hidden="1">
      <c r="A190" s="372" t="s">
        <v>414</v>
      </c>
      <c r="B190" s="350"/>
      <c r="C190" s="68" t="s">
        <v>128</v>
      </c>
      <c r="D190" s="107" t="s">
        <v>427</v>
      </c>
      <c r="E190" s="107" t="s">
        <v>415</v>
      </c>
      <c r="F190" s="165"/>
      <c r="G190" s="216">
        <f>SUM(G191)</f>
        <v>0</v>
      </c>
      <c r="H190" s="14" t="e">
        <f>SUM(H191)</f>
        <v>#REF!</v>
      </c>
      <c r="I190" s="14" t="e">
        <f>SUM(H190/G195*100)</f>
        <v>#REF!</v>
      </c>
    </row>
    <row r="191" spans="1:9" s="19" customFormat="1" ht="15" hidden="1">
      <c r="A191" s="372" t="s">
        <v>131</v>
      </c>
      <c r="B191" s="350"/>
      <c r="C191" s="68" t="s">
        <v>128</v>
      </c>
      <c r="D191" s="107" t="s">
        <v>427</v>
      </c>
      <c r="E191" s="107" t="s">
        <v>415</v>
      </c>
      <c r="F191" s="165" t="s">
        <v>132</v>
      </c>
      <c r="G191" s="216"/>
      <c r="H191" s="14" t="e">
        <f>SUM('[1]Ведомств.'!G180)</f>
        <v>#REF!</v>
      </c>
      <c r="I191" s="14" t="e">
        <f>SUM(H191/G196*100)</f>
        <v>#REF!</v>
      </c>
    </row>
    <row r="192" spans="1:9" s="19" customFormat="1" ht="42.75" hidden="1">
      <c r="A192" s="371" t="s">
        <v>416</v>
      </c>
      <c r="B192" s="350"/>
      <c r="C192" s="68" t="s">
        <v>128</v>
      </c>
      <c r="D192" s="107" t="s">
        <v>427</v>
      </c>
      <c r="E192" s="107" t="s">
        <v>417</v>
      </c>
      <c r="F192" s="165"/>
      <c r="G192" s="216">
        <f>SUM(G193+G195)</f>
        <v>0</v>
      </c>
      <c r="H192" s="14">
        <f>SUM(H193)</f>
        <v>0</v>
      </c>
      <c r="I192" s="14" t="e">
        <f>SUM(H192/G198*100)</f>
        <v>#DIV/0!</v>
      </c>
    </row>
    <row r="193" spans="1:9" s="19" customFormat="1" ht="28.5" hidden="1">
      <c r="A193" s="372" t="s">
        <v>418</v>
      </c>
      <c r="B193" s="350"/>
      <c r="C193" s="68" t="s">
        <v>128</v>
      </c>
      <c r="D193" s="107" t="s">
        <v>427</v>
      </c>
      <c r="E193" s="107" t="s">
        <v>419</v>
      </c>
      <c r="F193" s="165"/>
      <c r="G193" s="216">
        <f>SUM(G194)</f>
        <v>0</v>
      </c>
      <c r="H193" s="14"/>
      <c r="I193" s="14" t="e">
        <f>SUM(H193/G199*100)</f>
        <v>#DIV/0!</v>
      </c>
    </row>
    <row r="194" spans="1:9" s="19" customFormat="1" ht="15" hidden="1">
      <c r="A194" s="194" t="s">
        <v>131</v>
      </c>
      <c r="B194" s="350"/>
      <c r="C194" s="68" t="s">
        <v>128</v>
      </c>
      <c r="D194" s="107" t="s">
        <v>427</v>
      </c>
      <c r="E194" s="107" t="s">
        <v>419</v>
      </c>
      <c r="F194" s="165" t="s">
        <v>132</v>
      </c>
      <c r="G194" s="216"/>
      <c r="H194" s="14">
        <f>SUM(H195)</f>
        <v>0</v>
      </c>
      <c r="I194" s="14" t="e">
        <f>SUM(H194/G200*100)</f>
        <v>#DIV/0!</v>
      </c>
    </row>
    <row r="195" spans="1:9" s="19" customFormat="1" ht="15" hidden="1">
      <c r="A195" s="194" t="s">
        <v>420</v>
      </c>
      <c r="B195" s="350"/>
      <c r="C195" s="68" t="s">
        <v>128</v>
      </c>
      <c r="D195" s="107" t="s">
        <v>427</v>
      </c>
      <c r="E195" s="107" t="s">
        <v>421</v>
      </c>
      <c r="F195" s="165"/>
      <c r="G195" s="216">
        <f>SUM(G196)</f>
        <v>0</v>
      </c>
      <c r="H195" s="14"/>
      <c r="I195" s="14" t="e">
        <f>SUM(H195/G201*100)</f>
        <v>#DIV/0!</v>
      </c>
    </row>
    <row r="196" spans="1:9" s="16" customFormat="1" ht="15" hidden="1">
      <c r="A196" s="371" t="s">
        <v>100</v>
      </c>
      <c r="B196" s="357"/>
      <c r="C196" s="68" t="s">
        <v>128</v>
      </c>
      <c r="D196" s="107" t="s">
        <v>427</v>
      </c>
      <c r="E196" s="107" t="s">
        <v>421</v>
      </c>
      <c r="F196" s="165" t="s">
        <v>101</v>
      </c>
      <c r="G196" s="216"/>
      <c r="H196" s="14"/>
      <c r="I196" s="14"/>
    </row>
    <row r="197" spans="1:9" s="16" customFormat="1" ht="28.5" hidden="1">
      <c r="A197" s="371" t="s">
        <v>422</v>
      </c>
      <c r="B197" s="357"/>
      <c r="C197" s="68" t="s">
        <v>128</v>
      </c>
      <c r="D197" s="107" t="s">
        <v>427</v>
      </c>
      <c r="E197" s="107" t="s">
        <v>423</v>
      </c>
      <c r="F197" s="165"/>
      <c r="G197" s="216"/>
      <c r="H197" s="14"/>
      <c r="I197" s="14"/>
    </row>
    <row r="198" spans="1:9" s="16" customFormat="1" ht="42.75" hidden="1">
      <c r="A198" s="371" t="s">
        <v>44</v>
      </c>
      <c r="B198" s="357"/>
      <c r="C198" s="68" t="s">
        <v>128</v>
      </c>
      <c r="D198" s="107" t="s">
        <v>427</v>
      </c>
      <c r="E198" s="107" t="s">
        <v>45</v>
      </c>
      <c r="F198" s="165"/>
      <c r="G198" s="216">
        <f>SUM(G199)</f>
        <v>0</v>
      </c>
      <c r="H198" s="14"/>
      <c r="I198" s="14"/>
    </row>
    <row r="199" spans="1:10" ht="15" hidden="1">
      <c r="A199" s="371" t="s">
        <v>7</v>
      </c>
      <c r="B199" s="357"/>
      <c r="C199" s="68" t="s">
        <v>128</v>
      </c>
      <c r="D199" s="107" t="s">
        <v>427</v>
      </c>
      <c r="E199" s="107" t="s">
        <v>45</v>
      </c>
      <c r="F199" s="165" t="s">
        <v>8</v>
      </c>
      <c r="G199" s="216"/>
      <c r="H199" s="14"/>
      <c r="I199" s="14"/>
      <c r="J199"/>
    </row>
    <row r="200" spans="1:10" ht="28.5" hidden="1">
      <c r="A200" s="371" t="s">
        <v>46</v>
      </c>
      <c r="B200" s="357"/>
      <c r="C200" s="68" t="s">
        <v>128</v>
      </c>
      <c r="D200" s="107" t="s">
        <v>427</v>
      </c>
      <c r="E200" s="107" t="s">
        <v>47</v>
      </c>
      <c r="F200" s="165"/>
      <c r="G200" s="216">
        <f>SUM(G201)</f>
        <v>0</v>
      </c>
      <c r="H200" s="14"/>
      <c r="I200" s="14"/>
      <c r="J200"/>
    </row>
    <row r="201" spans="1:9" s="19" customFormat="1" ht="15" hidden="1">
      <c r="A201" s="371" t="s">
        <v>7</v>
      </c>
      <c r="B201" s="357"/>
      <c r="C201" s="68" t="s">
        <v>128</v>
      </c>
      <c r="D201" s="107" t="s">
        <v>427</v>
      </c>
      <c r="E201" s="107" t="s">
        <v>47</v>
      </c>
      <c r="F201" s="165" t="s">
        <v>8</v>
      </c>
      <c r="G201" s="216"/>
      <c r="H201" s="14" t="e">
        <f>SUM(#REF!+#REF!)+H206</f>
        <v>#REF!</v>
      </c>
      <c r="I201" s="14" t="e">
        <f aca="true" t="shared" si="4" ref="I201:I238">SUM(H201/G207*100)</f>
        <v>#REF!</v>
      </c>
    </row>
    <row r="202" spans="1:9" s="19" customFormat="1" ht="15" hidden="1">
      <c r="A202" s="371" t="s">
        <v>408</v>
      </c>
      <c r="B202" s="357"/>
      <c r="C202" s="68" t="s">
        <v>128</v>
      </c>
      <c r="D202" s="107" t="s">
        <v>427</v>
      </c>
      <c r="E202" s="107" t="s">
        <v>409</v>
      </c>
      <c r="F202" s="165"/>
      <c r="G202" s="216">
        <f>SUM(G203)</f>
        <v>0</v>
      </c>
      <c r="H202" s="22" t="e">
        <f>SUM('[1]Ведомств.'!G188)</f>
        <v>#REF!</v>
      </c>
      <c r="I202" s="14" t="e">
        <f t="shared" si="4"/>
        <v>#REF!</v>
      </c>
    </row>
    <row r="203" spans="1:10" s="19" customFormat="1" ht="42.75" hidden="1">
      <c r="A203" s="371" t="s">
        <v>268</v>
      </c>
      <c r="B203" s="357"/>
      <c r="C203" s="68" t="s">
        <v>128</v>
      </c>
      <c r="D203" s="107" t="s">
        <v>427</v>
      </c>
      <c r="E203" s="107" t="s">
        <v>413</v>
      </c>
      <c r="F203" s="165"/>
      <c r="G203" s="216">
        <f>SUM(G204)</f>
        <v>0</v>
      </c>
      <c r="H203" s="22"/>
      <c r="I203" s="14" t="e">
        <f t="shared" si="4"/>
        <v>#DIV/0!</v>
      </c>
      <c r="J203" s="16"/>
    </row>
    <row r="204" spans="1:9" s="19" customFormat="1" ht="15" hidden="1">
      <c r="A204" s="371" t="s">
        <v>100</v>
      </c>
      <c r="B204" s="357"/>
      <c r="C204" s="68" t="s">
        <v>128</v>
      </c>
      <c r="D204" s="107" t="s">
        <v>427</v>
      </c>
      <c r="E204" s="107" t="s">
        <v>413</v>
      </c>
      <c r="F204" s="165" t="s">
        <v>101</v>
      </c>
      <c r="G204" s="216"/>
      <c r="H204" s="14">
        <f>SUM(H205)</f>
        <v>167.7</v>
      </c>
      <c r="I204" s="14" t="e">
        <f t="shared" si="4"/>
        <v>#DIV/0!</v>
      </c>
    </row>
    <row r="205" spans="1:9" s="19" customFormat="1" ht="15" hidden="1">
      <c r="A205" s="379" t="s">
        <v>125</v>
      </c>
      <c r="B205" s="350"/>
      <c r="C205" s="68" t="s">
        <v>128</v>
      </c>
      <c r="D205" s="107" t="s">
        <v>427</v>
      </c>
      <c r="E205" s="107" t="s">
        <v>126</v>
      </c>
      <c r="F205" s="165"/>
      <c r="G205" s="216">
        <f>SUM(G206+G209)+G213</f>
        <v>0</v>
      </c>
      <c r="H205" s="14">
        <v>167.7</v>
      </c>
      <c r="I205" s="14" t="e">
        <f t="shared" si="4"/>
        <v>#DIV/0!</v>
      </c>
    </row>
    <row r="206" spans="1:9" s="19" customFormat="1" ht="42.75" hidden="1">
      <c r="A206" s="379" t="s">
        <v>469</v>
      </c>
      <c r="B206" s="350"/>
      <c r="C206" s="68" t="s">
        <v>128</v>
      </c>
      <c r="D206" s="107" t="s">
        <v>427</v>
      </c>
      <c r="E206" s="107" t="s">
        <v>277</v>
      </c>
      <c r="F206" s="165"/>
      <c r="G206" s="217">
        <f>SUM(G207)</f>
        <v>0</v>
      </c>
      <c r="H206" s="14">
        <f>SUM(H207)</f>
        <v>110.4</v>
      </c>
      <c r="I206" s="14" t="e">
        <f t="shared" si="4"/>
        <v>#DIV/0!</v>
      </c>
    </row>
    <row r="207" spans="1:9" s="19" customFormat="1" ht="15" hidden="1">
      <c r="A207" s="194" t="s">
        <v>7</v>
      </c>
      <c r="B207" s="350"/>
      <c r="C207" s="68" t="s">
        <v>128</v>
      </c>
      <c r="D207" s="107" t="s">
        <v>427</v>
      </c>
      <c r="E207" s="107" t="s">
        <v>277</v>
      </c>
      <c r="F207" s="165" t="s">
        <v>8</v>
      </c>
      <c r="G207" s="217"/>
      <c r="H207" s="14">
        <v>110.4</v>
      </c>
      <c r="I207" s="14" t="e">
        <f t="shared" si="4"/>
        <v>#DIV/0!</v>
      </c>
    </row>
    <row r="208" spans="1:9" s="16" customFormat="1" ht="15" hidden="1">
      <c r="A208" s="379" t="s">
        <v>48</v>
      </c>
      <c r="B208" s="350"/>
      <c r="C208" s="68" t="s">
        <v>128</v>
      </c>
      <c r="D208" s="107" t="s">
        <v>427</v>
      </c>
      <c r="E208" s="107" t="s">
        <v>49</v>
      </c>
      <c r="F208" s="165" t="s">
        <v>101</v>
      </c>
      <c r="G208" s="216"/>
      <c r="H208" s="14" t="e">
        <f>SUM(H216+H229)+H211+H225+H213</f>
        <v>#REF!</v>
      </c>
      <c r="I208" s="14" t="e">
        <f t="shared" si="4"/>
        <v>#REF!</v>
      </c>
    </row>
    <row r="209" spans="1:9" s="16" customFormat="1" ht="15" hidden="1">
      <c r="A209" s="379" t="s">
        <v>131</v>
      </c>
      <c r="B209" s="350"/>
      <c r="C209" s="68" t="s">
        <v>128</v>
      </c>
      <c r="D209" s="107" t="s">
        <v>427</v>
      </c>
      <c r="E209" s="107" t="s">
        <v>126</v>
      </c>
      <c r="F209" s="165" t="s">
        <v>132</v>
      </c>
      <c r="G209" s="216">
        <f>SUM(G210)</f>
        <v>0</v>
      </c>
      <c r="H209" s="14"/>
      <c r="I209" s="14">
        <f t="shared" si="4"/>
        <v>0</v>
      </c>
    </row>
    <row r="210" spans="1:9" s="16" customFormat="1" ht="28.5" hidden="1">
      <c r="A210" s="194" t="s">
        <v>50</v>
      </c>
      <c r="B210" s="350"/>
      <c r="C210" s="68" t="s">
        <v>128</v>
      </c>
      <c r="D210" s="107" t="s">
        <v>427</v>
      </c>
      <c r="E210" s="107" t="s">
        <v>51</v>
      </c>
      <c r="F210" s="165" t="s">
        <v>132</v>
      </c>
      <c r="G210" s="216">
        <f>SUM(G212)</f>
        <v>0</v>
      </c>
      <c r="H210" s="14"/>
      <c r="I210" s="14">
        <f t="shared" si="4"/>
        <v>0</v>
      </c>
    </row>
    <row r="211" spans="1:9" s="16" customFormat="1" ht="28.5" hidden="1">
      <c r="A211" s="194" t="s">
        <v>66</v>
      </c>
      <c r="B211" s="350"/>
      <c r="C211" s="68"/>
      <c r="D211" s="107"/>
      <c r="E211" s="107"/>
      <c r="F211" s="165"/>
      <c r="G211" s="216"/>
      <c r="H211" s="14">
        <f>SUM(H212)</f>
        <v>0</v>
      </c>
      <c r="I211" s="14">
        <f t="shared" si="4"/>
        <v>0</v>
      </c>
    </row>
    <row r="212" spans="1:9" s="16" customFormat="1" ht="28.5" hidden="1">
      <c r="A212" s="372" t="s">
        <v>418</v>
      </c>
      <c r="B212" s="350"/>
      <c r="C212" s="68" t="s">
        <v>128</v>
      </c>
      <c r="D212" s="107" t="s">
        <v>427</v>
      </c>
      <c r="E212" s="107" t="s">
        <v>52</v>
      </c>
      <c r="F212" s="165" t="s">
        <v>132</v>
      </c>
      <c r="G212" s="216"/>
      <c r="H212" s="14"/>
      <c r="I212" s="14">
        <f t="shared" si="4"/>
        <v>0</v>
      </c>
    </row>
    <row r="213" spans="1:9" s="16" customFormat="1" ht="28.5" hidden="1">
      <c r="A213" s="371" t="s">
        <v>53</v>
      </c>
      <c r="B213" s="350"/>
      <c r="C213" s="68" t="s">
        <v>128</v>
      </c>
      <c r="D213" s="107" t="s">
        <v>427</v>
      </c>
      <c r="E213" s="107" t="s">
        <v>54</v>
      </c>
      <c r="F213" s="165"/>
      <c r="G213" s="216">
        <f>SUM(G214)</f>
        <v>0</v>
      </c>
      <c r="H213" s="14">
        <f>SUM(H214)</f>
        <v>9483.6</v>
      </c>
      <c r="I213" s="14">
        <f t="shared" si="4"/>
        <v>9483.6</v>
      </c>
    </row>
    <row r="214" spans="1:9" s="16" customFormat="1" ht="15" hidden="1">
      <c r="A214" s="379" t="s">
        <v>131</v>
      </c>
      <c r="B214" s="350"/>
      <c r="C214" s="68" t="s">
        <v>128</v>
      </c>
      <c r="D214" s="107" t="s">
        <v>427</v>
      </c>
      <c r="E214" s="107" t="s">
        <v>54</v>
      </c>
      <c r="F214" s="165" t="s">
        <v>132</v>
      </c>
      <c r="G214" s="216"/>
      <c r="H214" s="14">
        <f>SUM(H215)</f>
        <v>9483.6</v>
      </c>
      <c r="I214" s="14" t="e">
        <f>SUM(H214/#REF!*100)</f>
        <v>#REF!</v>
      </c>
    </row>
    <row r="215" spans="1:9" s="16" customFormat="1" ht="15">
      <c r="A215" s="194" t="s">
        <v>55</v>
      </c>
      <c r="B215" s="352"/>
      <c r="C215" s="325" t="s">
        <v>128</v>
      </c>
      <c r="D215" s="326" t="s">
        <v>429</v>
      </c>
      <c r="E215" s="326"/>
      <c r="F215" s="328"/>
      <c r="G215" s="342">
        <f>G216+G220</f>
        <v>4688.4</v>
      </c>
      <c r="H215" s="14">
        <v>9483.6</v>
      </c>
      <c r="I215" s="14">
        <f>SUM(H215/G222*100)</f>
        <v>15.733233793704118</v>
      </c>
    </row>
    <row r="216" spans="1:9" s="16" customFormat="1" ht="15">
      <c r="A216" s="194" t="s">
        <v>274</v>
      </c>
      <c r="B216" s="352"/>
      <c r="C216" s="325" t="s">
        <v>128</v>
      </c>
      <c r="D216" s="326" t="s">
        <v>429</v>
      </c>
      <c r="E216" s="326" t="s">
        <v>528</v>
      </c>
      <c r="F216" s="328"/>
      <c r="G216" s="342">
        <f>G217</f>
        <v>4688.4</v>
      </c>
      <c r="H216" s="14" t="e">
        <f>SUM(H217+H219+H222)</f>
        <v>#REF!</v>
      </c>
      <c r="I216" s="14" t="e">
        <f>SUM(H216/G223*100)</f>
        <v>#REF!</v>
      </c>
    </row>
    <row r="217" spans="1:9" s="16" customFormat="1" ht="15">
      <c r="A217" s="194" t="s">
        <v>41</v>
      </c>
      <c r="B217" s="352"/>
      <c r="C217" s="325" t="s">
        <v>128</v>
      </c>
      <c r="D217" s="326" t="s">
        <v>429</v>
      </c>
      <c r="E217" s="326" t="s">
        <v>529</v>
      </c>
      <c r="F217" s="328"/>
      <c r="G217" s="342">
        <f>SUM(G218)+G219</f>
        <v>4688.4</v>
      </c>
      <c r="H217" s="14">
        <f>SUM(H218)</f>
        <v>0</v>
      </c>
      <c r="I217" s="14">
        <f>SUM(H217/G224*100)</f>
        <v>0</v>
      </c>
    </row>
    <row r="218" spans="1:10" s="16" customFormat="1" ht="14.25" customHeight="1">
      <c r="A218" s="194" t="s">
        <v>475</v>
      </c>
      <c r="B218" s="352"/>
      <c r="C218" s="325" t="s">
        <v>128</v>
      </c>
      <c r="D218" s="326" t="s">
        <v>429</v>
      </c>
      <c r="E218" s="326" t="s">
        <v>529</v>
      </c>
      <c r="F218" s="328" t="s">
        <v>117</v>
      </c>
      <c r="G218" s="342">
        <v>4588.4</v>
      </c>
      <c r="H218" s="14"/>
      <c r="I218" s="14">
        <f>SUM(H218/G225*100)</f>
        <v>0</v>
      </c>
      <c r="J218" s="16">
        <f>SUM('ведомствен.2015'!G231)</f>
        <v>4588.4</v>
      </c>
    </row>
    <row r="219" spans="1:10" s="16" customFormat="1" ht="27.75" customHeight="1">
      <c r="A219" s="194" t="s">
        <v>534</v>
      </c>
      <c r="B219" s="352"/>
      <c r="C219" s="325" t="s">
        <v>128</v>
      </c>
      <c r="D219" s="326" t="s">
        <v>429</v>
      </c>
      <c r="E219" s="326" t="s">
        <v>529</v>
      </c>
      <c r="F219" s="328" t="s">
        <v>535</v>
      </c>
      <c r="G219" s="342">
        <v>100</v>
      </c>
      <c r="H219" s="14" t="e">
        <f>SUM(#REF!)</f>
        <v>#REF!</v>
      </c>
      <c r="I219" s="14" t="e">
        <f>SUM(H219/G226*100)</f>
        <v>#REF!</v>
      </c>
      <c r="J219" s="16">
        <f>SUM('ведомствен.2015'!G232)</f>
        <v>100</v>
      </c>
    </row>
    <row r="220" spans="1:9" s="16" customFormat="1" ht="15" hidden="1">
      <c r="A220" s="372" t="s">
        <v>485</v>
      </c>
      <c r="B220" s="350"/>
      <c r="C220" s="325" t="s">
        <v>128</v>
      </c>
      <c r="D220" s="326" t="s">
        <v>429</v>
      </c>
      <c r="E220" s="107" t="s">
        <v>486</v>
      </c>
      <c r="F220" s="165"/>
      <c r="G220" s="342">
        <f>G221</f>
        <v>0</v>
      </c>
      <c r="H220" s="14"/>
      <c r="I220" s="14"/>
    </row>
    <row r="221" spans="1:10" s="16" customFormat="1" ht="15" hidden="1">
      <c r="A221" s="371" t="s">
        <v>476</v>
      </c>
      <c r="B221" s="350"/>
      <c r="C221" s="325" t="s">
        <v>128</v>
      </c>
      <c r="D221" s="326" t="s">
        <v>429</v>
      </c>
      <c r="E221" s="107" t="s">
        <v>486</v>
      </c>
      <c r="F221" s="165" t="s">
        <v>166</v>
      </c>
      <c r="G221" s="216"/>
      <c r="H221" s="14"/>
      <c r="I221" s="14"/>
      <c r="J221" s="16">
        <f>SUM('ведомствен.2015'!G326)</f>
        <v>0</v>
      </c>
    </row>
    <row r="222" spans="1:9" s="16" customFormat="1" ht="15">
      <c r="A222" s="194" t="s">
        <v>43</v>
      </c>
      <c r="B222" s="352"/>
      <c r="C222" s="325" t="s">
        <v>128</v>
      </c>
      <c r="D222" s="326" t="s">
        <v>103</v>
      </c>
      <c r="E222" s="326"/>
      <c r="F222" s="328"/>
      <c r="G222" s="342">
        <f>G223</f>
        <v>60277.5</v>
      </c>
      <c r="H222" s="14">
        <f>SUM(H223)+H224</f>
        <v>15047</v>
      </c>
      <c r="I222" s="14">
        <f t="shared" si="4"/>
        <v>62.31932077034583</v>
      </c>
    </row>
    <row r="223" spans="1:10" s="16" customFormat="1" ht="15">
      <c r="A223" s="194" t="s">
        <v>43</v>
      </c>
      <c r="B223" s="215"/>
      <c r="C223" s="325" t="s">
        <v>128</v>
      </c>
      <c r="D223" s="326" t="s">
        <v>103</v>
      </c>
      <c r="E223" s="156" t="s">
        <v>71</v>
      </c>
      <c r="F223" s="166"/>
      <c r="G223" s="342">
        <f>G224+G228+G232</f>
        <v>60277.5</v>
      </c>
      <c r="H223" s="18">
        <f>878+4272.1+2990.6</f>
        <v>8140.700000000001</v>
      </c>
      <c r="I223" s="14">
        <f t="shared" si="4"/>
        <v>33.71588320563264</v>
      </c>
      <c r="J223" s="37"/>
    </row>
    <row r="224" spans="1:10" s="16" customFormat="1" ht="15">
      <c r="A224" s="377" t="s">
        <v>72</v>
      </c>
      <c r="B224" s="215"/>
      <c r="C224" s="325" t="s">
        <v>128</v>
      </c>
      <c r="D224" s="326" t="s">
        <v>103</v>
      </c>
      <c r="E224" s="156" t="s">
        <v>73</v>
      </c>
      <c r="F224" s="166"/>
      <c r="G224" s="342">
        <f>SUM(G225)</f>
        <v>35934.1</v>
      </c>
      <c r="H224" s="18">
        <v>6906.3</v>
      </c>
      <c r="I224" s="14" t="e">
        <f t="shared" si="4"/>
        <v>#DIV/0!</v>
      </c>
      <c r="J224" s="37"/>
    </row>
    <row r="225" spans="1:10" s="16" customFormat="1" ht="15">
      <c r="A225" s="194" t="s">
        <v>475</v>
      </c>
      <c r="B225" s="215"/>
      <c r="C225" s="325" t="s">
        <v>128</v>
      </c>
      <c r="D225" s="326" t="s">
        <v>103</v>
      </c>
      <c r="E225" s="156" t="s">
        <v>73</v>
      </c>
      <c r="F225" s="166" t="s">
        <v>117</v>
      </c>
      <c r="G225" s="342">
        <v>35934.1</v>
      </c>
      <c r="H225" s="18">
        <f>SUM(H226)</f>
        <v>0</v>
      </c>
      <c r="I225" s="14" t="e">
        <f t="shared" si="4"/>
        <v>#DIV/0!</v>
      </c>
      <c r="J225" s="16">
        <f>SUM('ведомствен.2015'!G236)</f>
        <v>35934.1</v>
      </c>
    </row>
    <row r="226" spans="1:9" s="16" customFormat="1" ht="28.5" hidden="1">
      <c r="A226" s="194" t="s">
        <v>490</v>
      </c>
      <c r="B226" s="215"/>
      <c r="C226" s="325" t="s">
        <v>128</v>
      </c>
      <c r="D226" s="326" t="s">
        <v>103</v>
      </c>
      <c r="E226" s="156" t="s">
        <v>73</v>
      </c>
      <c r="F226" s="166" t="s">
        <v>491</v>
      </c>
      <c r="G226" s="342"/>
      <c r="H226" s="18">
        <f>SUM(H227)</f>
        <v>0</v>
      </c>
      <c r="I226" s="14">
        <f t="shared" si="4"/>
        <v>0</v>
      </c>
    </row>
    <row r="227" spans="1:9" s="16" customFormat="1" ht="28.5" hidden="1">
      <c r="A227" s="194" t="s">
        <v>492</v>
      </c>
      <c r="B227" s="215"/>
      <c r="C227" s="325" t="s">
        <v>128</v>
      </c>
      <c r="D227" s="326" t="s">
        <v>103</v>
      </c>
      <c r="E227" s="156" t="s">
        <v>73</v>
      </c>
      <c r="F227" s="166" t="s">
        <v>493</v>
      </c>
      <c r="G227" s="342"/>
      <c r="H227" s="18">
        <f>SUM(H228)</f>
        <v>0</v>
      </c>
      <c r="I227" s="14">
        <f t="shared" si="4"/>
        <v>0</v>
      </c>
    </row>
    <row r="228" spans="1:9" s="16" customFormat="1" ht="28.5">
      <c r="A228" s="194" t="s">
        <v>570</v>
      </c>
      <c r="B228" s="215"/>
      <c r="C228" s="325" t="s">
        <v>128</v>
      </c>
      <c r="D228" s="326" t="s">
        <v>103</v>
      </c>
      <c r="E228" s="156" t="s">
        <v>40</v>
      </c>
      <c r="F228" s="166"/>
      <c r="G228" s="342">
        <f>G229</f>
        <v>24145</v>
      </c>
      <c r="H228" s="18"/>
      <c r="I228" s="14">
        <f t="shared" si="4"/>
        <v>0</v>
      </c>
    </row>
    <row r="229" spans="1:10" s="16" customFormat="1" ht="15">
      <c r="A229" s="194" t="s">
        <v>475</v>
      </c>
      <c r="B229" s="215"/>
      <c r="C229" s="325" t="s">
        <v>128</v>
      </c>
      <c r="D229" s="326" t="s">
        <v>103</v>
      </c>
      <c r="E229" s="156" t="s">
        <v>40</v>
      </c>
      <c r="F229" s="166" t="s">
        <v>117</v>
      </c>
      <c r="G229" s="342">
        <v>24145</v>
      </c>
      <c r="H229" s="18">
        <f>SUM(H230)</f>
        <v>0</v>
      </c>
      <c r="I229" s="14">
        <f aca="true" t="shared" si="5" ref="I229:I234">SUM(H229/G237*100)</f>
        <v>0</v>
      </c>
      <c r="J229" s="312">
        <f>SUM('ведомствен.2015'!G240)</f>
        <v>24145</v>
      </c>
    </row>
    <row r="230" spans="1:9" s="16" customFormat="1" ht="28.5" hidden="1">
      <c r="A230" s="194" t="s">
        <v>490</v>
      </c>
      <c r="B230" s="215"/>
      <c r="C230" s="325" t="s">
        <v>128</v>
      </c>
      <c r="D230" s="326" t="s">
        <v>103</v>
      </c>
      <c r="E230" s="156" t="s">
        <v>40</v>
      </c>
      <c r="F230" s="166" t="s">
        <v>491</v>
      </c>
      <c r="G230" s="342"/>
      <c r="H230" s="18">
        <f>SUM(H231:H234)</f>
        <v>0</v>
      </c>
      <c r="I230" s="14" t="e">
        <f t="shared" si="5"/>
        <v>#DIV/0!</v>
      </c>
    </row>
    <row r="231" spans="1:9" s="16" customFormat="1" ht="28.5" hidden="1">
      <c r="A231" s="194" t="s">
        <v>492</v>
      </c>
      <c r="B231" s="215"/>
      <c r="C231" s="325" t="s">
        <v>128</v>
      </c>
      <c r="D231" s="326" t="s">
        <v>103</v>
      </c>
      <c r="E231" s="156" t="s">
        <v>40</v>
      </c>
      <c r="F231" s="166" t="s">
        <v>493</v>
      </c>
      <c r="G231" s="342"/>
      <c r="H231" s="18"/>
      <c r="I231" s="14" t="e">
        <f t="shared" si="5"/>
        <v>#DIV/0!</v>
      </c>
    </row>
    <row r="232" spans="1:9" s="16" customFormat="1" ht="57">
      <c r="A232" s="376" t="s">
        <v>568</v>
      </c>
      <c r="B232" s="354"/>
      <c r="C232" s="317" t="s">
        <v>128</v>
      </c>
      <c r="D232" s="318" t="s">
        <v>103</v>
      </c>
      <c r="E232" s="154" t="s">
        <v>569</v>
      </c>
      <c r="F232" s="319"/>
      <c r="G232" s="344">
        <f>SUM(G233)</f>
        <v>198.4</v>
      </c>
      <c r="H232" s="18"/>
      <c r="I232" s="14" t="e">
        <f t="shared" si="5"/>
        <v>#DIV/0!</v>
      </c>
    </row>
    <row r="233" spans="1:10" s="16" customFormat="1" ht="15">
      <c r="A233" s="194" t="s">
        <v>475</v>
      </c>
      <c r="B233" s="215"/>
      <c r="C233" s="325" t="s">
        <v>128</v>
      </c>
      <c r="D233" s="326" t="s">
        <v>103</v>
      </c>
      <c r="E233" s="154" t="s">
        <v>569</v>
      </c>
      <c r="F233" s="166" t="s">
        <v>117</v>
      </c>
      <c r="G233" s="342">
        <v>198.4</v>
      </c>
      <c r="H233" s="18"/>
      <c r="I233" s="14" t="e">
        <f t="shared" si="5"/>
        <v>#DIV/0!</v>
      </c>
      <c r="J233" s="16">
        <f>SUM('ведомствен.2015'!G244)</f>
        <v>198.4</v>
      </c>
    </row>
    <row r="234" spans="1:9" s="16" customFormat="1" ht="27.75" customHeight="1">
      <c r="A234" s="194" t="s">
        <v>64</v>
      </c>
      <c r="B234" s="215"/>
      <c r="C234" s="325" t="s">
        <v>128</v>
      </c>
      <c r="D234" s="326" t="s">
        <v>128</v>
      </c>
      <c r="E234" s="156"/>
      <c r="F234" s="166"/>
      <c r="G234" s="342">
        <f>G237+G235</f>
        <v>22130.7</v>
      </c>
      <c r="H234" s="18">
        <f>SUM(H237)</f>
        <v>0</v>
      </c>
      <c r="I234" s="14">
        <f t="shared" si="5"/>
        <v>0</v>
      </c>
    </row>
    <row r="235" spans="1:9" s="16" customFormat="1" ht="15" hidden="1">
      <c r="A235" s="372" t="s">
        <v>485</v>
      </c>
      <c r="B235" s="350"/>
      <c r="C235" s="325" t="s">
        <v>128</v>
      </c>
      <c r="D235" s="326" t="s">
        <v>128</v>
      </c>
      <c r="E235" s="107" t="s">
        <v>486</v>
      </c>
      <c r="F235" s="165"/>
      <c r="G235" s="342">
        <f>G236</f>
        <v>0</v>
      </c>
      <c r="H235" s="18"/>
      <c r="I235" s="14"/>
    </row>
    <row r="236" spans="1:10" s="16" customFormat="1" ht="15" hidden="1">
      <c r="A236" s="371" t="s">
        <v>476</v>
      </c>
      <c r="B236" s="350"/>
      <c r="C236" s="325" t="s">
        <v>128</v>
      </c>
      <c r="D236" s="326" t="s">
        <v>128</v>
      </c>
      <c r="E236" s="107" t="s">
        <v>486</v>
      </c>
      <c r="F236" s="165" t="s">
        <v>166</v>
      </c>
      <c r="G236" s="216"/>
      <c r="H236" s="18"/>
      <c r="I236" s="14"/>
      <c r="J236" s="16">
        <f>SUM('ведомствен.2015'!G329)</f>
        <v>0</v>
      </c>
    </row>
    <row r="237" spans="1:9" s="16" customFormat="1" ht="15">
      <c r="A237" s="194" t="s">
        <v>524</v>
      </c>
      <c r="B237" s="215"/>
      <c r="C237" s="325" t="s">
        <v>128</v>
      </c>
      <c r="D237" s="326" t="s">
        <v>128</v>
      </c>
      <c r="E237" s="156" t="s">
        <v>126</v>
      </c>
      <c r="F237" s="166"/>
      <c r="G237" s="342">
        <f>G238+G240+G242+G244</f>
        <v>22130.7</v>
      </c>
      <c r="H237" s="18">
        <f>SUM(H238)</f>
        <v>0</v>
      </c>
      <c r="I237" s="14">
        <f t="shared" si="4"/>
        <v>0</v>
      </c>
    </row>
    <row r="238" spans="1:9" s="16" customFormat="1" ht="28.5" hidden="1">
      <c r="A238" s="377" t="s">
        <v>530</v>
      </c>
      <c r="B238" s="215"/>
      <c r="C238" s="325" t="s">
        <v>128</v>
      </c>
      <c r="D238" s="326" t="s">
        <v>128</v>
      </c>
      <c r="E238" s="156" t="s">
        <v>13</v>
      </c>
      <c r="F238" s="166"/>
      <c r="G238" s="342">
        <f>G239</f>
        <v>0</v>
      </c>
      <c r="H238" s="18"/>
      <c r="I238" s="14">
        <f t="shared" si="4"/>
        <v>0</v>
      </c>
    </row>
    <row r="239" spans="1:10" ht="28.5" hidden="1">
      <c r="A239" s="194" t="s">
        <v>496</v>
      </c>
      <c r="B239" s="215"/>
      <c r="C239" s="325" t="s">
        <v>128</v>
      </c>
      <c r="D239" s="326" t="s">
        <v>128</v>
      </c>
      <c r="E239" s="156" t="s">
        <v>13</v>
      </c>
      <c r="F239" s="166" t="s">
        <v>487</v>
      </c>
      <c r="G239" s="342"/>
      <c r="H239" s="14"/>
      <c r="I239" s="14"/>
      <c r="J239" s="16">
        <f>SUM('ведомствен.2015'!G248)</f>
        <v>0</v>
      </c>
    </row>
    <row r="240" spans="1:10" ht="42.75" hidden="1">
      <c r="A240" s="377" t="s">
        <v>531</v>
      </c>
      <c r="B240" s="215"/>
      <c r="C240" s="325" t="s">
        <v>532</v>
      </c>
      <c r="D240" s="326" t="s">
        <v>128</v>
      </c>
      <c r="E240" s="156" t="s">
        <v>14</v>
      </c>
      <c r="F240" s="166"/>
      <c r="G240" s="342">
        <f>G241</f>
        <v>0</v>
      </c>
      <c r="H240" s="14"/>
      <c r="I240" s="14"/>
      <c r="J240"/>
    </row>
    <row r="241" spans="1:10" ht="28.5" hidden="1">
      <c r="A241" s="194" t="s">
        <v>534</v>
      </c>
      <c r="B241" s="215"/>
      <c r="C241" s="325" t="s">
        <v>532</v>
      </c>
      <c r="D241" s="326" t="s">
        <v>128</v>
      </c>
      <c r="E241" s="156" t="s">
        <v>14</v>
      </c>
      <c r="F241" s="166" t="s">
        <v>535</v>
      </c>
      <c r="G241" s="342"/>
      <c r="H241" s="14"/>
      <c r="I241" s="14"/>
      <c r="J241" s="16">
        <f>SUM('ведомствен.2015'!G250)</f>
        <v>0</v>
      </c>
    </row>
    <row r="242" spans="1:10" ht="42.75">
      <c r="A242" s="194" t="s">
        <v>533</v>
      </c>
      <c r="B242" s="215"/>
      <c r="C242" s="325" t="s">
        <v>128</v>
      </c>
      <c r="D242" s="326" t="s">
        <v>128</v>
      </c>
      <c r="E242" s="156" t="s">
        <v>42</v>
      </c>
      <c r="F242" s="166"/>
      <c r="G242" s="342">
        <f>G243</f>
        <v>17130.7</v>
      </c>
      <c r="H242" s="14"/>
      <c r="I242" s="14"/>
      <c r="J242"/>
    </row>
    <row r="243" spans="1:10" ht="28.5">
      <c r="A243" s="194" t="s">
        <v>534</v>
      </c>
      <c r="B243" s="215"/>
      <c r="C243" s="325" t="s">
        <v>128</v>
      </c>
      <c r="D243" s="326" t="s">
        <v>128</v>
      </c>
      <c r="E243" s="156" t="s">
        <v>42</v>
      </c>
      <c r="F243" s="166" t="s">
        <v>535</v>
      </c>
      <c r="G243" s="342">
        <v>17130.7</v>
      </c>
      <c r="H243" s="14"/>
      <c r="I243" s="14"/>
      <c r="J243" s="16">
        <f>SUM('ведомствен.2015'!G252)</f>
        <v>17130.7</v>
      </c>
    </row>
    <row r="244" spans="1:10" ht="28.5">
      <c r="A244" s="377" t="s">
        <v>525</v>
      </c>
      <c r="B244" s="215"/>
      <c r="C244" s="325" t="s">
        <v>128</v>
      </c>
      <c r="D244" s="326" t="s">
        <v>128</v>
      </c>
      <c r="E244" s="156" t="s">
        <v>54</v>
      </c>
      <c r="F244" s="166"/>
      <c r="G244" s="342">
        <f>G245</f>
        <v>5000</v>
      </c>
      <c r="H244" s="14"/>
      <c r="I244" s="14"/>
      <c r="J244"/>
    </row>
    <row r="245" spans="1:10" ht="28.5">
      <c r="A245" s="194" t="s">
        <v>534</v>
      </c>
      <c r="B245" s="215"/>
      <c r="C245" s="325" t="s">
        <v>128</v>
      </c>
      <c r="D245" s="326" t="s">
        <v>128</v>
      </c>
      <c r="E245" s="156" t="s">
        <v>54</v>
      </c>
      <c r="F245" s="166" t="s">
        <v>535</v>
      </c>
      <c r="G245" s="342">
        <v>5000</v>
      </c>
      <c r="H245" s="14"/>
      <c r="I245" s="14"/>
      <c r="J245" s="16">
        <f>SUM('ведомствен.2015'!G254)</f>
        <v>5000</v>
      </c>
    </row>
    <row r="246" spans="1:12" ht="15">
      <c r="A246" s="374" t="s">
        <v>67</v>
      </c>
      <c r="B246" s="353"/>
      <c r="C246" s="168" t="s">
        <v>359</v>
      </c>
      <c r="D246" s="157"/>
      <c r="E246" s="157"/>
      <c r="F246" s="170"/>
      <c r="G246" s="343">
        <f>SUM(G247)</f>
        <v>5897</v>
      </c>
      <c r="H246" s="18">
        <f>SUM(H247)</f>
        <v>0</v>
      </c>
      <c r="I246" s="14">
        <f>SUM(H246/G252*100)</f>
        <v>0</v>
      </c>
      <c r="J246"/>
      <c r="K246">
        <f>SUM(J247:J256)</f>
        <v>5897</v>
      </c>
      <c r="L246">
        <f>SUM('ведомствен.2015'!G256)</f>
        <v>5897</v>
      </c>
    </row>
    <row r="247" spans="1:10" ht="15">
      <c r="A247" s="371" t="s">
        <v>67</v>
      </c>
      <c r="B247" s="350"/>
      <c r="C247" s="68" t="s">
        <v>359</v>
      </c>
      <c r="D247" s="107"/>
      <c r="E247" s="107"/>
      <c r="F247" s="165"/>
      <c r="G247" s="216">
        <f>SUM(G248)+G253</f>
        <v>5897</v>
      </c>
      <c r="H247" s="18">
        <f>SUM(H248)</f>
        <v>0</v>
      </c>
      <c r="I247" s="14">
        <f>SUM(H247/G253*100)</f>
        <v>0</v>
      </c>
      <c r="J247"/>
    </row>
    <row r="248" spans="1:9" s="23" customFormat="1" ht="15">
      <c r="A248" s="194" t="s">
        <v>68</v>
      </c>
      <c r="B248" s="352"/>
      <c r="C248" s="325" t="s">
        <v>359</v>
      </c>
      <c r="D248" s="326" t="s">
        <v>103</v>
      </c>
      <c r="E248" s="326" t="s">
        <v>536</v>
      </c>
      <c r="F248" s="328"/>
      <c r="G248" s="342">
        <f>SUM(G249)</f>
        <v>5352</v>
      </c>
      <c r="H248" s="18"/>
      <c r="I248" s="14">
        <f>SUM(H248/G254*100)</f>
        <v>0</v>
      </c>
    </row>
    <row r="249" spans="1:10" ht="28.5">
      <c r="A249" s="194" t="s">
        <v>56</v>
      </c>
      <c r="B249" s="352"/>
      <c r="C249" s="325" t="s">
        <v>359</v>
      </c>
      <c r="D249" s="326" t="s">
        <v>103</v>
      </c>
      <c r="E249" s="326" t="s">
        <v>537</v>
      </c>
      <c r="F249" s="328"/>
      <c r="G249" s="342">
        <f>SUM(G250:G252)</f>
        <v>5352</v>
      </c>
      <c r="H249" s="18" t="e">
        <f>SUM(H252+H253+#REF!)</f>
        <v>#REF!</v>
      </c>
      <c r="I249" s="14" t="e">
        <f>SUM(H249/G255*100)</f>
        <v>#REF!</v>
      </c>
      <c r="J249"/>
    </row>
    <row r="250" spans="1:10" ht="28.5">
      <c r="A250" s="194" t="s">
        <v>470</v>
      </c>
      <c r="B250" s="352"/>
      <c r="C250" s="325" t="s">
        <v>359</v>
      </c>
      <c r="D250" s="326" t="s">
        <v>103</v>
      </c>
      <c r="E250" s="326" t="s">
        <v>537</v>
      </c>
      <c r="F250" s="328" t="s">
        <v>471</v>
      </c>
      <c r="G250" s="342">
        <v>4448.9</v>
      </c>
      <c r="H250" s="18"/>
      <c r="I250" s="14">
        <f>SUM(H250/G256*100)</f>
        <v>0</v>
      </c>
      <c r="J250">
        <f>SUM('ведомствен.2015'!G260)</f>
        <v>4448.9</v>
      </c>
    </row>
    <row r="251" spans="1:10" ht="15">
      <c r="A251" s="194" t="s">
        <v>475</v>
      </c>
      <c r="B251" s="352"/>
      <c r="C251" s="325" t="s">
        <v>359</v>
      </c>
      <c r="D251" s="326" t="s">
        <v>103</v>
      </c>
      <c r="E251" s="326" t="s">
        <v>537</v>
      </c>
      <c r="F251" s="328" t="s">
        <v>117</v>
      </c>
      <c r="G251" s="342">
        <v>833.5</v>
      </c>
      <c r="H251" s="24">
        <v>300</v>
      </c>
      <c r="I251" s="14" t="e">
        <f>SUM(H251/#REF!*100)</f>
        <v>#REF!</v>
      </c>
      <c r="J251">
        <f>SUM('ведомствен.2015'!G261)</f>
        <v>833.5</v>
      </c>
    </row>
    <row r="252" spans="1:10" ht="15">
      <c r="A252" s="194" t="s">
        <v>476</v>
      </c>
      <c r="B252" s="352"/>
      <c r="C252" s="325" t="s">
        <v>359</v>
      </c>
      <c r="D252" s="326" t="s">
        <v>103</v>
      </c>
      <c r="E252" s="326" t="s">
        <v>537</v>
      </c>
      <c r="F252" s="328" t="s">
        <v>166</v>
      </c>
      <c r="G252" s="342">
        <v>69.6</v>
      </c>
      <c r="H252" s="18"/>
      <c r="I252" s="14" t="e">
        <f>SUM(H252/#REF!*100)</f>
        <v>#REF!</v>
      </c>
      <c r="J252">
        <f>SUM('ведомствен.2015'!G262)</f>
        <v>69.6</v>
      </c>
    </row>
    <row r="253" spans="1:10" ht="15">
      <c r="A253" s="194" t="s">
        <v>69</v>
      </c>
      <c r="B253" s="352"/>
      <c r="C253" s="325" t="s">
        <v>359</v>
      </c>
      <c r="D253" s="326" t="s">
        <v>128</v>
      </c>
      <c r="E253" s="330"/>
      <c r="F253" s="328"/>
      <c r="G253" s="342">
        <f>G255</f>
        <v>545</v>
      </c>
      <c r="H253" s="18">
        <f>SUM(H254:H256)</f>
        <v>347.3</v>
      </c>
      <c r="I253" s="14" t="e">
        <f>SUM(H253/#REF!*100)</f>
        <v>#REF!</v>
      </c>
      <c r="J253"/>
    </row>
    <row r="254" spans="1:9" ht="15">
      <c r="A254" s="194" t="s">
        <v>524</v>
      </c>
      <c r="B254" s="352"/>
      <c r="C254" s="325" t="s">
        <v>359</v>
      </c>
      <c r="D254" s="326" t="s">
        <v>128</v>
      </c>
      <c r="E254" s="156" t="s">
        <v>126</v>
      </c>
      <c r="F254" s="328"/>
      <c r="G254" s="342">
        <f>SUM(G255)</f>
        <v>545</v>
      </c>
      <c r="H254" s="18"/>
      <c r="I254" s="14" t="e">
        <f>SUM(H254/#REF!*100)</f>
        <v>#REF!</v>
      </c>
    </row>
    <row r="255" spans="1:10" ht="15">
      <c r="A255" s="194" t="s">
        <v>603</v>
      </c>
      <c r="B255" s="355"/>
      <c r="C255" s="325" t="s">
        <v>359</v>
      </c>
      <c r="D255" s="326" t="s">
        <v>128</v>
      </c>
      <c r="E255" s="326" t="s">
        <v>70</v>
      </c>
      <c r="F255" s="328"/>
      <c r="G255" s="342">
        <f>G256</f>
        <v>545</v>
      </c>
      <c r="H255" s="18"/>
      <c r="I255" s="14"/>
      <c r="J255"/>
    </row>
    <row r="256" spans="1:10" ht="15">
      <c r="A256" s="194" t="s">
        <v>475</v>
      </c>
      <c r="B256" s="352"/>
      <c r="C256" s="325" t="s">
        <v>359</v>
      </c>
      <c r="D256" s="326" t="s">
        <v>128</v>
      </c>
      <c r="E256" s="326" t="s">
        <v>70</v>
      </c>
      <c r="F256" s="328" t="s">
        <v>117</v>
      </c>
      <c r="G256" s="342">
        <v>545</v>
      </c>
      <c r="H256" s="18">
        <v>347.3</v>
      </c>
      <c r="I256" s="14" t="e">
        <f>SUM(H256/#REF!*100)</f>
        <v>#REF!</v>
      </c>
      <c r="J256">
        <f>SUM('ведомствен.2015'!G266)</f>
        <v>545</v>
      </c>
    </row>
    <row r="257" spans="1:12" s="25" customFormat="1" ht="15">
      <c r="A257" s="374" t="s">
        <v>113</v>
      </c>
      <c r="B257" s="353"/>
      <c r="C257" s="171" t="s">
        <v>114</v>
      </c>
      <c r="D257" s="158"/>
      <c r="E257" s="158"/>
      <c r="F257" s="169"/>
      <c r="G257" s="343">
        <f>SUM(G258+G287+G341+G363)</f>
        <v>1738937.2000000002</v>
      </c>
      <c r="H257" s="14"/>
      <c r="I257" s="14"/>
      <c r="K257" s="110">
        <f>SUM(J260:J371)</f>
        <v>1738937.2</v>
      </c>
      <c r="L257" s="110">
        <f>SUM('ведомствен.2015'!G267+'ведомствен.2015'!G353+'ведомствен.2015'!G527+'ведомствен.2015'!G567+'ведомствен.2015'!G682)</f>
        <v>1738937.2000000002</v>
      </c>
    </row>
    <row r="258" spans="1:12" s="25" customFormat="1" ht="15">
      <c r="A258" s="376" t="s">
        <v>306</v>
      </c>
      <c r="B258" s="358"/>
      <c r="C258" s="109" t="s">
        <v>114</v>
      </c>
      <c r="D258" s="154" t="s">
        <v>427</v>
      </c>
      <c r="E258" s="154"/>
      <c r="F258" s="174"/>
      <c r="G258" s="219">
        <f>SUM(G259+G280)+G270</f>
        <v>620158.1000000001</v>
      </c>
      <c r="H258" s="14"/>
      <c r="I258" s="14"/>
      <c r="L258" s="77">
        <f>SUM(G257-L257)</f>
        <v>0</v>
      </c>
    </row>
    <row r="259" spans="1:9" s="25" customFormat="1" ht="15">
      <c r="A259" s="376" t="s">
        <v>307</v>
      </c>
      <c r="B259" s="358"/>
      <c r="C259" s="109" t="s">
        <v>114</v>
      </c>
      <c r="D259" s="154" t="s">
        <v>427</v>
      </c>
      <c r="E259" s="154" t="s">
        <v>308</v>
      </c>
      <c r="F259" s="174"/>
      <c r="G259" s="219">
        <f>SUM(G260+G266)</f>
        <v>210215.2</v>
      </c>
      <c r="H259" s="14"/>
      <c r="I259" s="14"/>
    </row>
    <row r="260" spans="1:10" ht="28.5">
      <c r="A260" s="376" t="s">
        <v>571</v>
      </c>
      <c r="B260" s="358"/>
      <c r="C260" s="109" t="s">
        <v>114</v>
      </c>
      <c r="D260" s="154" t="s">
        <v>427</v>
      </c>
      <c r="E260" s="154" t="s">
        <v>84</v>
      </c>
      <c r="F260" s="174"/>
      <c r="G260" s="219">
        <f>SUM(G261+G264)</f>
        <v>175854</v>
      </c>
      <c r="H260" s="14"/>
      <c r="I260" s="14"/>
      <c r="J260"/>
    </row>
    <row r="261" spans="1:10" ht="28.5">
      <c r="A261" s="376" t="s">
        <v>189</v>
      </c>
      <c r="B261" s="358"/>
      <c r="C261" s="109" t="s">
        <v>114</v>
      </c>
      <c r="D261" s="154" t="s">
        <v>427</v>
      </c>
      <c r="E261" s="154" t="s">
        <v>85</v>
      </c>
      <c r="F261" s="174"/>
      <c r="G261" s="219">
        <f>SUM(G262)</f>
        <v>175019</v>
      </c>
      <c r="H261" s="14"/>
      <c r="I261" s="14"/>
      <c r="J261"/>
    </row>
    <row r="262" spans="1:10" ht="28.5">
      <c r="A262" s="376" t="s">
        <v>496</v>
      </c>
      <c r="B262" s="358"/>
      <c r="C262" s="109" t="s">
        <v>114</v>
      </c>
      <c r="D262" s="154" t="s">
        <v>427</v>
      </c>
      <c r="E262" s="154" t="s">
        <v>85</v>
      </c>
      <c r="F262" s="174" t="s">
        <v>487</v>
      </c>
      <c r="G262" s="219">
        <v>175019</v>
      </c>
      <c r="H262" s="14"/>
      <c r="I262" s="14"/>
      <c r="J262">
        <f>SUM('ведомствен.2015'!G572)</f>
        <v>175019</v>
      </c>
    </row>
    <row r="263" spans="1:10" ht="15">
      <c r="A263" s="192" t="s">
        <v>153</v>
      </c>
      <c r="B263" s="359"/>
      <c r="C263" s="222" t="s">
        <v>114</v>
      </c>
      <c r="D263" s="188" t="s">
        <v>427</v>
      </c>
      <c r="E263" s="188" t="s">
        <v>669</v>
      </c>
      <c r="F263" s="190"/>
      <c r="G263" s="220">
        <f>SUM(G265)</f>
        <v>835</v>
      </c>
      <c r="H263" s="14"/>
      <c r="I263" s="14"/>
      <c r="J263"/>
    </row>
    <row r="264" spans="1:10" ht="28.5">
      <c r="A264" s="192" t="s">
        <v>149</v>
      </c>
      <c r="B264" s="359"/>
      <c r="C264" s="222" t="s">
        <v>114</v>
      </c>
      <c r="D264" s="188" t="s">
        <v>427</v>
      </c>
      <c r="E264" s="188" t="s">
        <v>670</v>
      </c>
      <c r="F264" s="190"/>
      <c r="G264" s="220">
        <f>SUM(G265)</f>
        <v>835</v>
      </c>
      <c r="H264" s="14"/>
      <c r="I264" s="14"/>
      <c r="J264"/>
    </row>
    <row r="265" spans="1:10" s="25" customFormat="1" ht="28.5">
      <c r="A265" s="194" t="s">
        <v>496</v>
      </c>
      <c r="B265" s="359"/>
      <c r="C265" s="222" t="s">
        <v>114</v>
      </c>
      <c r="D265" s="188" t="s">
        <v>427</v>
      </c>
      <c r="E265" s="188" t="s">
        <v>670</v>
      </c>
      <c r="F265" s="166" t="s">
        <v>487</v>
      </c>
      <c r="G265" s="220">
        <v>835</v>
      </c>
      <c r="H265" s="14"/>
      <c r="I265" s="14"/>
      <c r="J265">
        <f>SUM('ведомствен.2015'!G575)</f>
        <v>835</v>
      </c>
    </row>
    <row r="266" spans="1:9" s="25" customFormat="1" ht="28.5">
      <c r="A266" s="376" t="s">
        <v>56</v>
      </c>
      <c r="B266" s="358"/>
      <c r="C266" s="109" t="s">
        <v>114</v>
      </c>
      <c r="D266" s="154" t="s">
        <v>427</v>
      </c>
      <c r="E266" s="154" t="s">
        <v>309</v>
      </c>
      <c r="F266" s="174"/>
      <c r="G266" s="219">
        <f>SUM(G267+G268+G269)</f>
        <v>34361.2</v>
      </c>
      <c r="H266" s="14"/>
      <c r="I266" s="14"/>
    </row>
    <row r="267" spans="1:10" s="25" customFormat="1" ht="28.5">
      <c r="A267" s="376" t="s">
        <v>470</v>
      </c>
      <c r="B267" s="358"/>
      <c r="C267" s="109" t="s">
        <v>114</v>
      </c>
      <c r="D267" s="154" t="s">
        <v>427</v>
      </c>
      <c r="E267" s="154" t="s">
        <v>309</v>
      </c>
      <c r="F267" s="174" t="s">
        <v>471</v>
      </c>
      <c r="G267" s="219">
        <v>10940.2</v>
      </c>
      <c r="H267" s="14"/>
      <c r="I267" s="14"/>
      <c r="J267">
        <f>SUM('ведомствен.2015'!G577)</f>
        <v>10940.2</v>
      </c>
    </row>
    <row r="268" spans="1:10" s="25" customFormat="1" ht="15">
      <c r="A268" s="376" t="s">
        <v>475</v>
      </c>
      <c r="B268" s="360"/>
      <c r="C268" s="109" t="s">
        <v>114</v>
      </c>
      <c r="D268" s="154" t="s">
        <v>427</v>
      </c>
      <c r="E268" s="154" t="s">
        <v>309</v>
      </c>
      <c r="F268" s="174" t="s">
        <v>117</v>
      </c>
      <c r="G268" s="219">
        <v>21382.6</v>
      </c>
      <c r="H268" s="14"/>
      <c r="I268" s="14"/>
      <c r="J268">
        <f>SUM('ведомствен.2015'!G578)</f>
        <v>21382.6</v>
      </c>
    </row>
    <row r="269" spans="1:10" s="25" customFormat="1" ht="15">
      <c r="A269" s="376" t="s">
        <v>476</v>
      </c>
      <c r="B269" s="358"/>
      <c r="C269" s="109" t="s">
        <v>114</v>
      </c>
      <c r="D269" s="154" t="s">
        <v>427</v>
      </c>
      <c r="E269" s="154" t="s">
        <v>309</v>
      </c>
      <c r="F269" s="174" t="s">
        <v>166</v>
      </c>
      <c r="G269" s="219">
        <v>2038.4</v>
      </c>
      <c r="H269" s="14"/>
      <c r="I269" s="14"/>
      <c r="J269">
        <f>SUM('ведомствен.2015'!G579)</f>
        <v>2038.4</v>
      </c>
    </row>
    <row r="270" spans="1:9" s="25" customFormat="1" ht="42.75">
      <c r="A270" s="204" t="s">
        <v>671</v>
      </c>
      <c r="B270" s="361"/>
      <c r="C270" s="228" t="s">
        <v>114</v>
      </c>
      <c r="D270" s="228" t="s">
        <v>427</v>
      </c>
      <c r="E270" s="252" t="s">
        <v>672</v>
      </c>
      <c r="F270" s="297"/>
      <c r="G270" s="216">
        <f>SUM(G271+G277)</f>
        <v>406950.9</v>
      </c>
      <c r="H270" s="14">
        <f>SUM(H287+H291+H294+H296+H289)</f>
        <v>213007.5</v>
      </c>
      <c r="I270" s="14">
        <f>SUM(H270/G287*100)</f>
        <v>19.80746519867211</v>
      </c>
    </row>
    <row r="271" spans="1:10" ht="28.5">
      <c r="A271" s="376" t="s">
        <v>571</v>
      </c>
      <c r="B271" s="361"/>
      <c r="C271" s="228" t="s">
        <v>114</v>
      </c>
      <c r="D271" s="228" t="s">
        <v>427</v>
      </c>
      <c r="E271" s="252" t="s">
        <v>705</v>
      </c>
      <c r="F271" s="297"/>
      <c r="G271" s="216">
        <f>SUM(G272+G274)</f>
        <v>352738.60000000003</v>
      </c>
      <c r="H271" s="14"/>
      <c r="I271" s="14"/>
      <c r="J271"/>
    </row>
    <row r="272" spans="1:10" ht="28.5">
      <c r="A272" s="380" t="s">
        <v>189</v>
      </c>
      <c r="B272" s="361"/>
      <c r="C272" s="228" t="s">
        <v>114</v>
      </c>
      <c r="D272" s="228" t="s">
        <v>427</v>
      </c>
      <c r="E272" s="198" t="s">
        <v>674</v>
      </c>
      <c r="F272" s="280"/>
      <c r="G272" s="216">
        <f>SUM(G273)</f>
        <v>347147.7</v>
      </c>
      <c r="H272" s="14">
        <v>187516.5</v>
      </c>
      <c r="I272" s="14">
        <f>SUM(H272/G289*100)</f>
        <v>186.76532984336998</v>
      </c>
      <c r="J272"/>
    </row>
    <row r="273" spans="1:10" ht="28.5">
      <c r="A273" s="200" t="s">
        <v>496</v>
      </c>
      <c r="B273" s="361"/>
      <c r="C273" s="228" t="s">
        <v>114</v>
      </c>
      <c r="D273" s="228" t="s">
        <v>427</v>
      </c>
      <c r="E273" s="198" t="s">
        <v>674</v>
      </c>
      <c r="F273" s="280" t="s">
        <v>487</v>
      </c>
      <c r="G273" s="216">
        <v>347147.7</v>
      </c>
      <c r="H273" s="14"/>
      <c r="I273" s="14"/>
      <c r="J273">
        <f>SUM('ведомствен.2015'!G583)</f>
        <v>347147.7</v>
      </c>
    </row>
    <row r="274" spans="1:10" ht="15">
      <c r="A274" s="195" t="s">
        <v>153</v>
      </c>
      <c r="B274" s="361"/>
      <c r="C274" s="228" t="s">
        <v>114</v>
      </c>
      <c r="D274" s="228" t="s">
        <v>427</v>
      </c>
      <c r="E274" s="198" t="s">
        <v>676</v>
      </c>
      <c r="F274" s="280"/>
      <c r="G274" s="216">
        <f>SUM(G275)</f>
        <v>5590.9</v>
      </c>
      <c r="H274" s="14"/>
      <c r="I274" s="14"/>
      <c r="J274"/>
    </row>
    <row r="275" spans="1:10" ht="28.5">
      <c r="A275" s="200" t="s">
        <v>380</v>
      </c>
      <c r="B275" s="361"/>
      <c r="C275" s="228" t="s">
        <v>114</v>
      </c>
      <c r="D275" s="228" t="s">
        <v>427</v>
      </c>
      <c r="E275" s="198" t="s">
        <v>675</v>
      </c>
      <c r="F275" s="280"/>
      <c r="G275" s="216">
        <f>SUM(G276)</f>
        <v>5590.9</v>
      </c>
      <c r="H275" s="14"/>
      <c r="I275" s="14"/>
      <c r="J275"/>
    </row>
    <row r="276" spans="1:10" ht="28.5">
      <c r="A276" s="200" t="s">
        <v>496</v>
      </c>
      <c r="B276" s="361"/>
      <c r="C276" s="228" t="s">
        <v>114</v>
      </c>
      <c r="D276" s="228" t="s">
        <v>427</v>
      </c>
      <c r="E276" s="198" t="s">
        <v>675</v>
      </c>
      <c r="F276" s="280" t="s">
        <v>487</v>
      </c>
      <c r="G276" s="216">
        <v>5590.9</v>
      </c>
      <c r="H276" s="14"/>
      <c r="I276" s="14"/>
      <c r="J276">
        <f>SUM('ведомствен.2015'!G586)</f>
        <v>5590.9</v>
      </c>
    </row>
    <row r="277" spans="1:10" ht="28.5">
      <c r="A277" s="380" t="s">
        <v>56</v>
      </c>
      <c r="B277" s="361"/>
      <c r="C277" s="228" t="s">
        <v>114</v>
      </c>
      <c r="D277" s="228" t="s">
        <v>427</v>
      </c>
      <c r="E277" s="198" t="s">
        <v>673</v>
      </c>
      <c r="F277" s="297"/>
      <c r="G277" s="216">
        <f>SUM(G278:G279)</f>
        <v>54212.3</v>
      </c>
      <c r="H277" s="14"/>
      <c r="I277" s="14"/>
      <c r="J277"/>
    </row>
    <row r="278" spans="1:10" ht="28.5">
      <c r="A278" s="200" t="s">
        <v>470</v>
      </c>
      <c r="B278" s="361"/>
      <c r="C278" s="228" t="s">
        <v>114</v>
      </c>
      <c r="D278" s="228" t="s">
        <v>427</v>
      </c>
      <c r="E278" s="198" t="s">
        <v>673</v>
      </c>
      <c r="F278" s="280" t="s">
        <v>471</v>
      </c>
      <c r="G278" s="216">
        <v>52750.3</v>
      </c>
      <c r="H278" s="14"/>
      <c r="I278" s="14"/>
      <c r="J278">
        <f>SUM('ведомствен.2015'!G588)</f>
        <v>52750.3</v>
      </c>
    </row>
    <row r="279" spans="1:10" ht="15">
      <c r="A279" s="200" t="s">
        <v>475</v>
      </c>
      <c r="B279" s="361"/>
      <c r="C279" s="228" t="s">
        <v>114</v>
      </c>
      <c r="D279" s="228" t="s">
        <v>427</v>
      </c>
      <c r="E279" s="198" t="s">
        <v>673</v>
      </c>
      <c r="F279" s="280" t="s">
        <v>117</v>
      </c>
      <c r="G279" s="216">
        <v>1462</v>
      </c>
      <c r="H279" s="14"/>
      <c r="I279" s="14"/>
      <c r="J279">
        <f>SUM('ведомствен.2015'!G589)</f>
        <v>1462</v>
      </c>
    </row>
    <row r="280" spans="1:9" s="16" customFormat="1" ht="15">
      <c r="A280" s="376" t="s">
        <v>558</v>
      </c>
      <c r="B280" s="362"/>
      <c r="C280" s="109" t="s">
        <v>114</v>
      </c>
      <c r="D280" s="154" t="s">
        <v>427</v>
      </c>
      <c r="E280" s="154" t="s">
        <v>126</v>
      </c>
      <c r="F280" s="174"/>
      <c r="G280" s="219">
        <f>G281+G284</f>
        <v>2992</v>
      </c>
      <c r="H280" s="14"/>
      <c r="I280" s="14"/>
    </row>
    <row r="281" spans="1:9" s="16" customFormat="1" ht="28.5">
      <c r="A281" s="376" t="s">
        <v>572</v>
      </c>
      <c r="B281" s="358"/>
      <c r="C281" s="109" t="s">
        <v>114</v>
      </c>
      <c r="D281" s="154" t="s">
        <v>427</v>
      </c>
      <c r="E281" s="154" t="s">
        <v>334</v>
      </c>
      <c r="F281" s="174"/>
      <c r="G281" s="219">
        <f>SUM(G282:G283)</f>
        <v>2632</v>
      </c>
      <c r="H281" s="14">
        <v>187516.5</v>
      </c>
      <c r="I281" s="14">
        <f>SUM(H281/G291*100)</f>
        <v>187.512374727756</v>
      </c>
    </row>
    <row r="282" spans="1:10" s="16" customFormat="1" ht="15">
      <c r="A282" s="194" t="s">
        <v>475</v>
      </c>
      <c r="B282" s="363"/>
      <c r="C282" s="109" t="s">
        <v>114</v>
      </c>
      <c r="D282" s="154" t="s">
        <v>427</v>
      </c>
      <c r="E282" s="154" t="s">
        <v>334</v>
      </c>
      <c r="F282" s="174" t="s">
        <v>117</v>
      </c>
      <c r="G282" s="219">
        <v>2432</v>
      </c>
      <c r="H282" s="14"/>
      <c r="I282" s="14"/>
      <c r="J282">
        <f>SUM('ведомствен.2015'!G592)</f>
        <v>2432</v>
      </c>
    </row>
    <row r="283" spans="1:10" s="16" customFormat="1" ht="28.5">
      <c r="A283" s="194" t="s">
        <v>496</v>
      </c>
      <c r="B283" s="363"/>
      <c r="C283" s="109" t="s">
        <v>114</v>
      </c>
      <c r="D283" s="154" t="s">
        <v>427</v>
      </c>
      <c r="E283" s="154" t="s">
        <v>334</v>
      </c>
      <c r="F283" s="174" t="s">
        <v>487</v>
      </c>
      <c r="G283" s="219">
        <v>200</v>
      </c>
      <c r="H283" s="14"/>
      <c r="I283" s="14"/>
      <c r="J283">
        <f>SUM('ведомствен.2015'!G593)</f>
        <v>200</v>
      </c>
    </row>
    <row r="284" spans="1:10" s="16" customFormat="1" ht="28.5">
      <c r="A284" s="194" t="s">
        <v>677</v>
      </c>
      <c r="B284" s="364"/>
      <c r="C284" s="106" t="s">
        <v>114</v>
      </c>
      <c r="D284" s="156" t="s">
        <v>427</v>
      </c>
      <c r="E284" s="156" t="s">
        <v>678</v>
      </c>
      <c r="F284" s="166"/>
      <c r="G284" s="216">
        <f>SUM(G285:G286)</f>
        <v>360</v>
      </c>
      <c r="H284" s="14"/>
      <c r="I284" s="14"/>
      <c r="J284"/>
    </row>
    <row r="285" spans="1:10" s="16" customFormat="1" ht="15">
      <c r="A285" s="194" t="s">
        <v>475</v>
      </c>
      <c r="B285" s="364"/>
      <c r="C285" s="106" t="s">
        <v>114</v>
      </c>
      <c r="D285" s="156" t="s">
        <v>427</v>
      </c>
      <c r="E285" s="156" t="s">
        <v>678</v>
      </c>
      <c r="F285" s="166" t="s">
        <v>117</v>
      </c>
      <c r="G285" s="216">
        <v>110</v>
      </c>
      <c r="H285" s="14"/>
      <c r="I285" s="14"/>
      <c r="J285">
        <f>SUM('ведомствен.2015'!G595)</f>
        <v>110</v>
      </c>
    </row>
    <row r="286" spans="1:10" s="16" customFormat="1" ht="28.5">
      <c r="A286" s="183" t="s">
        <v>496</v>
      </c>
      <c r="B286" s="268"/>
      <c r="C286" s="228" t="s">
        <v>114</v>
      </c>
      <c r="D286" s="228" t="s">
        <v>427</v>
      </c>
      <c r="E286" s="228" t="s">
        <v>678</v>
      </c>
      <c r="F286" s="280" t="s">
        <v>487</v>
      </c>
      <c r="G286" s="197">
        <v>250</v>
      </c>
      <c r="H286" s="14"/>
      <c r="I286" s="14"/>
      <c r="J286">
        <f>SUM('ведомствен.2015'!G596)</f>
        <v>250</v>
      </c>
    </row>
    <row r="287" spans="1:11" s="25" customFormat="1" ht="15">
      <c r="A287" s="376" t="s">
        <v>310</v>
      </c>
      <c r="B287" s="358"/>
      <c r="C287" s="109" t="s">
        <v>114</v>
      </c>
      <c r="D287" s="154" t="s">
        <v>429</v>
      </c>
      <c r="E287" s="154"/>
      <c r="F287" s="174"/>
      <c r="G287" s="219">
        <f>SUM(G288+G299+G309+G314+G330+G335)</f>
        <v>1075390</v>
      </c>
      <c r="H287" s="14">
        <v>187516.5</v>
      </c>
      <c r="I287" s="14">
        <f>SUM(H287/G294*100)</f>
        <v>46879.125</v>
      </c>
      <c r="J287" s="40"/>
      <c r="K287" s="25">
        <f>SUM(J288:J340)</f>
        <v>1075390</v>
      </c>
    </row>
    <row r="288" spans="1:9" s="25" customFormat="1" ht="28.5">
      <c r="A288" s="376" t="s">
        <v>311</v>
      </c>
      <c r="B288" s="358"/>
      <c r="C288" s="109" t="s">
        <v>114</v>
      </c>
      <c r="D288" s="154" t="s">
        <v>429</v>
      </c>
      <c r="E288" s="154" t="s">
        <v>312</v>
      </c>
      <c r="F288" s="174"/>
      <c r="G288" s="219">
        <f>G289+G295</f>
        <v>194821.69999999998</v>
      </c>
      <c r="H288" s="14"/>
      <c r="I288" s="14">
        <f>SUM(H288/G295*100)</f>
        <v>0</v>
      </c>
    </row>
    <row r="289" spans="1:10" ht="28.5">
      <c r="A289" s="376" t="s">
        <v>15</v>
      </c>
      <c r="B289" s="358"/>
      <c r="C289" s="109" t="s">
        <v>114</v>
      </c>
      <c r="D289" s="154" t="s">
        <v>429</v>
      </c>
      <c r="E289" s="154" t="s">
        <v>86</v>
      </c>
      <c r="F289" s="174"/>
      <c r="G289" s="219">
        <f>G290+G293</f>
        <v>100402.2</v>
      </c>
      <c r="H289" s="14">
        <f>SUM(H290)</f>
        <v>120.3</v>
      </c>
      <c r="I289" s="14">
        <f>SUM(H289/G296*100)</f>
        <v>0.3491693079307583</v>
      </c>
      <c r="J289"/>
    </row>
    <row r="290" spans="1:10" ht="28.5">
      <c r="A290" s="376" t="s">
        <v>189</v>
      </c>
      <c r="B290" s="358"/>
      <c r="C290" s="109" t="s">
        <v>114</v>
      </c>
      <c r="D290" s="154" t="s">
        <v>429</v>
      </c>
      <c r="E290" s="154" t="s">
        <v>87</v>
      </c>
      <c r="F290" s="174"/>
      <c r="G290" s="219">
        <f>SUM(G291)</f>
        <v>100002.2</v>
      </c>
      <c r="H290" s="14">
        <v>120.3</v>
      </c>
      <c r="I290" s="14">
        <f>SUM(H290/G297*100)</f>
        <v>0.2568284778589514</v>
      </c>
      <c r="J290"/>
    </row>
    <row r="291" spans="1:10" s="25" customFormat="1" ht="28.5">
      <c r="A291" s="376" t="s">
        <v>489</v>
      </c>
      <c r="B291" s="358"/>
      <c r="C291" s="109" t="s">
        <v>114</v>
      </c>
      <c r="D291" s="154" t="s">
        <v>429</v>
      </c>
      <c r="E291" s="154" t="s">
        <v>87</v>
      </c>
      <c r="F291" s="174" t="s">
        <v>487</v>
      </c>
      <c r="G291" s="219">
        <v>100002.2</v>
      </c>
      <c r="H291" s="14">
        <f>SUM(H293)</f>
        <v>24134</v>
      </c>
      <c r="I291" s="14">
        <f>SUM(H291/G298*100)</f>
        <v>183.86828892935233</v>
      </c>
      <c r="J291">
        <f>SUM('ведомствен.2015'!G601)</f>
        <v>100002.2</v>
      </c>
    </row>
    <row r="292" spans="1:10" s="25" customFormat="1" ht="15">
      <c r="A292" s="192" t="s">
        <v>153</v>
      </c>
      <c r="B292" s="358"/>
      <c r="C292" s="109" t="s">
        <v>114</v>
      </c>
      <c r="D292" s="154" t="s">
        <v>429</v>
      </c>
      <c r="E292" s="154" t="s">
        <v>679</v>
      </c>
      <c r="F292" s="174"/>
      <c r="G292" s="219">
        <f>SUM(G293)</f>
        <v>400</v>
      </c>
      <c r="H292" s="14"/>
      <c r="I292" s="14"/>
      <c r="J292"/>
    </row>
    <row r="293" spans="1:10" s="25" customFormat="1" ht="28.5">
      <c r="A293" s="192" t="s">
        <v>197</v>
      </c>
      <c r="B293" s="359"/>
      <c r="C293" s="222" t="s">
        <v>114</v>
      </c>
      <c r="D293" s="188" t="s">
        <v>429</v>
      </c>
      <c r="E293" s="188" t="s">
        <v>680</v>
      </c>
      <c r="F293" s="190"/>
      <c r="G293" s="220">
        <f>SUM(G294)</f>
        <v>400</v>
      </c>
      <c r="H293" s="14">
        <v>24134</v>
      </c>
      <c r="I293" s="14" t="e">
        <f>SUM(H293/#REF!*100)</f>
        <v>#REF!</v>
      </c>
      <c r="J293" s="40"/>
    </row>
    <row r="294" spans="1:10" s="25" customFormat="1" ht="28.5">
      <c r="A294" s="194" t="s">
        <v>496</v>
      </c>
      <c r="B294" s="359"/>
      <c r="C294" s="222" t="s">
        <v>114</v>
      </c>
      <c r="D294" s="188" t="s">
        <v>429</v>
      </c>
      <c r="E294" s="188" t="s">
        <v>680</v>
      </c>
      <c r="F294" s="190" t="s">
        <v>487</v>
      </c>
      <c r="G294" s="220">
        <v>400</v>
      </c>
      <c r="H294" s="14">
        <f>SUM(H295)</f>
        <v>1236.7</v>
      </c>
      <c r="I294" s="14" t="e">
        <f>SUM(H294/#REF!*100)</f>
        <v>#REF!</v>
      </c>
      <c r="J294">
        <f>SUM('ведомствен.2015'!G604)</f>
        <v>400</v>
      </c>
    </row>
    <row r="295" spans="1:10" s="25" customFormat="1" ht="28.5">
      <c r="A295" s="376" t="s">
        <v>56</v>
      </c>
      <c r="B295" s="358"/>
      <c r="C295" s="109" t="s">
        <v>114</v>
      </c>
      <c r="D295" s="154" t="s">
        <v>429</v>
      </c>
      <c r="E295" s="154" t="s">
        <v>313</v>
      </c>
      <c r="F295" s="174"/>
      <c r="G295" s="219">
        <f>SUM(G296+G297+G298)</f>
        <v>94419.49999999999</v>
      </c>
      <c r="H295" s="14">
        <v>1236.7</v>
      </c>
      <c r="I295" s="14" t="e">
        <f>SUM(H295/#REF!*100)</f>
        <v>#REF!</v>
      </c>
      <c r="J295" s="40"/>
    </row>
    <row r="296" spans="1:10" s="25" customFormat="1" ht="28.5">
      <c r="A296" s="376" t="s">
        <v>470</v>
      </c>
      <c r="B296" s="358"/>
      <c r="C296" s="109" t="s">
        <v>114</v>
      </c>
      <c r="D296" s="154" t="s">
        <v>429</v>
      </c>
      <c r="E296" s="154" t="s">
        <v>313</v>
      </c>
      <c r="F296" s="174" t="s">
        <v>471</v>
      </c>
      <c r="G296" s="219">
        <v>34453.2</v>
      </c>
      <c r="H296" s="14">
        <f>SUM(H297)</f>
        <v>0</v>
      </c>
      <c r="I296" s="14">
        <f>SUM(H296/G299*100)</f>
        <v>0</v>
      </c>
      <c r="J296">
        <f>SUM('ведомствен.2015'!G606)</f>
        <v>34453.2</v>
      </c>
    </row>
    <row r="297" spans="1:10" s="25" customFormat="1" ht="15">
      <c r="A297" s="376" t="s">
        <v>475</v>
      </c>
      <c r="B297" s="358"/>
      <c r="C297" s="109" t="s">
        <v>114</v>
      </c>
      <c r="D297" s="154" t="s">
        <v>429</v>
      </c>
      <c r="E297" s="154" t="s">
        <v>313</v>
      </c>
      <c r="F297" s="174" t="s">
        <v>117</v>
      </c>
      <c r="G297" s="219">
        <v>46840.6</v>
      </c>
      <c r="H297" s="14"/>
      <c r="I297" s="14">
        <f>SUM(H297/G300*100)</f>
        <v>0</v>
      </c>
      <c r="J297">
        <f>SUM('ведомствен.2015'!G607)</f>
        <v>46840.6</v>
      </c>
    </row>
    <row r="298" spans="1:15" s="25" customFormat="1" ht="15">
      <c r="A298" s="376" t="s">
        <v>476</v>
      </c>
      <c r="B298" s="363"/>
      <c r="C298" s="109" t="s">
        <v>114</v>
      </c>
      <c r="D298" s="154" t="s">
        <v>429</v>
      </c>
      <c r="E298" s="154" t="s">
        <v>313</v>
      </c>
      <c r="F298" s="332">
        <v>800</v>
      </c>
      <c r="G298" s="219">
        <v>13125.7</v>
      </c>
      <c r="H298" s="14" t="e">
        <f>SUM(#REF!)</f>
        <v>#REF!</v>
      </c>
      <c r="I298" s="14" t="e">
        <f>SUM(H298/G301*100)</f>
        <v>#REF!</v>
      </c>
      <c r="J298">
        <f>SUM('ведомствен.2015'!G608)</f>
        <v>13125.7</v>
      </c>
      <c r="O298" s="77">
        <f>SUM(G301+G310)</f>
        <v>7227.6</v>
      </c>
    </row>
    <row r="299" spans="1:10" ht="15">
      <c r="A299" s="376" t="s">
        <v>595</v>
      </c>
      <c r="B299" s="360"/>
      <c r="C299" s="109" t="s">
        <v>114</v>
      </c>
      <c r="D299" s="154" t="s">
        <v>429</v>
      </c>
      <c r="E299" s="154" t="s">
        <v>296</v>
      </c>
      <c r="F299" s="174"/>
      <c r="G299" s="219">
        <f>SUM(G300)</f>
        <v>164346.2</v>
      </c>
      <c r="H299" s="14">
        <v>56722</v>
      </c>
      <c r="I299" s="14">
        <f>SUM(H299/G309*100)</f>
        <v>784.7971664176213</v>
      </c>
      <c r="J299"/>
    </row>
    <row r="300" spans="1:10" ht="28.5">
      <c r="A300" s="376" t="s">
        <v>571</v>
      </c>
      <c r="B300" s="358"/>
      <c r="C300" s="109" t="s">
        <v>114</v>
      </c>
      <c r="D300" s="154" t="s">
        <v>429</v>
      </c>
      <c r="E300" s="154" t="s">
        <v>78</v>
      </c>
      <c r="F300" s="174"/>
      <c r="G300" s="219">
        <f>SUM(G303+G305)</f>
        <v>164346.2</v>
      </c>
      <c r="H300" s="14" t="e">
        <f>SUM(#REF!)</f>
        <v>#REF!</v>
      </c>
      <c r="I300" s="14" t="e">
        <f>SUM(H300/G310*100)</f>
        <v>#REF!</v>
      </c>
      <c r="J300"/>
    </row>
    <row r="301" spans="1:9" s="16" customFormat="1" ht="57" hidden="1">
      <c r="A301" s="376" t="s">
        <v>194</v>
      </c>
      <c r="B301" s="358"/>
      <c r="C301" s="109" t="s">
        <v>114</v>
      </c>
      <c r="D301" s="154" t="s">
        <v>429</v>
      </c>
      <c r="E301" s="154" t="s">
        <v>195</v>
      </c>
      <c r="F301" s="174"/>
      <c r="G301" s="219">
        <f>SUM(G302)</f>
        <v>0</v>
      </c>
      <c r="H301" s="14"/>
      <c r="I301" s="14"/>
    </row>
    <row r="302" spans="1:9" s="16" customFormat="1" ht="15" hidden="1">
      <c r="A302" s="376" t="s">
        <v>153</v>
      </c>
      <c r="B302" s="358"/>
      <c r="C302" s="109" t="s">
        <v>114</v>
      </c>
      <c r="D302" s="154" t="s">
        <v>429</v>
      </c>
      <c r="E302" s="154" t="s">
        <v>195</v>
      </c>
      <c r="F302" s="174" t="s">
        <v>83</v>
      </c>
      <c r="G302" s="219"/>
      <c r="H302" s="14"/>
      <c r="I302" s="14"/>
    </row>
    <row r="303" spans="1:9" s="16" customFormat="1" ht="28.5">
      <c r="A303" s="376" t="s">
        <v>92</v>
      </c>
      <c r="B303" s="358"/>
      <c r="C303" s="109" t="s">
        <v>114</v>
      </c>
      <c r="D303" s="154" t="s">
        <v>429</v>
      </c>
      <c r="E303" s="154" t="s">
        <v>79</v>
      </c>
      <c r="F303" s="174"/>
      <c r="G303" s="219">
        <f>SUM(G304)</f>
        <v>164296.2</v>
      </c>
      <c r="H303" s="14"/>
      <c r="I303" s="14"/>
    </row>
    <row r="304" spans="1:10" s="16" customFormat="1" ht="28.5">
      <c r="A304" s="376" t="s">
        <v>489</v>
      </c>
      <c r="B304" s="358"/>
      <c r="C304" s="109" t="s">
        <v>114</v>
      </c>
      <c r="D304" s="154" t="s">
        <v>429</v>
      </c>
      <c r="E304" s="154" t="s">
        <v>79</v>
      </c>
      <c r="F304" s="174" t="s">
        <v>487</v>
      </c>
      <c r="G304" s="219">
        <v>164296.2</v>
      </c>
      <c r="H304" s="14"/>
      <c r="I304" s="14"/>
      <c r="J304" s="16">
        <f>SUM('ведомствен.2015'!G687+'ведомствен.2015'!G614+'ведомствен.2015'!G532)</f>
        <v>164296.2</v>
      </c>
    </row>
    <row r="305" spans="1:9" s="16" customFormat="1" ht="15">
      <c r="A305" s="376" t="s">
        <v>153</v>
      </c>
      <c r="B305" s="358"/>
      <c r="C305" s="106" t="s">
        <v>114</v>
      </c>
      <c r="D305" s="156" t="s">
        <v>429</v>
      </c>
      <c r="E305" s="156" t="s">
        <v>146</v>
      </c>
      <c r="F305" s="167"/>
      <c r="G305" s="216">
        <f>SUM(G306)</f>
        <v>50</v>
      </c>
      <c r="H305" s="14"/>
      <c r="I305" s="14"/>
    </row>
    <row r="306" spans="1:9" s="16" customFormat="1" ht="28.5">
      <c r="A306" s="376" t="s">
        <v>149</v>
      </c>
      <c r="B306" s="358"/>
      <c r="C306" s="106" t="s">
        <v>114</v>
      </c>
      <c r="D306" s="156" t="s">
        <v>429</v>
      </c>
      <c r="E306" s="156" t="s">
        <v>202</v>
      </c>
      <c r="F306" s="167"/>
      <c r="G306" s="216">
        <f>SUM(G307)</f>
        <v>50</v>
      </c>
      <c r="H306" s="14"/>
      <c r="I306" s="14"/>
    </row>
    <row r="307" spans="1:10" s="16" customFormat="1" ht="27" customHeight="1">
      <c r="A307" s="376" t="s">
        <v>489</v>
      </c>
      <c r="B307" s="358"/>
      <c r="C307" s="106" t="s">
        <v>114</v>
      </c>
      <c r="D307" s="156" t="s">
        <v>429</v>
      </c>
      <c r="E307" s="156" t="s">
        <v>202</v>
      </c>
      <c r="F307" s="167" t="s">
        <v>487</v>
      </c>
      <c r="G307" s="216">
        <v>50</v>
      </c>
      <c r="H307" s="14"/>
      <c r="I307" s="14"/>
      <c r="J307" s="16">
        <f>SUM('ведомствен.2015'!G690+'ведомствен.2015'!G617+'ведомствен.2015'!G535)</f>
        <v>50</v>
      </c>
    </row>
    <row r="308" spans="1:9" s="16" customFormat="1" ht="11.25" customHeight="1" hidden="1">
      <c r="A308" s="376" t="s">
        <v>149</v>
      </c>
      <c r="B308" s="358"/>
      <c r="C308" s="106" t="s">
        <v>114</v>
      </c>
      <c r="D308" s="156" t="s">
        <v>429</v>
      </c>
      <c r="E308" s="156" t="s">
        <v>202</v>
      </c>
      <c r="F308" s="167"/>
      <c r="G308" s="216"/>
      <c r="H308" s="14"/>
      <c r="I308" s="14"/>
    </row>
    <row r="309" spans="1:9" s="16" customFormat="1" ht="15">
      <c r="A309" s="376" t="s">
        <v>303</v>
      </c>
      <c r="B309" s="360"/>
      <c r="C309" s="109" t="s">
        <v>114</v>
      </c>
      <c r="D309" s="154" t="s">
        <v>429</v>
      </c>
      <c r="E309" s="154" t="s">
        <v>304</v>
      </c>
      <c r="F309" s="174"/>
      <c r="G309" s="219">
        <f>SUM(G310)</f>
        <v>7227.6</v>
      </c>
      <c r="H309" s="14"/>
      <c r="I309" s="14"/>
    </row>
    <row r="310" spans="1:9" s="16" customFormat="1" ht="28.5">
      <c r="A310" s="376" t="s">
        <v>56</v>
      </c>
      <c r="B310" s="358"/>
      <c r="C310" s="109" t="s">
        <v>114</v>
      </c>
      <c r="D310" s="154" t="s">
        <v>429</v>
      </c>
      <c r="E310" s="154" t="s">
        <v>305</v>
      </c>
      <c r="F310" s="174"/>
      <c r="G310" s="219">
        <f>SUM(G311+G312+G313)</f>
        <v>7227.6</v>
      </c>
      <c r="H310" s="14"/>
      <c r="I310" s="14"/>
    </row>
    <row r="311" spans="1:10" s="16" customFormat="1" ht="28.5">
      <c r="A311" s="376" t="s">
        <v>470</v>
      </c>
      <c r="B311" s="358"/>
      <c r="C311" s="109" t="s">
        <v>114</v>
      </c>
      <c r="D311" s="154" t="s">
        <v>429</v>
      </c>
      <c r="E311" s="154" t="s">
        <v>244</v>
      </c>
      <c r="F311" s="174" t="s">
        <v>471</v>
      </c>
      <c r="G311" s="219">
        <v>2688.4</v>
      </c>
      <c r="H311" s="14"/>
      <c r="I311" s="14"/>
      <c r="J311" s="16">
        <f>SUM('ведомствен.2015'!G620)</f>
        <v>2688.4</v>
      </c>
    </row>
    <row r="312" spans="1:10" s="16" customFormat="1" ht="15">
      <c r="A312" s="376" t="s">
        <v>475</v>
      </c>
      <c r="B312" s="358"/>
      <c r="C312" s="109" t="s">
        <v>114</v>
      </c>
      <c r="D312" s="154" t="s">
        <v>429</v>
      </c>
      <c r="E312" s="154" t="s">
        <v>244</v>
      </c>
      <c r="F312" s="174" t="s">
        <v>117</v>
      </c>
      <c r="G312" s="219">
        <v>3341.4</v>
      </c>
      <c r="H312" s="14"/>
      <c r="I312" s="14" t="e">
        <f>SUM(H312/#REF!*100)</f>
        <v>#REF!</v>
      </c>
      <c r="J312" s="16">
        <f>SUM('ведомствен.2015'!G621)</f>
        <v>3341.4</v>
      </c>
    </row>
    <row r="313" spans="1:10" ht="15">
      <c r="A313" s="376" t="s">
        <v>476</v>
      </c>
      <c r="B313" s="358"/>
      <c r="C313" s="109" t="s">
        <v>114</v>
      </c>
      <c r="D313" s="154" t="s">
        <v>429</v>
      </c>
      <c r="E313" s="154" t="s">
        <v>244</v>
      </c>
      <c r="F313" s="174" t="s">
        <v>166</v>
      </c>
      <c r="G313" s="219">
        <v>1197.8</v>
      </c>
      <c r="H313" s="14"/>
      <c r="I313" s="14"/>
      <c r="J313" s="16">
        <f>SUM('ведомствен.2015'!G622)</f>
        <v>1197.8</v>
      </c>
    </row>
    <row r="314" spans="1:9" s="25" customFormat="1" ht="28.5">
      <c r="A314" s="331" t="s">
        <v>681</v>
      </c>
      <c r="B314" s="356"/>
      <c r="C314" s="109" t="s">
        <v>114</v>
      </c>
      <c r="D314" s="154" t="s">
        <v>429</v>
      </c>
      <c r="E314" s="196" t="s">
        <v>682</v>
      </c>
      <c r="F314" s="333"/>
      <c r="G314" s="216">
        <f>G315+G321+G327</f>
        <v>645626.1000000001</v>
      </c>
      <c r="H314" s="14" t="e">
        <f>SUM(H353)</f>
        <v>#REF!</v>
      </c>
      <c r="I314" s="14" t="e">
        <f>SUM(H314/G343*100)</f>
        <v>#REF!</v>
      </c>
    </row>
    <row r="315" spans="1:9" s="25" customFormat="1" ht="114.75" customHeight="1">
      <c r="A315" s="321" t="s">
        <v>683</v>
      </c>
      <c r="B315" s="215"/>
      <c r="C315" s="106" t="s">
        <v>114</v>
      </c>
      <c r="D315" s="156" t="s">
        <v>429</v>
      </c>
      <c r="E315" s="202" t="s">
        <v>684</v>
      </c>
      <c r="F315" s="166"/>
      <c r="G315" s="216">
        <f>SUM(G316+G318)</f>
        <v>52910.700000000004</v>
      </c>
      <c r="H315" s="14"/>
      <c r="I315" s="14"/>
    </row>
    <row r="316" spans="1:9" s="25" customFormat="1" ht="42.75">
      <c r="A316" s="331" t="s">
        <v>687</v>
      </c>
      <c r="B316" s="215"/>
      <c r="C316" s="106" t="s">
        <v>114</v>
      </c>
      <c r="D316" s="156" t="s">
        <v>429</v>
      </c>
      <c r="E316" s="202" t="s">
        <v>688</v>
      </c>
      <c r="F316" s="166"/>
      <c r="G316" s="216">
        <f>G317</f>
        <v>6181.3</v>
      </c>
      <c r="H316" s="14"/>
      <c r="I316" s="14"/>
    </row>
    <row r="317" spans="1:10" s="25" customFormat="1" ht="28.5">
      <c r="A317" s="194" t="s">
        <v>489</v>
      </c>
      <c r="B317" s="215"/>
      <c r="C317" s="106" t="s">
        <v>114</v>
      </c>
      <c r="D317" s="156" t="s">
        <v>429</v>
      </c>
      <c r="E317" s="202" t="s">
        <v>688</v>
      </c>
      <c r="F317" s="166" t="s">
        <v>487</v>
      </c>
      <c r="G317" s="216">
        <v>6181.3</v>
      </c>
      <c r="H317" s="14"/>
      <c r="I317" s="14"/>
      <c r="J317" s="16">
        <f>SUM('ведомствен.2015'!G626)</f>
        <v>6181.3</v>
      </c>
    </row>
    <row r="318" spans="1:9" s="25" customFormat="1" ht="85.5">
      <c r="A318" s="321" t="s">
        <v>685</v>
      </c>
      <c r="B318" s="215"/>
      <c r="C318" s="106" t="s">
        <v>114</v>
      </c>
      <c r="D318" s="156" t="s">
        <v>429</v>
      </c>
      <c r="E318" s="202" t="s">
        <v>686</v>
      </c>
      <c r="F318" s="166"/>
      <c r="G318" s="216">
        <f>G319+G320</f>
        <v>46729.4</v>
      </c>
      <c r="H318" s="14"/>
      <c r="I318" s="14"/>
    </row>
    <row r="319" spans="1:10" s="25" customFormat="1" ht="28.5">
      <c r="A319" s="194" t="s">
        <v>470</v>
      </c>
      <c r="B319" s="356"/>
      <c r="C319" s="106" t="s">
        <v>114</v>
      </c>
      <c r="D319" s="156" t="s">
        <v>429</v>
      </c>
      <c r="E319" s="202" t="s">
        <v>686</v>
      </c>
      <c r="F319" s="166" t="s">
        <v>471</v>
      </c>
      <c r="G319" s="216">
        <v>42416.4</v>
      </c>
      <c r="H319" s="14"/>
      <c r="I319" s="14"/>
      <c r="J319" s="16">
        <f>SUM('ведомствен.2015'!G628)</f>
        <v>42416.4</v>
      </c>
    </row>
    <row r="320" spans="1:10" s="25" customFormat="1" ht="15">
      <c r="A320" s="194" t="s">
        <v>475</v>
      </c>
      <c r="B320" s="356"/>
      <c r="C320" s="106" t="s">
        <v>114</v>
      </c>
      <c r="D320" s="156" t="s">
        <v>429</v>
      </c>
      <c r="E320" s="202" t="s">
        <v>686</v>
      </c>
      <c r="F320" s="166" t="s">
        <v>117</v>
      </c>
      <c r="G320" s="216">
        <f>46729.4-42416.4</f>
        <v>4313</v>
      </c>
      <c r="H320" s="14"/>
      <c r="I320" s="14"/>
      <c r="J320" s="16">
        <f>SUM('ведомствен.2015'!G629)</f>
        <v>4313</v>
      </c>
    </row>
    <row r="321" spans="1:9" s="25" customFormat="1" ht="28.5">
      <c r="A321" s="376" t="s">
        <v>571</v>
      </c>
      <c r="B321" s="356"/>
      <c r="C321" s="106" t="s">
        <v>114</v>
      </c>
      <c r="D321" s="156" t="s">
        <v>429</v>
      </c>
      <c r="E321" s="320" t="s">
        <v>694</v>
      </c>
      <c r="F321" s="166"/>
      <c r="G321" s="216">
        <f>SUM(G322+G324)</f>
        <v>305620.10000000003</v>
      </c>
      <c r="H321" s="14"/>
      <c r="I321" s="14"/>
    </row>
    <row r="322" spans="1:9" s="25" customFormat="1" ht="28.5">
      <c r="A322" s="376" t="s">
        <v>92</v>
      </c>
      <c r="B322" s="356"/>
      <c r="C322" s="106" t="s">
        <v>114</v>
      </c>
      <c r="D322" s="156" t="s">
        <v>429</v>
      </c>
      <c r="E322" s="202" t="s">
        <v>691</v>
      </c>
      <c r="F322" s="166"/>
      <c r="G322" s="216">
        <f>SUM(G323)</f>
        <v>302980.7</v>
      </c>
      <c r="H322" s="14"/>
      <c r="I322" s="14"/>
    </row>
    <row r="323" spans="1:10" s="25" customFormat="1" ht="28.5">
      <c r="A323" s="194" t="s">
        <v>489</v>
      </c>
      <c r="B323" s="215"/>
      <c r="C323" s="106" t="s">
        <v>114</v>
      </c>
      <c r="D323" s="156" t="s">
        <v>429</v>
      </c>
      <c r="E323" s="320" t="s">
        <v>691</v>
      </c>
      <c r="F323" s="166" t="s">
        <v>487</v>
      </c>
      <c r="G323" s="216">
        <f>72508.4+233111.7-505.1-2134.3</f>
        <v>302980.7</v>
      </c>
      <c r="H323" s="14"/>
      <c r="I323" s="14"/>
      <c r="J323" s="16">
        <f>SUM('ведомствен.2015'!G632)</f>
        <v>302980.7</v>
      </c>
    </row>
    <row r="324" spans="1:9" s="25" customFormat="1" ht="15">
      <c r="A324" s="192" t="s">
        <v>153</v>
      </c>
      <c r="B324" s="215"/>
      <c r="C324" s="106" t="s">
        <v>114</v>
      </c>
      <c r="D324" s="156" t="s">
        <v>429</v>
      </c>
      <c r="E324" s="202" t="s">
        <v>693</v>
      </c>
      <c r="F324" s="166"/>
      <c r="G324" s="216">
        <f>SUM(G325)</f>
        <v>2639.4</v>
      </c>
      <c r="H324" s="14"/>
      <c r="I324" s="14"/>
    </row>
    <row r="325" spans="1:9" s="25" customFormat="1" ht="28.5">
      <c r="A325" s="194" t="s">
        <v>380</v>
      </c>
      <c r="B325" s="215"/>
      <c r="C325" s="106" t="s">
        <v>114</v>
      </c>
      <c r="D325" s="156" t="s">
        <v>429</v>
      </c>
      <c r="E325" s="202" t="s">
        <v>692</v>
      </c>
      <c r="F325" s="166"/>
      <c r="G325" s="216">
        <f>SUM(G326)</f>
        <v>2639.4</v>
      </c>
      <c r="H325" s="14"/>
      <c r="I325" s="14"/>
    </row>
    <row r="326" spans="1:10" s="25" customFormat="1" ht="28.5">
      <c r="A326" s="194" t="s">
        <v>496</v>
      </c>
      <c r="B326" s="356"/>
      <c r="C326" s="106" t="s">
        <v>114</v>
      </c>
      <c r="D326" s="156" t="s">
        <v>429</v>
      </c>
      <c r="E326" s="202" t="s">
        <v>692</v>
      </c>
      <c r="F326" s="166" t="s">
        <v>487</v>
      </c>
      <c r="G326" s="216">
        <f>505.1+2134.3</f>
        <v>2639.4</v>
      </c>
      <c r="H326" s="14"/>
      <c r="I326" s="14"/>
      <c r="J326" s="16">
        <f>SUM('ведомствен.2015'!G635)</f>
        <v>2639.4</v>
      </c>
    </row>
    <row r="327" spans="1:9" s="25" customFormat="1" ht="71.25">
      <c r="A327" s="331" t="s">
        <v>689</v>
      </c>
      <c r="B327" s="215"/>
      <c r="C327" s="106" t="s">
        <v>114</v>
      </c>
      <c r="D327" s="156" t="s">
        <v>429</v>
      </c>
      <c r="E327" s="202" t="s">
        <v>690</v>
      </c>
      <c r="F327" s="166"/>
      <c r="G327" s="216">
        <f>SUM(G328:G329)</f>
        <v>287095.3</v>
      </c>
      <c r="H327" s="14"/>
      <c r="I327" s="14"/>
    </row>
    <row r="328" spans="1:10" s="25" customFormat="1" ht="28.5">
      <c r="A328" s="194" t="s">
        <v>470</v>
      </c>
      <c r="B328" s="215"/>
      <c r="C328" s="106" t="s">
        <v>114</v>
      </c>
      <c r="D328" s="156" t="s">
        <v>429</v>
      </c>
      <c r="E328" s="202" t="s">
        <v>690</v>
      </c>
      <c r="F328" s="166" t="s">
        <v>471</v>
      </c>
      <c r="G328" s="216">
        <v>283572.6</v>
      </c>
      <c r="H328" s="14"/>
      <c r="I328" s="14"/>
      <c r="J328" s="16">
        <f>SUM('ведомствен.2015'!G637)</f>
        <v>283572.6</v>
      </c>
    </row>
    <row r="329" spans="1:10" s="25" customFormat="1" ht="15">
      <c r="A329" s="194" t="s">
        <v>475</v>
      </c>
      <c r="B329" s="215"/>
      <c r="C329" s="106" t="s">
        <v>114</v>
      </c>
      <c r="D329" s="156" t="s">
        <v>429</v>
      </c>
      <c r="E329" s="202" t="s">
        <v>690</v>
      </c>
      <c r="F329" s="166" t="s">
        <v>117</v>
      </c>
      <c r="G329" s="216">
        <f>287095.3-283572.6</f>
        <v>3522.7000000000116</v>
      </c>
      <c r="H329" s="14"/>
      <c r="I329" s="14"/>
      <c r="J329" s="16">
        <f>SUM('ведомствен.2015'!G638)</f>
        <v>3522.7000000000116</v>
      </c>
    </row>
    <row r="330" spans="1:10" ht="28.5">
      <c r="A330" s="371" t="s">
        <v>635</v>
      </c>
      <c r="B330" s="350"/>
      <c r="C330" s="106" t="s">
        <v>114</v>
      </c>
      <c r="D330" s="156" t="s">
        <v>429</v>
      </c>
      <c r="E330" s="156" t="s">
        <v>636</v>
      </c>
      <c r="F330" s="165"/>
      <c r="G330" s="216">
        <f>SUM(G331)</f>
        <v>61578.399999999994</v>
      </c>
      <c r="H330" s="14"/>
      <c r="I330" s="14"/>
      <c r="J330"/>
    </row>
    <row r="331" spans="1:10" ht="28.5">
      <c r="A331" s="371" t="s">
        <v>56</v>
      </c>
      <c r="B331" s="350"/>
      <c r="C331" s="106" t="s">
        <v>114</v>
      </c>
      <c r="D331" s="156" t="s">
        <v>429</v>
      </c>
      <c r="E331" s="156" t="s">
        <v>637</v>
      </c>
      <c r="F331" s="165"/>
      <c r="G331" s="216">
        <f>SUM(G332)</f>
        <v>61578.399999999994</v>
      </c>
      <c r="H331" s="14"/>
      <c r="I331" s="14"/>
      <c r="J331"/>
    </row>
    <row r="332" spans="1:10" ht="71.25">
      <c r="A332" s="371" t="s">
        <v>445</v>
      </c>
      <c r="B332" s="350"/>
      <c r="C332" s="106" t="s">
        <v>114</v>
      </c>
      <c r="D332" s="156" t="s">
        <v>429</v>
      </c>
      <c r="E332" s="156" t="s">
        <v>638</v>
      </c>
      <c r="F332" s="165"/>
      <c r="G332" s="216">
        <f>SUM(G333:G334)</f>
        <v>61578.399999999994</v>
      </c>
      <c r="H332" s="14"/>
      <c r="I332" s="14"/>
      <c r="J332"/>
    </row>
    <row r="333" spans="1:10" ht="28.5">
      <c r="A333" s="371" t="s">
        <v>470</v>
      </c>
      <c r="B333" s="350"/>
      <c r="C333" s="106" t="s">
        <v>114</v>
      </c>
      <c r="D333" s="156" t="s">
        <v>429</v>
      </c>
      <c r="E333" s="156" t="s">
        <v>638</v>
      </c>
      <c r="F333" s="165" t="s">
        <v>471</v>
      </c>
      <c r="G333" s="216">
        <v>42660.2</v>
      </c>
      <c r="H333" s="14"/>
      <c r="I333" s="14"/>
      <c r="J333">
        <f>SUM('ведомствен.2015'!G367)</f>
        <v>42660.2</v>
      </c>
    </row>
    <row r="334" spans="1:10" ht="15">
      <c r="A334" s="371" t="s">
        <v>475</v>
      </c>
      <c r="B334" s="350"/>
      <c r="C334" s="106" t="s">
        <v>114</v>
      </c>
      <c r="D334" s="156" t="s">
        <v>429</v>
      </c>
      <c r="E334" s="156" t="s">
        <v>638</v>
      </c>
      <c r="F334" s="165" t="s">
        <v>117</v>
      </c>
      <c r="G334" s="216">
        <v>18918.2</v>
      </c>
      <c r="H334" s="14"/>
      <c r="I334" s="14"/>
      <c r="J334">
        <f>SUM('ведомствен.2015'!G368)</f>
        <v>18918.2</v>
      </c>
    </row>
    <row r="335" spans="1:10" ht="15">
      <c r="A335" s="376" t="s">
        <v>558</v>
      </c>
      <c r="B335" s="215"/>
      <c r="C335" s="106" t="s">
        <v>114</v>
      </c>
      <c r="D335" s="156" t="s">
        <v>429</v>
      </c>
      <c r="E335" s="156" t="s">
        <v>126</v>
      </c>
      <c r="F335" s="166"/>
      <c r="G335" s="216">
        <f>SUM(G336+G339)</f>
        <v>1790</v>
      </c>
      <c r="H335" s="14"/>
      <c r="I335" s="14"/>
      <c r="J335"/>
    </row>
    <row r="336" spans="1:10" ht="28.5">
      <c r="A336" s="183" t="s">
        <v>677</v>
      </c>
      <c r="B336" s="268"/>
      <c r="C336" s="228" t="s">
        <v>114</v>
      </c>
      <c r="D336" s="228" t="s">
        <v>429</v>
      </c>
      <c r="E336" s="228" t="s">
        <v>678</v>
      </c>
      <c r="F336" s="280"/>
      <c r="G336" s="197">
        <f>SUM(G337:G338)</f>
        <v>990</v>
      </c>
      <c r="H336" s="14"/>
      <c r="I336" s="14"/>
      <c r="J336"/>
    </row>
    <row r="337" spans="1:10" ht="15">
      <c r="A337" s="183" t="s">
        <v>475</v>
      </c>
      <c r="B337" s="268"/>
      <c r="C337" s="228" t="s">
        <v>114</v>
      </c>
      <c r="D337" s="228" t="s">
        <v>429</v>
      </c>
      <c r="E337" s="228" t="s">
        <v>678</v>
      </c>
      <c r="F337" s="280" t="s">
        <v>117</v>
      </c>
      <c r="G337" s="197">
        <v>940</v>
      </c>
      <c r="H337" s="14"/>
      <c r="I337" s="14"/>
      <c r="J337">
        <f>SUM('ведомствен.2015'!G641)</f>
        <v>940</v>
      </c>
    </row>
    <row r="338" spans="1:10" ht="28.5">
      <c r="A338" s="183" t="s">
        <v>496</v>
      </c>
      <c r="B338" s="268"/>
      <c r="C338" s="228" t="s">
        <v>114</v>
      </c>
      <c r="D338" s="228" t="s">
        <v>429</v>
      </c>
      <c r="E338" s="228" t="s">
        <v>678</v>
      </c>
      <c r="F338" s="280" t="s">
        <v>487</v>
      </c>
      <c r="G338" s="197">
        <v>50</v>
      </c>
      <c r="H338" s="14"/>
      <c r="I338" s="14"/>
      <c r="J338">
        <f>SUM('ведомствен.2015'!G642)</f>
        <v>50</v>
      </c>
    </row>
    <row r="339" spans="1:10" ht="28.5">
      <c r="A339" s="194" t="s">
        <v>695</v>
      </c>
      <c r="B339" s="364"/>
      <c r="C339" s="106" t="s">
        <v>114</v>
      </c>
      <c r="D339" s="156" t="s">
        <v>429</v>
      </c>
      <c r="E339" s="156" t="s">
        <v>696</v>
      </c>
      <c r="F339" s="166"/>
      <c r="G339" s="216">
        <f>SUM(G340)</f>
        <v>800</v>
      </c>
      <c r="H339" s="14"/>
      <c r="I339" s="14"/>
      <c r="J339"/>
    </row>
    <row r="340" spans="1:10" ht="15">
      <c r="A340" s="194" t="s">
        <v>475</v>
      </c>
      <c r="B340" s="364"/>
      <c r="C340" s="106" t="s">
        <v>114</v>
      </c>
      <c r="D340" s="156" t="s">
        <v>429</v>
      </c>
      <c r="E340" s="156" t="s">
        <v>696</v>
      </c>
      <c r="F340" s="166" t="s">
        <v>117</v>
      </c>
      <c r="G340" s="216">
        <v>800</v>
      </c>
      <c r="H340" s="14"/>
      <c r="I340" s="14"/>
      <c r="J340">
        <f>SUM('ведомствен.2015'!G644)</f>
        <v>800</v>
      </c>
    </row>
    <row r="341" spans="1:9" s="25" customFormat="1" ht="15">
      <c r="A341" s="376" t="s">
        <v>115</v>
      </c>
      <c r="B341" s="360"/>
      <c r="C341" s="109" t="s">
        <v>114</v>
      </c>
      <c r="D341" s="154" t="s">
        <v>114</v>
      </c>
      <c r="E341" s="154"/>
      <c r="F341" s="174"/>
      <c r="G341" s="219">
        <f>SUM(G346+G353+G342+G358)</f>
        <v>5708.3</v>
      </c>
      <c r="H341" s="14"/>
      <c r="I341" s="14"/>
    </row>
    <row r="342" spans="1:9" s="25" customFormat="1" ht="15" hidden="1">
      <c r="A342" s="376" t="s">
        <v>373</v>
      </c>
      <c r="B342" s="360"/>
      <c r="C342" s="109" t="s">
        <v>114</v>
      </c>
      <c r="D342" s="154" t="s">
        <v>114</v>
      </c>
      <c r="E342" s="154" t="s">
        <v>375</v>
      </c>
      <c r="F342" s="174"/>
      <c r="G342" s="219">
        <f>SUM(G343)</f>
        <v>0</v>
      </c>
      <c r="H342" s="14"/>
      <c r="I342" s="14"/>
    </row>
    <row r="343" spans="1:9" s="25" customFormat="1" ht="15" hidden="1">
      <c r="A343" s="376" t="s">
        <v>355</v>
      </c>
      <c r="B343" s="360"/>
      <c r="C343" s="109" t="s">
        <v>114</v>
      </c>
      <c r="D343" s="154" t="s">
        <v>114</v>
      </c>
      <c r="E343" s="154" t="s">
        <v>356</v>
      </c>
      <c r="F343" s="174"/>
      <c r="G343" s="219">
        <f>SUM(G344+G345)</f>
        <v>0</v>
      </c>
      <c r="H343" s="14"/>
      <c r="I343" s="14"/>
    </row>
    <row r="344" spans="1:9" s="16" customFormat="1" ht="15" hidden="1">
      <c r="A344" s="376" t="s">
        <v>226</v>
      </c>
      <c r="B344" s="360"/>
      <c r="C344" s="109" t="s">
        <v>114</v>
      </c>
      <c r="D344" s="154" t="s">
        <v>114</v>
      </c>
      <c r="E344" s="154" t="s">
        <v>356</v>
      </c>
      <c r="F344" s="174" t="s">
        <v>227</v>
      </c>
      <c r="G344" s="219"/>
      <c r="H344" s="14"/>
      <c r="I344" s="14"/>
    </row>
    <row r="345" spans="1:9" s="16" customFormat="1" ht="15" hidden="1">
      <c r="A345" s="376" t="s">
        <v>206</v>
      </c>
      <c r="B345" s="360"/>
      <c r="C345" s="109" t="s">
        <v>114</v>
      </c>
      <c r="D345" s="154" t="s">
        <v>114</v>
      </c>
      <c r="E345" s="154" t="s">
        <v>356</v>
      </c>
      <c r="F345" s="174" t="s">
        <v>207</v>
      </c>
      <c r="G345" s="219"/>
      <c r="H345" s="14"/>
      <c r="I345" s="14"/>
    </row>
    <row r="346" spans="1:9" s="16" customFormat="1" ht="15">
      <c r="A346" s="376" t="s">
        <v>208</v>
      </c>
      <c r="B346" s="360"/>
      <c r="C346" s="109" t="s">
        <v>114</v>
      </c>
      <c r="D346" s="154" t="s">
        <v>114</v>
      </c>
      <c r="E346" s="154" t="s">
        <v>209</v>
      </c>
      <c r="F346" s="174"/>
      <c r="G346" s="219">
        <f>SUM(G349+G347)</f>
        <v>1914.5</v>
      </c>
      <c r="H346" s="14"/>
      <c r="I346" s="14"/>
    </row>
    <row r="347" spans="1:9" s="16" customFormat="1" ht="28.5" hidden="1">
      <c r="A347" s="376" t="s">
        <v>237</v>
      </c>
      <c r="B347" s="360"/>
      <c r="C347" s="109" t="s">
        <v>114</v>
      </c>
      <c r="D347" s="154" t="s">
        <v>114</v>
      </c>
      <c r="E347" s="154" t="s">
        <v>196</v>
      </c>
      <c r="F347" s="174"/>
      <c r="G347" s="219"/>
      <c r="H347" s="14"/>
      <c r="I347" s="14"/>
    </row>
    <row r="348" spans="1:10" ht="15" hidden="1">
      <c r="A348" s="376" t="s">
        <v>57</v>
      </c>
      <c r="B348" s="360"/>
      <c r="C348" s="109" t="s">
        <v>114</v>
      </c>
      <c r="D348" s="154" t="s">
        <v>114</v>
      </c>
      <c r="E348" s="154" t="s">
        <v>196</v>
      </c>
      <c r="F348" s="174"/>
      <c r="G348" s="219"/>
      <c r="H348" s="14"/>
      <c r="I348" s="14"/>
      <c r="J348"/>
    </row>
    <row r="349" spans="1:10" ht="28.5">
      <c r="A349" s="376" t="s">
        <v>56</v>
      </c>
      <c r="B349" s="360"/>
      <c r="C349" s="109" t="s">
        <v>114</v>
      </c>
      <c r="D349" s="154" t="s">
        <v>114</v>
      </c>
      <c r="E349" s="154" t="s">
        <v>212</v>
      </c>
      <c r="F349" s="174"/>
      <c r="G349" s="219">
        <f>SUM(G350+G351+G352)</f>
        <v>1914.5</v>
      </c>
      <c r="H349" s="14"/>
      <c r="I349" s="14"/>
      <c r="J349"/>
    </row>
    <row r="350" spans="1:10" s="25" customFormat="1" ht="28.5">
      <c r="A350" s="376" t="s">
        <v>470</v>
      </c>
      <c r="B350" s="360"/>
      <c r="C350" s="109" t="s">
        <v>114</v>
      </c>
      <c r="D350" s="154" t="s">
        <v>114</v>
      </c>
      <c r="E350" s="154" t="s">
        <v>212</v>
      </c>
      <c r="F350" s="174" t="s">
        <v>471</v>
      </c>
      <c r="G350" s="219">
        <v>1714.3</v>
      </c>
      <c r="H350" s="14"/>
      <c r="I350" s="14"/>
      <c r="J350">
        <f>SUM('ведомствен.2015'!G654)</f>
        <v>1714.3</v>
      </c>
    </row>
    <row r="351" spans="1:10" ht="15">
      <c r="A351" s="376" t="s">
        <v>475</v>
      </c>
      <c r="B351" s="360"/>
      <c r="C351" s="109" t="s">
        <v>114</v>
      </c>
      <c r="D351" s="154" t="s">
        <v>114</v>
      </c>
      <c r="E351" s="154" t="s">
        <v>212</v>
      </c>
      <c r="F351" s="174" t="s">
        <v>117</v>
      </c>
      <c r="G351" s="219">
        <v>188.4</v>
      </c>
      <c r="H351" s="14"/>
      <c r="I351" s="14"/>
      <c r="J351" s="110">
        <f>SUM('ведомствен.2015'!G655)</f>
        <v>188.4</v>
      </c>
    </row>
    <row r="352" spans="1:10" s="25" customFormat="1" ht="15">
      <c r="A352" s="376" t="s">
        <v>476</v>
      </c>
      <c r="B352" s="360"/>
      <c r="C352" s="109" t="s">
        <v>114</v>
      </c>
      <c r="D352" s="154" t="s">
        <v>114</v>
      </c>
      <c r="E352" s="154" t="s">
        <v>212</v>
      </c>
      <c r="F352" s="174" t="s">
        <v>166</v>
      </c>
      <c r="G352" s="219">
        <v>11.8</v>
      </c>
      <c r="H352" s="14"/>
      <c r="I352" s="14"/>
      <c r="J352" s="110">
        <f>SUM('ведомствен.2015'!G656)</f>
        <v>11.8</v>
      </c>
    </row>
    <row r="353" spans="1:9" s="25" customFormat="1" ht="15">
      <c r="A353" s="381" t="s">
        <v>213</v>
      </c>
      <c r="B353" s="360"/>
      <c r="C353" s="109" t="s">
        <v>114</v>
      </c>
      <c r="D353" s="154" t="s">
        <v>114</v>
      </c>
      <c r="E353" s="154" t="s">
        <v>116</v>
      </c>
      <c r="F353" s="174"/>
      <c r="G353" s="219">
        <f>SUM(G354)</f>
        <v>3000</v>
      </c>
      <c r="H353" s="14" t="e">
        <f>SUM(H354+H363+H365+H369+#REF!+H357+H361)+#REF!</f>
        <v>#REF!</v>
      </c>
      <c r="I353" s="14" t="e">
        <f aca="true" t="shared" si="6" ref="I353:I358">SUM(H353/G361*100)</f>
        <v>#REF!</v>
      </c>
    </row>
    <row r="354" spans="1:9" s="25" customFormat="1" ht="28.5">
      <c r="A354" s="381" t="s">
        <v>88</v>
      </c>
      <c r="B354" s="360"/>
      <c r="C354" s="109" t="s">
        <v>114</v>
      </c>
      <c r="D354" s="154" t="s">
        <v>114</v>
      </c>
      <c r="E354" s="154" t="s">
        <v>89</v>
      </c>
      <c r="F354" s="174"/>
      <c r="G354" s="219">
        <f>SUM(G355)</f>
        <v>3000</v>
      </c>
      <c r="H354" s="14">
        <v>53118.9</v>
      </c>
      <c r="I354" s="14">
        <f t="shared" si="6"/>
        <v>6777.098749681042</v>
      </c>
    </row>
    <row r="355" spans="1:9" s="25" customFormat="1" ht="42.75">
      <c r="A355" s="381" t="s">
        <v>90</v>
      </c>
      <c r="B355" s="360"/>
      <c r="C355" s="109" t="s">
        <v>114</v>
      </c>
      <c r="D355" s="154" t="s">
        <v>114</v>
      </c>
      <c r="E355" s="154" t="s">
        <v>91</v>
      </c>
      <c r="F355" s="174"/>
      <c r="G355" s="219">
        <f>SUM(G356:G357)</f>
        <v>3000</v>
      </c>
      <c r="H355" s="14"/>
      <c r="I355" s="14">
        <f t="shared" si="6"/>
        <v>0</v>
      </c>
    </row>
    <row r="356" spans="1:9" s="25" customFormat="1" ht="15" hidden="1">
      <c r="A356" s="376" t="s">
        <v>57</v>
      </c>
      <c r="B356" s="360"/>
      <c r="C356" s="109" t="s">
        <v>114</v>
      </c>
      <c r="D356" s="154" t="s">
        <v>114</v>
      </c>
      <c r="E356" s="154" t="s">
        <v>91</v>
      </c>
      <c r="F356" s="174"/>
      <c r="G356" s="219"/>
      <c r="H356" s="14"/>
      <c r="I356" s="14">
        <f t="shared" si="6"/>
        <v>0</v>
      </c>
    </row>
    <row r="357" spans="1:10" s="25" customFormat="1" ht="15">
      <c r="A357" s="376" t="s">
        <v>475</v>
      </c>
      <c r="B357" s="360"/>
      <c r="C357" s="109" t="s">
        <v>114</v>
      </c>
      <c r="D357" s="154" t="s">
        <v>114</v>
      </c>
      <c r="E357" s="154" t="s">
        <v>91</v>
      </c>
      <c r="F357" s="174" t="s">
        <v>117</v>
      </c>
      <c r="G357" s="219">
        <v>3000</v>
      </c>
      <c r="H357" s="14">
        <f>SUM(H358)</f>
        <v>392.5</v>
      </c>
      <c r="I357" s="14">
        <f t="shared" si="6"/>
        <v>1.0416445510711028</v>
      </c>
      <c r="J357" s="110">
        <f>SUM('ведомствен.2015'!G661)</f>
        <v>3000</v>
      </c>
    </row>
    <row r="358" spans="1:9" s="25" customFormat="1" ht="15">
      <c r="A358" s="376" t="s">
        <v>558</v>
      </c>
      <c r="B358" s="362"/>
      <c r="C358" s="109" t="s">
        <v>114</v>
      </c>
      <c r="D358" s="154" t="s">
        <v>114</v>
      </c>
      <c r="E358" s="154" t="s">
        <v>126</v>
      </c>
      <c r="F358" s="174"/>
      <c r="G358" s="219">
        <f>SUM(G361)+G359</f>
        <v>793.8</v>
      </c>
      <c r="H358" s="14">
        <v>392.5</v>
      </c>
      <c r="I358" s="14">
        <f t="shared" si="6"/>
        <v>1.1773139843904663</v>
      </c>
    </row>
    <row r="359" spans="1:9" s="25" customFormat="1" ht="42.75">
      <c r="A359" s="203" t="s">
        <v>697</v>
      </c>
      <c r="B359" s="357"/>
      <c r="C359" s="106" t="s">
        <v>114</v>
      </c>
      <c r="D359" s="156" t="s">
        <v>114</v>
      </c>
      <c r="E359" s="156" t="s">
        <v>698</v>
      </c>
      <c r="F359" s="166"/>
      <c r="G359" s="216">
        <f>G360</f>
        <v>10</v>
      </c>
      <c r="H359" s="14"/>
      <c r="I359" s="14"/>
    </row>
    <row r="360" spans="1:10" s="25" customFormat="1" ht="15">
      <c r="A360" s="194" t="s">
        <v>475</v>
      </c>
      <c r="B360" s="357"/>
      <c r="C360" s="106" t="s">
        <v>114</v>
      </c>
      <c r="D360" s="156" t="s">
        <v>114</v>
      </c>
      <c r="E360" s="156" t="s">
        <v>698</v>
      </c>
      <c r="F360" s="166" t="s">
        <v>117</v>
      </c>
      <c r="G360" s="216">
        <v>10</v>
      </c>
      <c r="H360" s="14"/>
      <c r="I360" s="14"/>
      <c r="J360" s="110">
        <f>SUM('ведомствен.2015'!G664)</f>
        <v>10</v>
      </c>
    </row>
    <row r="361" spans="1:9" s="25" customFormat="1" ht="15">
      <c r="A361" s="382" t="s">
        <v>574</v>
      </c>
      <c r="B361" s="362"/>
      <c r="C361" s="109" t="s">
        <v>114</v>
      </c>
      <c r="D361" s="154" t="s">
        <v>114</v>
      </c>
      <c r="E361" s="154" t="s">
        <v>94</v>
      </c>
      <c r="F361" s="174"/>
      <c r="G361" s="221">
        <f>SUM(G362)</f>
        <v>783.8</v>
      </c>
      <c r="H361" s="14">
        <f>SUM(H362)</f>
        <v>0</v>
      </c>
      <c r="I361" s="14">
        <f>SUM(H361/G367*100)</f>
        <v>0</v>
      </c>
    </row>
    <row r="362" spans="1:10" s="25" customFormat="1" ht="15">
      <c r="A362" s="376" t="s">
        <v>475</v>
      </c>
      <c r="B362" s="362"/>
      <c r="C362" s="109" t="s">
        <v>114</v>
      </c>
      <c r="D362" s="154" t="s">
        <v>114</v>
      </c>
      <c r="E362" s="154" t="s">
        <v>94</v>
      </c>
      <c r="F362" s="174" t="s">
        <v>117</v>
      </c>
      <c r="G362" s="221">
        <v>783.8</v>
      </c>
      <c r="H362" s="14"/>
      <c r="I362" s="14">
        <f>SUM(H362/G368*100)</f>
        <v>0</v>
      </c>
      <c r="J362" s="110">
        <f>SUM('ведомствен.2015'!G666)</f>
        <v>783.8</v>
      </c>
    </row>
    <row r="363" spans="1:9" s="25" customFormat="1" ht="15">
      <c r="A363" s="376" t="s">
        <v>214</v>
      </c>
      <c r="B363" s="360"/>
      <c r="C363" s="109" t="s">
        <v>114</v>
      </c>
      <c r="D363" s="154" t="s">
        <v>279</v>
      </c>
      <c r="E363" s="154"/>
      <c r="F363" s="174"/>
      <c r="G363" s="219">
        <f>G364+G369</f>
        <v>37680.799999999996</v>
      </c>
      <c r="H363" s="14">
        <f>SUM(H364)</f>
        <v>5014</v>
      </c>
      <c r="I363" s="14" t="e">
        <f>SUM(H363/G369*100)</f>
        <v>#DIV/0!</v>
      </c>
    </row>
    <row r="364" spans="1:9" s="25" customFormat="1" ht="57">
      <c r="A364" s="381" t="s">
        <v>270</v>
      </c>
      <c r="B364" s="360"/>
      <c r="C364" s="109" t="s">
        <v>114</v>
      </c>
      <c r="D364" s="154" t="s">
        <v>279</v>
      </c>
      <c r="E364" s="154" t="s">
        <v>271</v>
      </c>
      <c r="F364" s="174"/>
      <c r="G364" s="219">
        <f>SUM(G365)</f>
        <v>37680.799999999996</v>
      </c>
      <c r="H364" s="14">
        <v>5014</v>
      </c>
      <c r="I364" s="14" t="e">
        <f>SUM(H364/G370*100)</f>
        <v>#DIV/0!</v>
      </c>
    </row>
    <row r="365" spans="1:10" ht="28.5">
      <c r="A365" s="376" t="s">
        <v>56</v>
      </c>
      <c r="B365" s="360"/>
      <c r="C365" s="109" t="s">
        <v>114</v>
      </c>
      <c r="D365" s="154" t="s">
        <v>279</v>
      </c>
      <c r="E365" s="154" t="s">
        <v>272</v>
      </c>
      <c r="F365" s="174"/>
      <c r="G365" s="219">
        <f>SUM(G366+G367+G368)</f>
        <v>37680.799999999996</v>
      </c>
      <c r="H365" s="14">
        <f>SUM(H366)</f>
        <v>0</v>
      </c>
      <c r="I365" s="14" t="e">
        <f>SUM(H365/G371*100)</f>
        <v>#DIV/0!</v>
      </c>
      <c r="J365"/>
    </row>
    <row r="366" spans="1:10" s="25" customFormat="1" ht="28.5">
      <c r="A366" s="376" t="s">
        <v>470</v>
      </c>
      <c r="B366" s="360"/>
      <c r="C366" s="109" t="s">
        <v>114</v>
      </c>
      <c r="D366" s="154" t="s">
        <v>279</v>
      </c>
      <c r="E366" s="154" t="s">
        <v>272</v>
      </c>
      <c r="F366" s="174" t="s">
        <v>471</v>
      </c>
      <c r="G366" s="219">
        <v>33338.6</v>
      </c>
      <c r="H366" s="14"/>
      <c r="I366" s="14" t="e">
        <f>SUM(H366/#REF!*100)</f>
        <v>#REF!</v>
      </c>
      <c r="J366" s="110">
        <f>SUM('ведомствен.2015'!G670)</f>
        <v>33338.6</v>
      </c>
    </row>
    <row r="367" spans="1:10" ht="15">
      <c r="A367" s="376" t="s">
        <v>475</v>
      </c>
      <c r="B367" s="362"/>
      <c r="C367" s="109" t="s">
        <v>114</v>
      </c>
      <c r="D367" s="154" t="s">
        <v>279</v>
      </c>
      <c r="E367" s="154" t="s">
        <v>272</v>
      </c>
      <c r="F367" s="174" t="s">
        <v>117</v>
      </c>
      <c r="G367" s="219">
        <v>3943.5</v>
      </c>
      <c r="H367" s="14">
        <f>SUM(H368)</f>
        <v>0</v>
      </c>
      <c r="I367" s="14" t="e">
        <f>SUM(H367/#REF!*100)</f>
        <v>#REF!</v>
      </c>
      <c r="J367" s="110">
        <f>SUM('ведомствен.2015'!G671)</f>
        <v>3943.5</v>
      </c>
    </row>
    <row r="368" spans="1:10" ht="14.25" customHeight="1">
      <c r="A368" s="376" t="s">
        <v>476</v>
      </c>
      <c r="B368" s="360"/>
      <c r="C368" s="109" t="s">
        <v>114</v>
      </c>
      <c r="D368" s="154" t="s">
        <v>279</v>
      </c>
      <c r="E368" s="154" t="s">
        <v>272</v>
      </c>
      <c r="F368" s="174" t="s">
        <v>166</v>
      </c>
      <c r="G368" s="219">
        <v>398.7</v>
      </c>
      <c r="H368" s="14"/>
      <c r="I368" s="14" t="e">
        <f>SUM(H368/#REF!*100)</f>
        <v>#REF!</v>
      </c>
      <c r="J368" s="110">
        <f>SUM('ведомствен.2015'!G672)</f>
        <v>398.7</v>
      </c>
    </row>
    <row r="369" spans="1:10" ht="15" hidden="1">
      <c r="A369" s="194" t="s">
        <v>524</v>
      </c>
      <c r="B369" s="352"/>
      <c r="C369" s="325" t="s">
        <v>114</v>
      </c>
      <c r="D369" s="326" t="s">
        <v>279</v>
      </c>
      <c r="E369" s="156" t="s">
        <v>126</v>
      </c>
      <c r="F369" s="328"/>
      <c r="G369" s="342">
        <f>SUM(G370)</f>
        <v>0</v>
      </c>
      <c r="H369" s="14">
        <f>SUM(H370)</f>
        <v>454</v>
      </c>
      <c r="I369" s="14" t="e">
        <f>SUM(H369/#REF!*100)</f>
        <v>#REF!</v>
      </c>
      <c r="J369"/>
    </row>
    <row r="370" spans="1:9" s="25" customFormat="1" ht="28.5" hidden="1">
      <c r="A370" s="377" t="s">
        <v>525</v>
      </c>
      <c r="B370" s="352"/>
      <c r="C370" s="325" t="s">
        <v>114</v>
      </c>
      <c r="D370" s="326" t="s">
        <v>279</v>
      </c>
      <c r="E370" s="326" t="s">
        <v>54</v>
      </c>
      <c r="F370" s="328"/>
      <c r="G370" s="342">
        <f>G371</f>
        <v>0</v>
      </c>
      <c r="H370" s="14">
        <v>454</v>
      </c>
      <c r="I370" s="14" t="e">
        <f>SUM(H370/#REF!*100)</f>
        <v>#REF!</v>
      </c>
    </row>
    <row r="371" spans="1:10" ht="28.5" hidden="1">
      <c r="A371" s="194" t="s">
        <v>540</v>
      </c>
      <c r="B371" s="352"/>
      <c r="C371" s="325" t="s">
        <v>114</v>
      </c>
      <c r="D371" s="326" t="s">
        <v>279</v>
      </c>
      <c r="E371" s="326" t="s">
        <v>538</v>
      </c>
      <c r="F371" s="328" t="s">
        <v>535</v>
      </c>
      <c r="G371" s="342"/>
      <c r="H371" s="14"/>
      <c r="I371" s="14" t="e">
        <f>SUM(H371/#REF!*100)</f>
        <v>#REF!</v>
      </c>
      <c r="J371">
        <f>SUM('ведомствен.2015'!G271)</f>
        <v>0</v>
      </c>
    </row>
    <row r="372" spans="1:12" ht="15">
      <c r="A372" s="374" t="s">
        <v>301</v>
      </c>
      <c r="B372" s="353"/>
      <c r="C372" s="171" t="s">
        <v>121</v>
      </c>
      <c r="D372" s="158"/>
      <c r="E372" s="158"/>
      <c r="F372" s="169"/>
      <c r="G372" s="218">
        <f>SUM(G373+G425)</f>
        <v>112679.70000000001</v>
      </c>
      <c r="H372" s="14">
        <f>SUM(H387:H388)</f>
        <v>14679.5</v>
      </c>
      <c r="I372" s="14" t="e">
        <f>SUM(H372/G385*100)</f>
        <v>#DIV/0!</v>
      </c>
      <c r="J372"/>
      <c r="K372">
        <f>SUM(J373:J444)</f>
        <v>112679.70000000001</v>
      </c>
      <c r="L372">
        <f>SUM('ведомствен.2015'!G711)</f>
        <v>112679.70000000001</v>
      </c>
    </row>
    <row r="373" spans="1:13" ht="15">
      <c r="A373" s="371" t="s">
        <v>335</v>
      </c>
      <c r="B373" s="350"/>
      <c r="C373" s="106" t="s">
        <v>121</v>
      </c>
      <c r="D373" s="156" t="s">
        <v>427</v>
      </c>
      <c r="E373" s="156"/>
      <c r="F373" s="166"/>
      <c r="G373" s="216">
        <f>SUM(G374+G399+G410)</f>
        <v>102338.70000000001</v>
      </c>
      <c r="H373" s="14"/>
      <c r="I373" s="14"/>
      <c r="J373"/>
      <c r="M373" s="311">
        <f>SUM(K372-G372)</f>
        <v>0</v>
      </c>
    </row>
    <row r="374" spans="1:10" ht="28.5">
      <c r="A374" s="194" t="s">
        <v>564</v>
      </c>
      <c r="B374" s="350"/>
      <c r="C374" s="106" t="s">
        <v>121</v>
      </c>
      <c r="D374" s="156" t="s">
        <v>427</v>
      </c>
      <c r="E374" s="156" t="s">
        <v>133</v>
      </c>
      <c r="F374" s="166"/>
      <c r="G374" s="216">
        <f>SUM(G377+G380)+G375</f>
        <v>58220.8</v>
      </c>
      <c r="H374" s="14"/>
      <c r="I374" s="14"/>
      <c r="J374"/>
    </row>
    <row r="375" spans="1:10" ht="42.75">
      <c r="A375" s="194" t="s">
        <v>349</v>
      </c>
      <c r="B375" s="350"/>
      <c r="C375" s="106" t="s">
        <v>121</v>
      </c>
      <c r="D375" s="156" t="s">
        <v>427</v>
      </c>
      <c r="E375" s="156" t="s">
        <v>629</v>
      </c>
      <c r="F375" s="166"/>
      <c r="G375" s="216">
        <f>SUM(G376)</f>
        <v>57</v>
      </c>
      <c r="H375" s="14"/>
      <c r="I375" s="14"/>
      <c r="J375"/>
    </row>
    <row r="376" spans="1:10" ht="15">
      <c r="A376" s="371" t="s">
        <v>475</v>
      </c>
      <c r="B376" s="350"/>
      <c r="C376" s="106" t="s">
        <v>121</v>
      </c>
      <c r="D376" s="156" t="s">
        <v>427</v>
      </c>
      <c r="E376" s="156" t="s">
        <v>629</v>
      </c>
      <c r="F376" s="166" t="s">
        <v>117</v>
      </c>
      <c r="G376" s="216">
        <v>57</v>
      </c>
      <c r="H376" s="14"/>
      <c r="I376" s="14"/>
      <c r="J376">
        <f>SUM('ведомствен.2015'!G715)</f>
        <v>57</v>
      </c>
    </row>
    <row r="377" spans="1:10" ht="28.5">
      <c r="A377" s="371" t="s">
        <v>15</v>
      </c>
      <c r="B377" s="353"/>
      <c r="C377" s="106" t="s">
        <v>121</v>
      </c>
      <c r="D377" s="156" t="s">
        <v>427</v>
      </c>
      <c r="E377" s="156" t="s">
        <v>188</v>
      </c>
      <c r="F377" s="166"/>
      <c r="G377" s="216">
        <f>SUM(G378)</f>
        <v>35848.8</v>
      </c>
      <c r="H377" s="14"/>
      <c r="I377" s="14"/>
      <c r="J377"/>
    </row>
    <row r="378" spans="1:10" ht="28.5">
      <c r="A378" s="371" t="s">
        <v>92</v>
      </c>
      <c r="B378" s="353"/>
      <c r="C378" s="106" t="s">
        <v>121</v>
      </c>
      <c r="D378" s="156" t="s">
        <v>427</v>
      </c>
      <c r="E378" s="156" t="s">
        <v>190</v>
      </c>
      <c r="F378" s="166"/>
      <c r="G378" s="216">
        <f>SUM(G379)</f>
        <v>35848.8</v>
      </c>
      <c r="H378" s="14"/>
      <c r="I378" s="14"/>
      <c r="J378"/>
    </row>
    <row r="379" spans="1:10" ht="28.5">
      <c r="A379" s="376" t="s">
        <v>489</v>
      </c>
      <c r="B379" s="358"/>
      <c r="C379" s="106" t="s">
        <v>121</v>
      </c>
      <c r="D379" s="156" t="s">
        <v>427</v>
      </c>
      <c r="E379" s="156" t="s">
        <v>190</v>
      </c>
      <c r="F379" s="167" t="s">
        <v>487</v>
      </c>
      <c r="G379" s="216">
        <v>35848.8</v>
      </c>
      <c r="H379" s="14"/>
      <c r="I379" s="14"/>
      <c r="J379">
        <f>SUM('ведомствен.2015'!G718)</f>
        <v>35848.8</v>
      </c>
    </row>
    <row r="380" spans="1:10" ht="28.5">
      <c r="A380" s="371" t="s">
        <v>56</v>
      </c>
      <c r="B380" s="358"/>
      <c r="C380" s="106" t="s">
        <v>121</v>
      </c>
      <c r="D380" s="156" t="s">
        <v>427</v>
      </c>
      <c r="E380" s="156" t="s">
        <v>134</v>
      </c>
      <c r="F380" s="167"/>
      <c r="G380" s="216">
        <f>SUM(G381:G383)</f>
        <v>22315</v>
      </c>
      <c r="H380" s="14"/>
      <c r="I380" s="14"/>
      <c r="J380"/>
    </row>
    <row r="381" spans="1:10" ht="28.5">
      <c r="A381" s="371" t="s">
        <v>470</v>
      </c>
      <c r="B381" s="350"/>
      <c r="C381" s="106" t="s">
        <v>121</v>
      </c>
      <c r="D381" s="156" t="s">
        <v>427</v>
      </c>
      <c r="E381" s="156" t="s">
        <v>134</v>
      </c>
      <c r="F381" s="165" t="s">
        <v>471</v>
      </c>
      <c r="G381" s="216">
        <v>18532.5</v>
      </c>
      <c r="H381" s="14"/>
      <c r="I381" s="14"/>
      <c r="J381">
        <f>SUM('ведомствен.2015'!G720)</f>
        <v>18532.5</v>
      </c>
    </row>
    <row r="382" spans="1:10" ht="15">
      <c r="A382" s="371" t="s">
        <v>475</v>
      </c>
      <c r="B382" s="350"/>
      <c r="C382" s="106" t="s">
        <v>121</v>
      </c>
      <c r="D382" s="156" t="s">
        <v>427</v>
      </c>
      <c r="E382" s="156" t="s">
        <v>134</v>
      </c>
      <c r="F382" s="165" t="s">
        <v>117</v>
      </c>
      <c r="G382" s="217">
        <v>3362.2</v>
      </c>
      <c r="H382" s="14"/>
      <c r="I382" s="14"/>
      <c r="J382">
        <f>SUM('ведомствен.2015'!G721)</f>
        <v>3362.2</v>
      </c>
    </row>
    <row r="383" spans="1:10" ht="15">
      <c r="A383" s="371" t="s">
        <v>476</v>
      </c>
      <c r="B383" s="350"/>
      <c r="C383" s="106" t="s">
        <v>121</v>
      </c>
      <c r="D383" s="156" t="s">
        <v>427</v>
      </c>
      <c r="E383" s="156" t="s">
        <v>134</v>
      </c>
      <c r="F383" s="166" t="s">
        <v>166</v>
      </c>
      <c r="G383" s="216">
        <v>420.3</v>
      </c>
      <c r="H383" s="14"/>
      <c r="I383" s="14"/>
      <c r="J383">
        <f>SUM('ведомствен.2015'!G722)</f>
        <v>420.3</v>
      </c>
    </row>
    <row r="384" spans="1:9" ht="28.5" hidden="1">
      <c r="A384" s="371" t="s">
        <v>93</v>
      </c>
      <c r="B384" s="353"/>
      <c r="C384" s="106" t="s">
        <v>121</v>
      </c>
      <c r="D384" s="156" t="s">
        <v>427</v>
      </c>
      <c r="E384" s="156" t="s">
        <v>188</v>
      </c>
      <c r="F384" s="166"/>
      <c r="G384" s="216">
        <f>SUM(G385+G387)</f>
        <v>0</v>
      </c>
      <c r="H384" s="14"/>
      <c r="I384" s="14"/>
    </row>
    <row r="385" spans="1:10" ht="28.5" hidden="1">
      <c r="A385" s="371" t="s">
        <v>189</v>
      </c>
      <c r="B385" s="353"/>
      <c r="C385" s="106" t="s">
        <v>121</v>
      </c>
      <c r="D385" s="156" t="s">
        <v>427</v>
      </c>
      <c r="E385" s="156" t="s">
        <v>190</v>
      </c>
      <c r="F385" s="166"/>
      <c r="G385" s="216">
        <f>SUM(G386)</f>
        <v>0</v>
      </c>
      <c r="H385" s="14"/>
      <c r="I385" s="14"/>
      <c r="J385"/>
    </row>
    <row r="386" spans="1:10" ht="42.75" hidden="1">
      <c r="A386" s="376" t="s">
        <v>152</v>
      </c>
      <c r="B386" s="358"/>
      <c r="C386" s="106" t="s">
        <v>121</v>
      </c>
      <c r="D386" s="156" t="s">
        <v>427</v>
      </c>
      <c r="E386" s="156" t="s">
        <v>190</v>
      </c>
      <c r="F386" s="167" t="s">
        <v>58</v>
      </c>
      <c r="G386" s="216"/>
      <c r="H386" s="14"/>
      <c r="I386" s="14"/>
      <c r="J386"/>
    </row>
    <row r="387" spans="1:9" ht="15" hidden="1">
      <c r="A387" s="371" t="s">
        <v>153</v>
      </c>
      <c r="B387" s="350"/>
      <c r="C387" s="106" t="s">
        <v>121</v>
      </c>
      <c r="D387" s="156" t="s">
        <v>427</v>
      </c>
      <c r="E387" s="107" t="s">
        <v>381</v>
      </c>
      <c r="F387" s="167"/>
      <c r="G387" s="216">
        <f>SUM(G390+G392)+G388</f>
        <v>0</v>
      </c>
      <c r="H387" s="14">
        <v>14679.5</v>
      </c>
      <c r="I387" s="14" t="e">
        <f>SUM(H387/G393*100)</f>
        <v>#DIV/0!</v>
      </c>
    </row>
    <row r="388" spans="1:9" ht="28.5" hidden="1">
      <c r="A388" s="371" t="s">
        <v>430</v>
      </c>
      <c r="B388" s="350"/>
      <c r="C388" s="106" t="s">
        <v>121</v>
      </c>
      <c r="D388" s="156" t="s">
        <v>427</v>
      </c>
      <c r="E388" s="107" t="s">
        <v>382</v>
      </c>
      <c r="F388" s="167"/>
      <c r="G388" s="216">
        <f>SUM(G389)</f>
        <v>0</v>
      </c>
      <c r="H388" s="14"/>
      <c r="I388" s="14" t="e">
        <f>SUM(H388/G394*100)</f>
        <v>#DIV/0!</v>
      </c>
    </row>
    <row r="389" spans="1:10" ht="15" hidden="1">
      <c r="A389" s="371" t="s">
        <v>153</v>
      </c>
      <c r="B389" s="350"/>
      <c r="C389" s="106" t="s">
        <v>121</v>
      </c>
      <c r="D389" s="156" t="s">
        <v>427</v>
      </c>
      <c r="E389" s="107" t="s">
        <v>382</v>
      </c>
      <c r="F389" s="167" t="s">
        <v>83</v>
      </c>
      <c r="G389" s="216"/>
      <c r="H389" s="14">
        <f>SUM(H390)</f>
        <v>2102.5</v>
      </c>
      <c r="I389" s="14" t="e">
        <f>SUM(H389/G395*100)</f>
        <v>#DIV/0!</v>
      </c>
      <c r="J389"/>
    </row>
    <row r="390" spans="1:10" ht="28.5" hidden="1">
      <c r="A390" s="376" t="s">
        <v>380</v>
      </c>
      <c r="B390" s="358"/>
      <c r="C390" s="106" t="s">
        <v>121</v>
      </c>
      <c r="D390" s="156" t="s">
        <v>427</v>
      </c>
      <c r="E390" s="156" t="s">
        <v>379</v>
      </c>
      <c r="F390" s="167"/>
      <c r="G390" s="216">
        <f>SUM(G391)</f>
        <v>0</v>
      </c>
      <c r="H390" s="14">
        <f>SUM(H392)+H399</f>
        <v>2102.5</v>
      </c>
      <c r="I390" s="14" t="e">
        <f>SUM(H390/G396*100)</f>
        <v>#DIV/0!</v>
      </c>
      <c r="J390"/>
    </row>
    <row r="391" spans="1:10" ht="15" hidden="1">
      <c r="A391" s="376" t="s">
        <v>139</v>
      </c>
      <c r="B391" s="358"/>
      <c r="C391" s="106" t="s">
        <v>121</v>
      </c>
      <c r="D391" s="156" t="s">
        <v>427</v>
      </c>
      <c r="E391" s="156" t="s">
        <v>379</v>
      </c>
      <c r="F391" s="167" t="s">
        <v>83</v>
      </c>
      <c r="G391" s="216"/>
      <c r="H391" s="14"/>
      <c r="I391" s="14"/>
      <c r="J391"/>
    </row>
    <row r="392" spans="1:9" ht="28.5" hidden="1">
      <c r="A392" s="376" t="s">
        <v>149</v>
      </c>
      <c r="B392" s="358"/>
      <c r="C392" s="106" t="s">
        <v>121</v>
      </c>
      <c r="D392" s="156" t="s">
        <v>427</v>
      </c>
      <c r="E392" s="156" t="s">
        <v>198</v>
      </c>
      <c r="F392" s="167"/>
      <c r="G392" s="216">
        <f>SUM(G393)</f>
        <v>0</v>
      </c>
      <c r="H392" s="14">
        <v>2102.5</v>
      </c>
      <c r="I392" s="14" t="e">
        <f>SUM(H392/G398*100)</f>
        <v>#DIV/0!</v>
      </c>
    </row>
    <row r="393" spans="1:9" ht="15" hidden="1">
      <c r="A393" s="376" t="s">
        <v>139</v>
      </c>
      <c r="B393" s="358"/>
      <c r="C393" s="106" t="s">
        <v>121</v>
      </c>
      <c r="D393" s="156" t="s">
        <v>427</v>
      </c>
      <c r="E393" s="156" t="s">
        <v>198</v>
      </c>
      <c r="F393" s="167" t="s">
        <v>83</v>
      </c>
      <c r="G393" s="216"/>
      <c r="H393" s="14"/>
      <c r="I393" s="14"/>
    </row>
    <row r="394" spans="1:9" ht="28.5" hidden="1">
      <c r="A394" s="371" t="s">
        <v>56</v>
      </c>
      <c r="B394" s="215"/>
      <c r="C394" s="106" t="s">
        <v>121</v>
      </c>
      <c r="D394" s="156" t="s">
        <v>427</v>
      </c>
      <c r="E394" s="156" t="s">
        <v>134</v>
      </c>
      <c r="F394" s="166"/>
      <c r="G394" s="216">
        <f>SUM(G395:G397)</f>
        <v>0</v>
      </c>
      <c r="H394" s="14"/>
      <c r="I394" s="14"/>
    </row>
    <row r="395" spans="1:9" ht="15" hidden="1">
      <c r="A395" s="376" t="s">
        <v>57</v>
      </c>
      <c r="B395" s="215"/>
      <c r="C395" s="106" t="s">
        <v>121</v>
      </c>
      <c r="D395" s="156" t="s">
        <v>427</v>
      </c>
      <c r="E395" s="156" t="s">
        <v>134</v>
      </c>
      <c r="F395" s="166" t="s">
        <v>227</v>
      </c>
      <c r="G395" s="216"/>
      <c r="H395" s="14"/>
      <c r="I395" s="14"/>
    </row>
    <row r="396" spans="1:9" ht="42.75" hidden="1">
      <c r="A396" s="376" t="s">
        <v>338</v>
      </c>
      <c r="B396" s="358"/>
      <c r="C396" s="106" t="s">
        <v>121</v>
      </c>
      <c r="D396" s="156" t="s">
        <v>427</v>
      </c>
      <c r="E396" s="156" t="s">
        <v>134</v>
      </c>
      <c r="F396" s="167" t="s">
        <v>339</v>
      </c>
      <c r="G396" s="216"/>
      <c r="H396" s="14"/>
      <c r="I396" s="14"/>
    </row>
    <row r="397" spans="1:9" ht="42.75" hidden="1">
      <c r="A397" s="371" t="s">
        <v>238</v>
      </c>
      <c r="B397" s="350"/>
      <c r="C397" s="106" t="s">
        <v>121</v>
      </c>
      <c r="D397" s="156" t="s">
        <v>427</v>
      </c>
      <c r="E397" s="156" t="s">
        <v>340</v>
      </c>
      <c r="F397" s="167"/>
      <c r="G397" s="216">
        <f>SUM(G398)</f>
        <v>0</v>
      </c>
      <c r="H397" s="14"/>
      <c r="I397" s="14"/>
    </row>
    <row r="398" spans="1:9" ht="15" hidden="1">
      <c r="A398" s="376" t="s">
        <v>226</v>
      </c>
      <c r="B398" s="358"/>
      <c r="C398" s="106" t="s">
        <v>121</v>
      </c>
      <c r="D398" s="156" t="s">
        <v>427</v>
      </c>
      <c r="E398" s="156" t="s">
        <v>340</v>
      </c>
      <c r="F398" s="167" t="s">
        <v>227</v>
      </c>
      <c r="G398" s="216"/>
      <c r="H398" s="14">
        <v>14679.5</v>
      </c>
      <c r="I398" s="14" t="e">
        <f aca="true" t="shared" si="7" ref="I398:I416">SUM(H398/G404*100)</f>
        <v>#DIV/0!</v>
      </c>
    </row>
    <row r="399" spans="1:9" ht="15">
      <c r="A399" s="371" t="s">
        <v>341</v>
      </c>
      <c r="B399" s="350"/>
      <c r="C399" s="106" t="s">
        <v>121</v>
      </c>
      <c r="D399" s="156" t="s">
        <v>427</v>
      </c>
      <c r="E399" s="156" t="s">
        <v>342</v>
      </c>
      <c r="F399" s="166"/>
      <c r="G399" s="216">
        <f>SUM(G400)</f>
        <v>5995.6</v>
      </c>
      <c r="H399" s="14"/>
      <c r="I399" s="14" t="e">
        <f t="shared" si="7"/>
        <v>#DIV/0!</v>
      </c>
    </row>
    <row r="400" spans="1:10" ht="28.5">
      <c r="A400" s="371" t="s">
        <v>93</v>
      </c>
      <c r="B400" s="353"/>
      <c r="C400" s="106" t="s">
        <v>121</v>
      </c>
      <c r="D400" s="156" t="s">
        <v>427</v>
      </c>
      <c r="E400" s="156" t="s">
        <v>81</v>
      </c>
      <c r="F400" s="166"/>
      <c r="G400" s="216">
        <f>SUM(G401)+G403</f>
        <v>5995.6</v>
      </c>
      <c r="H400" s="14"/>
      <c r="I400" s="14" t="e">
        <f t="shared" si="7"/>
        <v>#DIV/0!</v>
      </c>
      <c r="J400"/>
    </row>
    <row r="401" spans="1:10" ht="28.5">
      <c r="A401" s="371" t="s">
        <v>189</v>
      </c>
      <c r="B401" s="353"/>
      <c r="C401" s="106" t="s">
        <v>121</v>
      </c>
      <c r="D401" s="156" t="s">
        <v>427</v>
      </c>
      <c r="E401" s="156" t="s">
        <v>82</v>
      </c>
      <c r="F401" s="166"/>
      <c r="G401" s="216">
        <f>SUM(G402)</f>
        <v>5995.6</v>
      </c>
      <c r="H401" s="14">
        <f>SUM(H402)</f>
        <v>10268.9</v>
      </c>
      <c r="I401" s="14" t="e">
        <f t="shared" si="7"/>
        <v>#DIV/0!</v>
      </c>
      <c r="J401"/>
    </row>
    <row r="402" spans="1:10" ht="32.25" customHeight="1">
      <c r="A402" s="376" t="s">
        <v>489</v>
      </c>
      <c r="B402" s="358"/>
      <c r="C402" s="106" t="s">
        <v>121</v>
      </c>
      <c r="D402" s="156" t="s">
        <v>427</v>
      </c>
      <c r="E402" s="156" t="s">
        <v>82</v>
      </c>
      <c r="F402" s="167" t="s">
        <v>487</v>
      </c>
      <c r="G402" s="216">
        <v>5995.6</v>
      </c>
      <c r="H402" s="14">
        <f>SUM(H403+H405+H407)</f>
        <v>10268.9</v>
      </c>
      <c r="I402" s="14">
        <f aca="true" t="shared" si="8" ref="I402:I407">SUM(H402/G410*100)</f>
        <v>26.936727322328398</v>
      </c>
      <c r="J402">
        <f>SUM('ведомствен.2015'!G741)</f>
        <v>5995.6</v>
      </c>
    </row>
    <row r="403" spans="1:9" ht="15" hidden="1">
      <c r="A403" s="371" t="s">
        <v>153</v>
      </c>
      <c r="B403" s="358"/>
      <c r="C403" s="106" t="s">
        <v>121</v>
      </c>
      <c r="D403" s="156" t="s">
        <v>427</v>
      </c>
      <c r="E403" s="156" t="s">
        <v>199</v>
      </c>
      <c r="F403" s="167"/>
      <c r="G403" s="216">
        <f>SUM(G408)</f>
        <v>0</v>
      </c>
      <c r="H403" s="14">
        <v>8963.8</v>
      </c>
      <c r="I403" s="14">
        <f t="shared" si="8"/>
        <v>23.51327175957379</v>
      </c>
    </row>
    <row r="404" spans="1:10" ht="28.5" hidden="1">
      <c r="A404" s="371" t="s">
        <v>430</v>
      </c>
      <c r="B404" s="358"/>
      <c r="C404" s="106" t="s">
        <v>121</v>
      </c>
      <c r="D404" s="156" t="s">
        <v>427</v>
      </c>
      <c r="E404" s="156" t="s">
        <v>432</v>
      </c>
      <c r="F404" s="167"/>
      <c r="G404" s="216">
        <f>SUM(G405)</f>
        <v>0</v>
      </c>
      <c r="H404" s="14"/>
      <c r="I404" s="14">
        <f t="shared" si="8"/>
        <v>0</v>
      </c>
      <c r="J404"/>
    </row>
    <row r="405" spans="1:10" ht="15" hidden="1">
      <c r="A405" s="371" t="s">
        <v>153</v>
      </c>
      <c r="B405" s="358"/>
      <c r="C405" s="106" t="s">
        <v>121</v>
      </c>
      <c r="D405" s="156" t="s">
        <v>427</v>
      </c>
      <c r="E405" s="156" t="s">
        <v>432</v>
      </c>
      <c r="F405" s="167" t="s">
        <v>83</v>
      </c>
      <c r="G405" s="216"/>
      <c r="H405" s="14">
        <f>SUM(H406)</f>
        <v>0</v>
      </c>
      <c r="I405" s="14">
        <f t="shared" si="8"/>
        <v>0</v>
      </c>
      <c r="J405"/>
    </row>
    <row r="406" spans="1:10" ht="28.5" hidden="1">
      <c r="A406" s="376" t="s">
        <v>380</v>
      </c>
      <c r="B406" s="358"/>
      <c r="C406" s="106" t="s">
        <v>121</v>
      </c>
      <c r="D406" s="156" t="s">
        <v>427</v>
      </c>
      <c r="E406" s="156" t="s">
        <v>148</v>
      </c>
      <c r="F406" s="167"/>
      <c r="G406" s="216">
        <f>SUM(G407)</f>
        <v>0</v>
      </c>
      <c r="H406" s="14"/>
      <c r="I406" s="14">
        <f t="shared" si="8"/>
        <v>0</v>
      </c>
      <c r="J406"/>
    </row>
    <row r="407" spans="1:10" ht="15" hidden="1">
      <c r="A407" s="376" t="s">
        <v>139</v>
      </c>
      <c r="B407" s="358"/>
      <c r="C407" s="106" t="s">
        <v>121</v>
      </c>
      <c r="D407" s="156" t="s">
        <v>427</v>
      </c>
      <c r="E407" s="156" t="s">
        <v>148</v>
      </c>
      <c r="F407" s="167" t="s">
        <v>83</v>
      </c>
      <c r="G407" s="216"/>
      <c r="H407" s="14">
        <f>SUM(H410)</f>
        <v>1305.1</v>
      </c>
      <c r="I407" s="14" t="e">
        <f t="shared" si="8"/>
        <v>#DIV/0!</v>
      </c>
      <c r="J407"/>
    </row>
    <row r="408" spans="1:10" ht="28.5" hidden="1">
      <c r="A408" s="383" t="s">
        <v>149</v>
      </c>
      <c r="B408" s="358"/>
      <c r="C408" s="106" t="s">
        <v>121</v>
      </c>
      <c r="D408" s="156" t="s">
        <v>427</v>
      </c>
      <c r="E408" s="156" t="s">
        <v>601</v>
      </c>
      <c r="F408" s="167"/>
      <c r="G408" s="216">
        <f>SUM(G409)</f>
        <v>0</v>
      </c>
      <c r="H408" s="14"/>
      <c r="I408" s="14"/>
      <c r="J408"/>
    </row>
    <row r="409" spans="1:10" ht="28.5" hidden="1">
      <c r="A409" s="376" t="s">
        <v>489</v>
      </c>
      <c r="B409" s="358"/>
      <c r="C409" s="106" t="s">
        <v>121</v>
      </c>
      <c r="D409" s="156" t="s">
        <v>427</v>
      </c>
      <c r="E409" s="156" t="s">
        <v>601</v>
      </c>
      <c r="F409" s="167" t="s">
        <v>487</v>
      </c>
      <c r="G409" s="216"/>
      <c r="H409" s="14"/>
      <c r="I409" s="14"/>
      <c r="J409">
        <f>SUM('ведомствен.2015'!G748)</f>
        <v>0</v>
      </c>
    </row>
    <row r="410" spans="1:10" ht="15">
      <c r="A410" s="371" t="s">
        <v>343</v>
      </c>
      <c r="B410" s="350"/>
      <c r="C410" s="106" t="s">
        <v>121</v>
      </c>
      <c r="D410" s="156" t="s">
        <v>427</v>
      </c>
      <c r="E410" s="156" t="s">
        <v>344</v>
      </c>
      <c r="F410" s="166"/>
      <c r="G410" s="216">
        <f>SUM(G411)</f>
        <v>38122.3</v>
      </c>
      <c r="H410" s="14">
        <v>1305.1</v>
      </c>
      <c r="I410" s="14" t="e">
        <f t="shared" si="7"/>
        <v>#DIV/0!</v>
      </c>
      <c r="J410"/>
    </row>
    <row r="411" spans="1:10" ht="31.5" customHeight="1">
      <c r="A411" s="371" t="s">
        <v>56</v>
      </c>
      <c r="B411" s="353"/>
      <c r="C411" s="106" t="s">
        <v>121</v>
      </c>
      <c r="D411" s="156" t="s">
        <v>427</v>
      </c>
      <c r="E411" s="156" t="s">
        <v>345</v>
      </c>
      <c r="F411" s="166"/>
      <c r="G411" s="216">
        <f>SUM(G412:G414)</f>
        <v>38122.3</v>
      </c>
      <c r="H411" s="14">
        <f>SUM(H412+H413)</f>
        <v>0</v>
      </c>
      <c r="I411" s="14" t="e">
        <f t="shared" si="7"/>
        <v>#DIV/0!</v>
      </c>
      <c r="J411"/>
    </row>
    <row r="412" spans="1:10" ht="28.5">
      <c r="A412" s="371" t="s">
        <v>470</v>
      </c>
      <c r="B412" s="350"/>
      <c r="C412" s="106" t="s">
        <v>121</v>
      </c>
      <c r="D412" s="156" t="s">
        <v>427</v>
      </c>
      <c r="E412" s="156" t="s">
        <v>345</v>
      </c>
      <c r="F412" s="165" t="s">
        <v>471</v>
      </c>
      <c r="G412" s="216">
        <v>33066.9</v>
      </c>
      <c r="H412" s="14"/>
      <c r="I412" s="14" t="e">
        <f t="shared" si="7"/>
        <v>#DIV/0!</v>
      </c>
      <c r="J412">
        <f>SUM('ведомствен.2015'!G751)</f>
        <v>33066.9</v>
      </c>
    </row>
    <row r="413" spans="1:10" ht="15">
      <c r="A413" s="371" t="s">
        <v>475</v>
      </c>
      <c r="B413" s="350"/>
      <c r="C413" s="106" t="s">
        <v>121</v>
      </c>
      <c r="D413" s="156" t="s">
        <v>427</v>
      </c>
      <c r="E413" s="156" t="s">
        <v>345</v>
      </c>
      <c r="F413" s="165" t="s">
        <v>117</v>
      </c>
      <c r="G413" s="217">
        <v>4522.8</v>
      </c>
      <c r="H413" s="14">
        <f>SUM(H414)</f>
        <v>0</v>
      </c>
      <c r="I413" s="14" t="e">
        <f t="shared" si="7"/>
        <v>#DIV/0!</v>
      </c>
      <c r="J413">
        <f>SUM('ведомствен.2015'!G752)</f>
        <v>4522.8</v>
      </c>
    </row>
    <row r="414" spans="1:10" ht="15">
      <c r="A414" s="371" t="s">
        <v>476</v>
      </c>
      <c r="B414" s="350"/>
      <c r="C414" s="106" t="s">
        <v>121</v>
      </c>
      <c r="D414" s="156" t="s">
        <v>427</v>
      </c>
      <c r="E414" s="156" t="s">
        <v>345</v>
      </c>
      <c r="F414" s="166" t="s">
        <v>166</v>
      </c>
      <c r="G414" s="216">
        <v>532.6</v>
      </c>
      <c r="H414" s="14"/>
      <c r="I414" s="14" t="e">
        <f t="shared" si="7"/>
        <v>#DIV/0!</v>
      </c>
      <c r="J414">
        <f>SUM('ведомствен.2015'!G753)</f>
        <v>532.6</v>
      </c>
    </row>
    <row r="415" spans="1:10" ht="42.75" hidden="1">
      <c r="A415" s="376" t="s">
        <v>62</v>
      </c>
      <c r="B415" s="358"/>
      <c r="C415" s="106" t="s">
        <v>121</v>
      </c>
      <c r="D415" s="156" t="s">
        <v>427</v>
      </c>
      <c r="E415" s="156" t="s">
        <v>346</v>
      </c>
      <c r="F415" s="167"/>
      <c r="G415" s="216">
        <f>SUM(G416)</f>
        <v>0</v>
      </c>
      <c r="H415" s="14">
        <f>SUM(H416)</f>
        <v>7333.8</v>
      </c>
      <c r="I415" s="14" t="e">
        <f t="shared" si="7"/>
        <v>#DIV/0!</v>
      </c>
      <c r="J415"/>
    </row>
    <row r="416" spans="1:10" ht="15" hidden="1">
      <c r="A416" s="376" t="s">
        <v>57</v>
      </c>
      <c r="B416" s="358"/>
      <c r="C416" s="106" t="s">
        <v>121</v>
      </c>
      <c r="D416" s="156" t="s">
        <v>427</v>
      </c>
      <c r="E416" s="156" t="s">
        <v>346</v>
      </c>
      <c r="F416" s="167" t="s">
        <v>227</v>
      </c>
      <c r="G416" s="216"/>
      <c r="H416" s="14">
        <f>SUM(H418:H422)</f>
        <v>7333.8</v>
      </c>
      <c r="I416" s="14" t="e">
        <f t="shared" si="7"/>
        <v>#DIV/0!</v>
      </c>
      <c r="J416"/>
    </row>
    <row r="417" spans="1:10" ht="28.5" hidden="1">
      <c r="A417" s="376" t="s">
        <v>347</v>
      </c>
      <c r="B417" s="358"/>
      <c r="C417" s="106" t="s">
        <v>121</v>
      </c>
      <c r="D417" s="156" t="s">
        <v>427</v>
      </c>
      <c r="E417" s="156" t="s">
        <v>348</v>
      </c>
      <c r="F417" s="167"/>
      <c r="G417" s="216">
        <f>SUM(G420+G418)</f>
        <v>0</v>
      </c>
      <c r="H417" s="14"/>
      <c r="I417" s="14"/>
      <c r="J417"/>
    </row>
    <row r="418" spans="1:10" ht="15" hidden="1">
      <c r="A418" s="376" t="s">
        <v>226</v>
      </c>
      <c r="B418" s="358"/>
      <c r="C418" s="106" t="s">
        <v>121</v>
      </c>
      <c r="D418" s="156" t="s">
        <v>427</v>
      </c>
      <c r="E418" s="156" t="s">
        <v>348</v>
      </c>
      <c r="F418" s="167" t="s">
        <v>227</v>
      </c>
      <c r="G418" s="216"/>
      <c r="H418" s="14"/>
      <c r="I418" s="14" t="e">
        <f aca="true" t="shared" si="9" ref="I418:I426">SUM(H418/G424*100)</f>
        <v>#DIV/0!</v>
      </c>
      <c r="J418"/>
    </row>
    <row r="419" spans="1:10" ht="42.75" hidden="1">
      <c r="A419" s="376" t="s">
        <v>349</v>
      </c>
      <c r="B419" s="358"/>
      <c r="C419" s="106" t="s">
        <v>121</v>
      </c>
      <c r="D419" s="156" t="s">
        <v>427</v>
      </c>
      <c r="E419" s="156" t="s">
        <v>350</v>
      </c>
      <c r="F419" s="167"/>
      <c r="G419" s="216">
        <f>SUM(G420)</f>
        <v>0</v>
      </c>
      <c r="H419" s="14">
        <f>SUM(H423+H428)+H420</f>
        <v>4633.8</v>
      </c>
      <c r="I419" s="14">
        <f t="shared" si="9"/>
        <v>44.80997969248622</v>
      </c>
      <c r="J419"/>
    </row>
    <row r="420" spans="1:10" ht="15" hidden="1">
      <c r="A420" s="376" t="s">
        <v>226</v>
      </c>
      <c r="B420" s="358"/>
      <c r="C420" s="106" t="s">
        <v>121</v>
      </c>
      <c r="D420" s="156" t="s">
        <v>427</v>
      </c>
      <c r="E420" s="156" t="s">
        <v>350</v>
      </c>
      <c r="F420" s="167" t="s">
        <v>227</v>
      </c>
      <c r="G420" s="216"/>
      <c r="H420" s="14">
        <f>SUM(H421)</f>
        <v>900</v>
      </c>
      <c r="I420" s="14" t="e">
        <f t="shared" si="9"/>
        <v>#DIV/0!</v>
      </c>
      <c r="J420"/>
    </row>
    <row r="421" spans="1:10" ht="15" hidden="1">
      <c r="A421" s="376" t="s">
        <v>125</v>
      </c>
      <c r="B421" s="353"/>
      <c r="C421" s="106" t="s">
        <v>121</v>
      </c>
      <c r="D421" s="156" t="s">
        <v>427</v>
      </c>
      <c r="E421" s="156" t="s">
        <v>126</v>
      </c>
      <c r="F421" s="166"/>
      <c r="G421" s="216">
        <f>SUM(G422)</f>
        <v>0</v>
      </c>
      <c r="H421" s="14">
        <f>SUM(H422)</f>
        <v>900</v>
      </c>
      <c r="I421" s="14" t="e">
        <f t="shared" si="9"/>
        <v>#DIV/0!</v>
      </c>
      <c r="J421"/>
    </row>
    <row r="422" spans="1:10" ht="42.75" hidden="1">
      <c r="A422" s="371" t="s">
        <v>191</v>
      </c>
      <c r="B422" s="353"/>
      <c r="C422" s="106" t="s">
        <v>121</v>
      </c>
      <c r="D422" s="156" t="s">
        <v>427</v>
      </c>
      <c r="E422" s="156" t="s">
        <v>277</v>
      </c>
      <c r="F422" s="166"/>
      <c r="G422" s="216">
        <f>SUM(G423:G424)</f>
        <v>0</v>
      </c>
      <c r="H422" s="14">
        <v>900</v>
      </c>
      <c r="I422" s="14" t="e">
        <f t="shared" si="9"/>
        <v>#DIV/0!</v>
      </c>
      <c r="J422"/>
    </row>
    <row r="423" spans="1:10" ht="15" hidden="1">
      <c r="A423" s="376" t="s">
        <v>57</v>
      </c>
      <c r="B423" s="353"/>
      <c r="C423" s="106" t="s">
        <v>121</v>
      </c>
      <c r="D423" s="156" t="s">
        <v>427</v>
      </c>
      <c r="E423" s="156" t="s">
        <v>277</v>
      </c>
      <c r="F423" s="166" t="s">
        <v>227</v>
      </c>
      <c r="G423" s="216"/>
      <c r="H423" s="14">
        <f>SUM(H424)</f>
        <v>3733.8</v>
      </c>
      <c r="I423" s="14">
        <f t="shared" si="9"/>
        <v>51.40143171806167</v>
      </c>
      <c r="J423"/>
    </row>
    <row r="424" spans="1:10" ht="15" hidden="1">
      <c r="A424" s="376" t="s">
        <v>139</v>
      </c>
      <c r="B424" s="353"/>
      <c r="C424" s="106" t="s">
        <v>121</v>
      </c>
      <c r="D424" s="156" t="s">
        <v>427</v>
      </c>
      <c r="E424" s="156" t="s">
        <v>277</v>
      </c>
      <c r="F424" s="166" t="s">
        <v>83</v>
      </c>
      <c r="G424" s="216"/>
      <c r="H424" s="14">
        <f>SUM(H425)</f>
        <v>3733.8</v>
      </c>
      <c r="I424" s="14">
        <f t="shared" si="9"/>
        <v>51.40143171806167</v>
      </c>
      <c r="J424"/>
    </row>
    <row r="425" spans="1:9" ht="15">
      <c r="A425" s="372" t="s">
        <v>217</v>
      </c>
      <c r="B425" s="353"/>
      <c r="C425" s="106" t="s">
        <v>121</v>
      </c>
      <c r="D425" s="156" t="s">
        <v>119</v>
      </c>
      <c r="E425" s="156"/>
      <c r="F425" s="166"/>
      <c r="G425" s="216">
        <f>SUM(G429+G434+G427)</f>
        <v>10341</v>
      </c>
      <c r="H425" s="14">
        <v>3733.8</v>
      </c>
      <c r="I425" s="14">
        <f t="shared" si="9"/>
        <v>58.913187541418154</v>
      </c>
    </row>
    <row r="426" spans="1:10" ht="15" hidden="1">
      <c r="A426" s="371" t="s">
        <v>373</v>
      </c>
      <c r="B426" s="353"/>
      <c r="C426" s="106" t="s">
        <v>121</v>
      </c>
      <c r="D426" s="156" t="s">
        <v>119</v>
      </c>
      <c r="E426" s="156" t="s">
        <v>375</v>
      </c>
      <c r="F426" s="166"/>
      <c r="G426" s="216">
        <f>SUM(G427)</f>
        <v>0</v>
      </c>
      <c r="H426" s="14">
        <f>SUM(H427)</f>
        <v>0</v>
      </c>
      <c r="I426" s="14">
        <f t="shared" si="9"/>
        <v>0</v>
      </c>
      <c r="J426"/>
    </row>
    <row r="427" spans="1:10" ht="15" hidden="1">
      <c r="A427" s="371" t="s">
        <v>355</v>
      </c>
      <c r="B427" s="353"/>
      <c r="C427" s="106" t="s">
        <v>121</v>
      </c>
      <c r="D427" s="156" t="s">
        <v>119</v>
      </c>
      <c r="E427" s="156" t="s">
        <v>356</v>
      </c>
      <c r="F427" s="166"/>
      <c r="G427" s="216">
        <f>SUM(G428)</f>
        <v>0</v>
      </c>
      <c r="H427" s="14"/>
      <c r="I427" s="14"/>
      <c r="J427"/>
    </row>
    <row r="428" spans="1:10" ht="28.5" hidden="1">
      <c r="A428" s="371" t="s">
        <v>284</v>
      </c>
      <c r="B428" s="353"/>
      <c r="C428" s="106" t="s">
        <v>121</v>
      </c>
      <c r="D428" s="156" t="s">
        <v>119</v>
      </c>
      <c r="E428" s="156" t="s">
        <v>356</v>
      </c>
      <c r="F428" s="166" t="s">
        <v>285</v>
      </c>
      <c r="G428" s="216"/>
      <c r="H428" s="14">
        <f>SUM(H431)</f>
        <v>0</v>
      </c>
      <c r="I428" s="14">
        <f>SUM(H428/G434*100)</f>
        <v>0</v>
      </c>
      <c r="J428"/>
    </row>
    <row r="429" spans="1:10" ht="57">
      <c r="A429" s="372" t="s">
        <v>270</v>
      </c>
      <c r="B429" s="353"/>
      <c r="C429" s="106" t="s">
        <v>121</v>
      </c>
      <c r="D429" s="156" t="s">
        <v>119</v>
      </c>
      <c r="E429" s="156" t="s">
        <v>271</v>
      </c>
      <c r="F429" s="166"/>
      <c r="G429" s="216">
        <f>SUM(G430)</f>
        <v>7264</v>
      </c>
      <c r="H429" s="14"/>
      <c r="I429" s="14"/>
      <c r="J429"/>
    </row>
    <row r="430" spans="1:10" ht="28.5">
      <c r="A430" s="371" t="s">
        <v>56</v>
      </c>
      <c r="B430" s="353"/>
      <c r="C430" s="106" t="s">
        <v>121</v>
      </c>
      <c r="D430" s="156" t="s">
        <v>119</v>
      </c>
      <c r="E430" s="156" t="s">
        <v>272</v>
      </c>
      <c r="F430" s="166"/>
      <c r="G430" s="216">
        <f>SUM(G431:G433)</f>
        <v>7264</v>
      </c>
      <c r="H430" s="14"/>
      <c r="I430" s="14"/>
      <c r="J430"/>
    </row>
    <row r="431" spans="1:10" ht="28.5">
      <c r="A431" s="371" t="s">
        <v>470</v>
      </c>
      <c r="B431" s="358"/>
      <c r="C431" s="106" t="s">
        <v>121</v>
      </c>
      <c r="D431" s="156" t="s">
        <v>119</v>
      </c>
      <c r="E431" s="156" t="s">
        <v>272</v>
      </c>
      <c r="F431" s="167" t="s">
        <v>471</v>
      </c>
      <c r="G431" s="216">
        <v>6337.8</v>
      </c>
      <c r="H431" s="14">
        <f>SUM(H432:H436)</f>
        <v>0</v>
      </c>
      <c r="I431" s="14">
        <f>SUM(H431/G437*100)</f>
        <v>0</v>
      </c>
      <c r="J431">
        <f>SUM('ведомствен.2015'!G770)</f>
        <v>6337.8</v>
      </c>
    </row>
    <row r="432" spans="1:10" ht="15">
      <c r="A432" s="371" t="s">
        <v>475</v>
      </c>
      <c r="B432" s="358"/>
      <c r="C432" s="106" t="s">
        <v>121</v>
      </c>
      <c r="D432" s="156" t="s">
        <v>119</v>
      </c>
      <c r="E432" s="156" t="s">
        <v>272</v>
      </c>
      <c r="F432" s="167" t="s">
        <v>117</v>
      </c>
      <c r="G432" s="216">
        <v>917.3</v>
      </c>
      <c r="H432" s="14"/>
      <c r="I432" s="14">
        <f>SUM(H432/G438*100)</f>
        <v>0</v>
      </c>
      <c r="J432">
        <f>SUM('ведомствен.2015'!G771)</f>
        <v>917.3</v>
      </c>
    </row>
    <row r="433" spans="1:10" ht="15">
      <c r="A433" s="371" t="s">
        <v>476</v>
      </c>
      <c r="B433" s="358"/>
      <c r="C433" s="106" t="s">
        <v>121</v>
      </c>
      <c r="D433" s="156" t="s">
        <v>119</v>
      </c>
      <c r="E433" s="156" t="s">
        <v>272</v>
      </c>
      <c r="F433" s="167" t="s">
        <v>166</v>
      </c>
      <c r="G433" s="216">
        <v>8.9</v>
      </c>
      <c r="H433" s="18"/>
      <c r="I433" s="14" t="e">
        <f>SUM(H433/G439*100)</f>
        <v>#DIV/0!</v>
      </c>
      <c r="J433">
        <f>SUM('ведомствен.2015'!G772)</f>
        <v>8.9</v>
      </c>
    </row>
    <row r="434" spans="1:10" ht="15">
      <c r="A434" s="376" t="s">
        <v>125</v>
      </c>
      <c r="B434" s="353"/>
      <c r="C434" s="106" t="s">
        <v>121</v>
      </c>
      <c r="D434" s="156" t="s">
        <v>119</v>
      </c>
      <c r="E434" s="156" t="s">
        <v>126</v>
      </c>
      <c r="F434" s="166"/>
      <c r="G434" s="216">
        <f>SUM(G435+G438+G442)</f>
        <v>3077</v>
      </c>
      <c r="H434" s="18"/>
      <c r="I434" s="14"/>
      <c r="J434"/>
    </row>
    <row r="435" spans="1:9" ht="28.5">
      <c r="A435" s="371" t="s">
        <v>630</v>
      </c>
      <c r="B435" s="353"/>
      <c r="C435" s="106" t="s">
        <v>121</v>
      </c>
      <c r="D435" s="156" t="s">
        <v>119</v>
      </c>
      <c r="E435" s="156" t="s">
        <v>286</v>
      </c>
      <c r="F435" s="166"/>
      <c r="G435" s="216">
        <f>SUM(G436:G437)</f>
        <v>1060</v>
      </c>
      <c r="H435" s="14"/>
      <c r="I435" s="14" t="e">
        <f aca="true" t="shared" si="10" ref="I435:I448">SUM(H435/G441*100)</f>
        <v>#DIV/0!</v>
      </c>
    </row>
    <row r="436" spans="1:10" ht="15">
      <c r="A436" s="371" t="s">
        <v>475</v>
      </c>
      <c r="B436" s="353"/>
      <c r="C436" s="106" t="s">
        <v>121</v>
      </c>
      <c r="D436" s="156" t="s">
        <v>119</v>
      </c>
      <c r="E436" s="156" t="s">
        <v>286</v>
      </c>
      <c r="F436" s="166" t="s">
        <v>117</v>
      </c>
      <c r="G436" s="216">
        <v>230</v>
      </c>
      <c r="H436" s="18"/>
      <c r="I436" s="14">
        <f t="shared" si="10"/>
        <v>0</v>
      </c>
      <c r="J436" s="37">
        <f>SUM('ведомствен.2015'!G777)</f>
        <v>230</v>
      </c>
    </row>
    <row r="437" spans="1:10" s="26" customFormat="1" ht="28.5">
      <c r="A437" s="376" t="s">
        <v>489</v>
      </c>
      <c r="B437" s="353"/>
      <c r="C437" s="106" t="s">
        <v>121</v>
      </c>
      <c r="D437" s="156" t="s">
        <v>119</v>
      </c>
      <c r="E437" s="156" t="s">
        <v>286</v>
      </c>
      <c r="F437" s="166" t="s">
        <v>487</v>
      </c>
      <c r="G437" s="216">
        <v>830</v>
      </c>
      <c r="H437" s="18">
        <v>2421.6</v>
      </c>
      <c r="I437" s="14">
        <f t="shared" si="10"/>
        <v>4248.421052631578</v>
      </c>
      <c r="J437" s="37">
        <f>SUM('ведомствен.2015'!G778)</f>
        <v>830</v>
      </c>
    </row>
    <row r="438" spans="1:10" ht="15">
      <c r="A438" s="371" t="s">
        <v>488</v>
      </c>
      <c r="B438" s="353"/>
      <c r="C438" s="106" t="s">
        <v>121</v>
      </c>
      <c r="D438" s="156" t="s">
        <v>119</v>
      </c>
      <c r="E438" s="156" t="s">
        <v>287</v>
      </c>
      <c r="F438" s="166"/>
      <c r="G438" s="216">
        <f>SUM(G439:G441)</f>
        <v>1900</v>
      </c>
      <c r="H438" s="14" t="e">
        <f>SUM(H439)+#REF!</f>
        <v>#REF!</v>
      </c>
      <c r="I438" s="14" t="e">
        <f t="shared" si="10"/>
        <v>#REF!</v>
      </c>
      <c r="J438"/>
    </row>
    <row r="439" spans="1:10" ht="28.5" hidden="1">
      <c r="A439" s="371" t="s">
        <v>470</v>
      </c>
      <c r="B439" s="353"/>
      <c r="C439" s="106" t="s">
        <v>121</v>
      </c>
      <c r="D439" s="156" t="s">
        <v>119</v>
      </c>
      <c r="E439" s="156" t="s">
        <v>287</v>
      </c>
      <c r="F439" s="166" t="s">
        <v>471</v>
      </c>
      <c r="G439" s="216"/>
      <c r="H439" s="14" t="e">
        <f>SUM(H440)</f>
        <v>#REF!</v>
      </c>
      <c r="I439" s="14" t="e">
        <f>SUM(H439/#REF!*100)</f>
        <v>#REF!</v>
      </c>
      <c r="J439"/>
    </row>
    <row r="440" spans="1:10" ht="15">
      <c r="A440" s="371" t="s">
        <v>475</v>
      </c>
      <c r="B440" s="353"/>
      <c r="C440" s="106" t="s">
        <v>121</v>
      </c>
      <c r="D440" s="156" t="s">
        <v>119</v>
      </c>
      <c r="E440" s="156" t="s">
        <v>287</v>
      </c>
      <c r="F440" s="166" t="s">
        <v>117</v>
      </c>
      <c r="G440" s="216">
        <v>1900</v>
      </c>
      <c r="H440" s="14" t="e">
        <f>SUM(#REF!)</f>
        <v>#REF!</v>
      </c>
      <c r="I440" s="14" t="e">
        <f>SUM(H440/#REF!*100)</f>
        <v>#REF!</v>
      </c>
      <c r="J440" s="37">
        <f>SUM('ведомствен.2015'!G781)</f>
        <v>1900</v>
      </c>
    </row>
    <row r="441" spans="1:10" s="13" customFormat="1" ht="15.75" hidden="1">
      <c r="A441" s="371" t="s">
        <v>476</v>
      </c>
      <c r="B441" s="353"/>
      <c r="C441" s="106" t="s">
        <v>121</v>
      </c>
      <c r="D441" s="156" t="s">
        <v>119</v>
      </c>
      <c r="E441" s="156" t="s">
        <v>287</v>
      </c>
      <c r="F441" s="166" t="s">
        <v>166</v>
      </c>
      <c r="G441" s="216"/>
      <c r="H441" s="17" t="e">
        <f>SUM(H442+#REF!+H486+H491+#REF!+#REF!)</f>
        <v>#REF!</v>
      </c>
      <c r="I441" s="17" t="e">
        <f>SUM(H441/G445*100)</f>
        <v>#REF!</v>
      </c>
      <c r="J441"/>
    </row>
    <row r="442" spans="1:10" ht="42.75">
      <c r="A442" s="371" t="s">
        <v>631</v>
      </c>
      <c r="B442" s="353"/>
      <c r="C442" s="106"/>
      <c r="D442" s="156"/>
      <c r="E442" s="156" t="s">
        <v>632</v>
      </c>
      <c r="F442" s="166"/>
      <c r="G442" s="216">
        <f>SUM(G443:G444)</f>
        <v>117</v>
      </c>
      <c r="H442" s="14">
        <f>SUM(H445+H447)</f>
        <v>49456.8</v>
      </c>
      <c r="I442" s="14">
        <f>SUM(H442/G446*100)</f>
        <v>753.7882367285974</v>
      </c>
      <c r="J442"/>
    </row>
    <row r="443" spans="1:10" ht="15">
      <c r="A443" s="371" t="s">
        <v>475</v>
      </c>
      <c r="B443" s="353"/>
      <c r="C443" s="106" t="s">
        <v>121</v>
      </c>
      <c r="D443" s="156" t="s">
        <v>119</v>
      </c>
      <c r="E443" s="156" t="s">
        <v>632</v>
      </c>
      <c r="F443" s="166" t="s">
        <v>117</v>
      </c>
      <c r="G443" s="216">
        <v>57</v>
      </c>
      <c r="H443" s="14" t="e">
        <f>SUM(H444)</f>
        <v>#REF!</v>
      </c>
      <c r="I443" s="14" t="e">
        <f>SUM(H443/G447*100)</f>
        <v>#REF!</v>
      </c>
      <c r="J443" s="37">
        <f>SUM('ведомствен.2015'!G784)</f>
        <v>57</v>
      </c>
    </row>
    <row r="444" spans="1:10" ht="28.5">
      <c r="A444" s="376" t="s">
        <v>489</v>
      </c>
      <c r="B444" s="353"/>
      <c r="C444" s="106" t="s">
        <v>121</v>
      </c>
      <c r="D444" s="156" t="s">
        <v>119</v>
      </c>
      <c r="E444" s="156" t="s">
        <v>632</v>
      </c>
      <c r="F444" s="166" t="s">
        <v>487</v>
      </c>
      <c r="G444" s="216">
        <v>60</v>
      </c>
      <c r="H444" s="14" t="e">
        <f>SUM(#REF!)</f>
        <v>#REF!</v>
      </c>
      <c r="I444" s="14" t="e">
        <f>SUM(H444/G448*100)</f>
        <v>#REF!</v>
      </c>
      <c r="J444" s="37">
        <f>SUM('ведомствен.2015'!G785)</f>
        <v>60</v>
      </c>
    </row>
    <row r="445" spans="1:12" ht="15">
      <c r="A445" s="374" t="s">
        <v>300</v>
      </c>
      <c r="B445" s="353"/>
      <c r="C445" s="171" t="s">
        <v>279</v>
      </c>
      <c r="D445" s="158"/>
      <c r="E445" s="158"/>
      <c r="F445" s="169"/>
      <c r="G445" s="343">
        <f>SUM(G446+G457+G475+G484)</f>
        <v>44292.8</v>
      </c>
      <c r="H445" s="14">
        <f>SUM(H446)</f>
        <v>146.8</v>
      </c>
      <c r="I445" s="14" t="e">
        <f t="shared" si="10"/>
        <v>#DIV/0!</v>
      </c>
      <c r="J445"/>
      <c r="K445" s="37">
        <f>SUM(J450:J494)</f>
        <v>44292.799999999996</v>
      </c>
      <c r="L445">
        <f>SUM('ведомствен.2015'!G787)</f>
        <v>44292.8</v>
      </c>
    </row>
    <row r="446" spans="1:10" ht="15">
      <c r="A446" s="371" t="s">
        <v>168</v>
      </c>
      <c r="B446" s="350"/>
      <c r="C446" s="106" t="s">
        <v>279</v>
      </c>
      <c r="D446" s="156" t="s">
        <v>427</v>
      </c>
      <c r="E446" s="156"/>
      <c r="F446" s="166"/>
      <c r="G446" s="216">
        <f>SUM(G447)</f>
        <v>6561.1</v>
      </c>
      <c r="H446" s="14">
        <v>146.8</v>
      </c>
      <c r="I446" s="14" t="e">
        <f t="shared" si="10"/>
        <v>#DIV/0!</v>
      </c>
      <c r="J446"/>
    </row>
    <row r="447" spans="1:10" ht="28.5">
      <c r="A447" s="371" t="s">
        <v>624</v>
      </c>
      <c r="B447" s="350"/>
      <c r="C447" s="106" t="s">
        <v>279</v>
      </c>
      <c r="D447" s="156" t="s">
        <v>427</v>
      </c>
      <c r="E447" s="156" t="s">
        <v>625</v>
      </c>
      <c r="F447" s="166"/>
      <c r="G447" s="217">
        <f>SUM(G448)</f>
        <v>6561.1</v>
      </c>
      <c r="H447" s="14">
        <f>SUM(H448)</f>
        <v>49310</v>
      </c>
      <c r="I447" s="14" t="e">
        <f t="shared" si="10"/>
        <v>#DIV/0!</v>
      </c>
      <c r="J447"/>
    </row>
    <row r="448" spans="1:10" ht="28.5">
      <c r="A448" s="371" t="s">
        <v>93</v>
      </c>
      <c r="B448" s="353"/>
      <c r="C448" s="106" t="s">
        <v>279</v>
      </c>
      <c r="D448" s="156" t="s">
        <v>427</v>
      </c>
      <c r="E448" s="156" t="s">
        <v>626</v>
      </c>
      <c r="F448" s="166"/>
      <c r="G448" s="216">
        <f>SUM(G456)+G449</f>
        <v>6561.1</v>
      </c>
      <c r="H448" s="14">
        <f>SUM(H455:H457)</f>
        <v>49310</v>
      </c>
      <c r="I448" s="14" t="e">
        <f t="shared" si="10"/>
        <v>#DIV/0!</v>
      </c>
      <c r="J448"/>
    </row>
    <row r="449" spans="1:9" ht="15" hidden="1">
      <c r="A449" s="376" t="s">
        <v>153</v>
      </c>
      <c r="B449" s="353"/>
      <c r="C449" s="106" t="s">
        <v>279</v>
      </c>
      <c r="D449" s="156" t="s">
        <v>427</v>
      </c>
      <c r="E449" s="156" t="s">
        <v>137</v>
      </c>
      <c r="F449" s="166"/>
      <c r="G449" s="216">
        <f>SUM(G451+G453)</f>
        <v>0</v>
      </c>
      <c r="H449" s="14"/>
      <c r="I449" s="14"/>
    </row>
    <row r="450" spans="1:9" ht="15" hidden="1">
      <c r="A450" s="376" t="s">
        <v>139</v>
      </c>
      <c r="B450" s="353"/>
      <c r="C450" s="106" t="s">
        <v>279</v>
      </c>
      <c r="D450" s="156" t="s">
        <v>427</v>
      </c>
      <c r="E450" s="156" t="s">
        <v>137</v>
      </c>
      <c r="F450" s="166" t="s">
        <v>83</v>
      </c>
      <c r="G450" s="216"/>
      <c r="H450" s="14"/>
      <c r="I450" s="14"/>
    </row>
    <row r="451" spans="1:9" ht="28.5" hidden="1">
      <c r="A451" s="376" t="s">
        <v>380</v>
      </c>
      <c r="B451" s="353"/>
      <c r="C451" s="106" t="s">
        <v>279</v>
      </c>
      <c r="D451" s="156" t="s">
        <v>427</v>
      </c>
      <c r="E451" s="156" t="s">
        <v>138</v>
      </c>
      <c r="F451" s="166"/>
      <c r="G451" s="216">
        <f>SUM(G452)</f>
        <v>0</v>
      </c>
      <c r="H451" s="14"/>
      <c r="I451" s="14"/>
    </row>
    <row r="452" spans="1:9" ht="15" hidden="1">
      <c r="A452" s="376" t="s">
        <v>139</v>
      </c>
      <c r="B452" s="353"/>
      <c r="C452" s="106" t="s">
        <v>279</v>
      </c>
      <c r="D452" s="156" t="s">
        <v>427</v>
      </c>
      <c r="E452" s="156" t="s">
        <v>138</v>
      </c>
      <c r="F452" s="166" t="s">
        <v>83</v>
      </c>
      <c r="G452" s="216"/>
      <c r="H452" s="14"/>
      <c r="I452" s="14"/>
    </row>
    <row r="453" spans="1:10" ht="28.5" hidden="1">
      <c r="A453" s="371" t="s">
        <v>197</v>
      </c>
      <c r="B453" s="353"/>
      <c r="C453" s="106" t="s">
        <v>279</v>
      </c>
      <c r="D453" s="156" t="s">
        <v>427</v>
      </c>
      <c r="E453" s="156" t="s">
        <v>200</v>
      </c>
      <c r="F453" s="166"/>
      <c r="G453" s="216">
        <f>SUM(G454)</f>
        <v>0</v>
      </c>
      <c r="H453" s="14"/>
      <c r="I453" s="14"/>
      <c r="J453"/>
    </row>
    <row r="454" spans="1:10" ht="15" hidden="1">
      <c r="A454" s="371" t="s">
        <v>153</v>
      </c>
      <c r="B454" s="353"/>
      <c r="C454" s="106" t="s">
        <v>279</v>
      </c>
      <c r="D454" s="156" t="s">
        <v>427</v>
      </c>
      <c r="E454" s="156" t="s">
        <v>200</v>
      </c>
      <c r="F454" s="166" t="s">
        <v>83</v>
      </c>
      <c r="G454" s="216"/>
      <c r="H454" s="14"/>
      <c r="I454" s="14"/>
      <c r="J454"/>
    </row>
    <row r="455" spans="1:9" ht="28.5">
      <c r="A455" s="371" t="s">
        <v>280</v>
      </c>
      <c r="B455" s="353"/>
      <c r="C455" s="106" t="s">
        <v>279</v>
      </c>
      <c r="D455" s="156" t="s">
        <v>427</v>
      </c>
      <c r="E455" s="156" t="s">
        <v>627</v>
      </c>
      <c r="F455" s="166"/>
      <c r="G455" s="216">
        <f>SUM(G456)</f>
        <v>6561.1</v>
      </c>
      <c r="H455" s="14">
        <v>49310</v>
      </c>
      <c r="I455" s="14" t="e">
        <f>SUM(H455/G461*100)</f>
        <v>#DIV/0!</v>
      </c>
    </row>
    <row r="456" spans="1:10" ht="28.5">
      <c r="A456" s="376" t="s">
        <v>489</v>
      </c>
      <c r="B456" s="358"/>
      <c r="C456" s="106" t="s">
        <v>279</v>
      </c>
      <c r="D456" s="156" t="s">
        <v>427</v>
      </c>
      <c r="E456" s="156" t="s">
        <v>627</v>
      </c>
      <c r="F456" s="167" t="s">
        <v>487</v>
      </c>
      <c r="G456" s="216">
        <v>6561.1</v>
      </c>
      <c r="H456" s="14"/>
      <c r="I456" s="14" t="e">
        <f>SUM(H456/G462*100)</f>
        <v>#DIV/0!</v>
      </c>
      <c r="J456" s="37">
        <f>SUM('ведомствен.2015'!G798)</f>
        <v>6561.1</v>
      </c>
    </row>
    <row r="457" spans="1:10" ht="15">
      <c r="A457" s="371" t="s">
        <v>223</v>
      </c>
      <c r="B457" s="350"/>
      <c r="C457" s="106" t="s">
        <v>279</v>
      </c>
      <c r="D457" s="156" t="s">
        <v>429</v>
      </c>
      <c r="E457" s="156"/>
      <c r="F457" s="166"/>
      <c r="G457" s="216">
        <f>SUM(G458)</f>
        <v>22863</v>
      </c>
      <c r="H457" s="14"/>
      <c r="I457" s="14" t="e">
        <f>SUM(H457/G463*100)</f>
        <v>#DIV/0!</v>
      </c>
      <c r="J457"/>
    </row>
    <row r="458" spans="1:10" ht="28.5">
      <c r="A458" s="371" t="s">
        <v>624</v>
      </c>
      <c r="B458" s="350"/>
      <c r="C458" s="106" t="s">
        <v>279</v>
      </c>
      <c r="D458" s="156" t="s">
        <v>429</v>
      </c>
      <c r="E458" s="156" t="s">
        <v>625</v>
      </c>
      <c r="F458" s="166"/>
      <c r="G458" s="216">
        <f>SUM(G459)+G467</f>
        <v>22863</v>
      </c>
      <c r="H458" s="14">
        <f>SUM(H459)</f>
        <v>21823.6</v>
      </c>
      <c r="I458" s="14" t="e">
        <f>SUM(H458/G464*100)</f>
        <v>#DIV/0!</v>
      </c>
      <c r="J458"/>
    </row>
    <row r="459" spans="1:10" ht="42.75">
      <c r="A459" s="371" t="s">
        <v>633</v>
      </c>
      <c r="B459" s="353"/>
      <c r="C459" s="106" t="s">
        <v>279</v>
      </c>
      <c r="D459" s="156" t="s">
        <v>429</v>
      </c>
      <c r="E459" s="228" t="s">
        <v>736</v>
      </c>
      <c r="F459" s="166"/>
      <c r="G459" s="216">
        <f>SUM(G460+G465)</f>
        <v>10962.5</v>
      </c>
      <c r="H459" s="14">
        <f>SUM(H465:H466)</f>
        <v>21823.6</v>
      </c>
      <c r="I459" s="14">
        <f>SUM(H459/G465*100)</f>
        <v>199.07502850627137</v>
      </c>
      <c r="J459"/>
    </row>
    <row r="460" spans="1:10" ht="15" hidden="1">
      <c r="A460" s="376" t="s">
        <v>153</v>
      </c>
      <c r="B460" s="353"/>
      <c r="C460" s="106" t="s">
        <v>279</v>
      </c>
      <c r="D460" s="156" t="s">
        <v>429</v>
      </c>
      <c r="E460" s="156" t="s">
        <v>137</v>
      </c>
      <c r="F460" s="166"/>
      <c r="G460" s="216">
        <f>SUM(G463)+G461</f>
        <v>0</v>
      </c>
      <c r="H460" s="14"/>
      <c r="I460" s="14"/>
      <c r="J460"/>
    </row>
    <row r="461" spans="1:9" ht="28.5" hidden="1">
      <c r="A461" s="376" t="s">
        <v>380</v>
      </c>
      <c r="B461" s="353"/>
      <c r="C461" s="106" t="s">
        <v>279</v>
      </c>
      <c r="D461" s="156" t="s">
        <v>429</v>
      </c>
      <c r="E461" s="156" t="s">
        <v>138</v>
      </c>
      <c r="F461" s="166"/>
      <c r="G461" s="216">
        <f>SUM(G462)</f>
        <v>0</v>
      </c>
      <c r="H461" s="14"/>
      <c r="I461" s="14"/>
    </row>
    <row r="462" spans="1:9" ht="15" hidden="1">
      <c r="A462" s="376" t="s">
        <v>139</v>
      </c>
      <c r="B462" s="353"/>
      <c r="C462" s="106" t="s">
        <v>279</v>
      </c>
      <c r="D462" s="156" t="s">
        <v>429</v>
      </c>
      <c r="E462" s="156" t="s">
        <v>138</v>
      </c>
      <c r="F462" s="166" t="s">
        <v>83</v>
      </c>
      <c r="G462" s="216"/>
      <c r="H462" s="14"/>
      <c r="I462" s="14"/>
    </row>
    <row r="463" spans="1:9" ht="28.5" hidden="1">
      <c r="A463" s="371" t="s">
        <v>197</v>
      </c>
      <c r="B463" s="353"/>
      <c r="C463" s="106" t="s">
        <v>279</v>
      </c>
      <c r="D463" s="156" t="s">
        <v>429</v>
      </c>
      <c r="E463" s="156" t="s">
        <v>200</v>
      </c>
      <c r="F463" s="166"/>
      <c r="G463" s="216">
        <f>SUM(G464)</f>
        <v>0</v>
      </c>
      <c r="H463" s="14"/>
      <c r="I463" s="14"/>
    </row>
    <row r="464" spans="1:9" ht="15" hidden="1">
      <c r="A464" s="376" t="s">
        <v>139</v>
      </c>
      <c r="B464" s="353"/>
      <c r="C464" s="106" t="s">
        <v>279</v>
      </c>
      <c r="D464" s="156" t="s">
        <v>429</v>
      </c>
      <c r="E464" s="156" t="s">
        <v>200</v>
      </c>
      <c r="F464" s="166" t="s">
        <v>83</v>
      </c>
      <c r="G464" s="216"/>
      <c r="H464" s="14"/>
      <c r="I464" s="14"/>
    </row>
    <row r="465" spans="1:9" ht="28.5">
      <c r="A465" s="371" t="s">
        <v>280</v>
      </c>
      <c r="B465" s="353"/>
      <c r="C465" s="106" t="s">
        <v>279</v>
      </c>
      <c r="D465" s="156" t="s">
        <v>429</v>
      </c>
      <c r="E465" s="228" t="s">
        <v>737</v>
      </c>
      <c r="F465" s="166"/>
      <c r="G465" s="216">
        <f>SUM(G466)</f>
        <v>10962.5</v>
      </c>
      <c r="H465" s="14">
        <v>21823.6</v>
      </c>
      <c r="I465" s="14" t="e">
        <f>SUM(H465/G470*100)</f>
        <v>#DIV/0!</v>
      </c>
    </row>
    <row r="466" spans="1:10" ht="28.5">
      <c r="A466" s="376" t="s">
        <v>489</v>
      </c>
      <c r="B466" s="358"/>
      <c r="C466" s="106" t="s">
        <v>279</v>
      </c>
      <c r="D466" s="156" t="s">
        <v>429</v>
      </c>
      <c r="E466" s="228" t="s">
        <v>737</v>
      </c>
      <c r="F466" s="167" t="s">
        <v>487</v>
      </c>
      <c r="G466" s="216">
        <v>10962.5</v>
      </c>
      <c r="H466" s="14"/>
      <c r="I466" s="14" t="e">
        <f>SUM(H466/G471*100)</f>
        <v>#DIV/0!</v>
      </c>
      <c r="J466" s="37">
        <f>SUM('ведомствен.2015'!G808)</f>
        <v>10962.5</v>
      </c>
    </row>
    <row r="467" spans="1:10" ht="45.75" customHeight="1">
      <c r="A467" s="371" t="s">
        <v>634</v>
      </c>
      <c r="B467" s="350"/>
      <c r="C467" s="106" t="s">
        <v>279</v>
      </c>
      <c r="D467" s="156" t="s">
        <v>429</v>
      </c>
      <c r="E467" s="228" t="s">
        <v>738</v>
      </c>
      <c r="F467" s="166"/>
      <c r="G467" s="216">
        <f>SUM(G473:G473)+G468</f>
        <v>11900.5</v>
      </c>
      <c r="H467" s="14"/>
      <c r="I467" s="14"/>
      <c r="J467"/>
    </row>
    <row r="468" spans="1:10" ht="15" hidden="1">
      <c r="A468" s="376" t="s">
        <v>153</v>
      </c>
      <c r="B468" s="350"/>
      <c r="C468" s="106" t="s">
        <v>279</v>
      </c>
      <c r="D468" s="156" t="s">
        <v>429</v>
      </c>
      <c r="E468" s="228" t="s">
        <v>201</v>
      </c>
      <c r="F468" s="166"/>
      <c r="G468" s="216">
        <f>SUM(G469)+G471</f>
        <v>0</v>
      </c>
      <c r="H468" s="14"/>
      <c r="I468" s="14"/>
      <c r="J468"/>
    </row>
    <row r="469" spans="1:10" ht="28.5" hidden="1">
      <c r="A469" s="376" t="s">
        <v>140</v>
      </c>
      <c r="B469" s="353"/>
      <c r="C469" s="106" t="s">
        <v>279</v>
      </c>
      <c r="D469" s="156" t="s">
        <v>429</v>
      </c>
      <c r="E469" s="228" t="s">
        <v>141</v>
      </c>
      <c r="F469" s="166"/>
      <c r="G469" s="216">
        <f>SUM(G470)</f>
        <v>0</v>
      </c>
      <c r="H469" s="14"/>
      <c r="I469" s="14"/>
      <c r="J469"/>
    </row>
    <row r="470" spans="1:10" ht="28.5" hidden="1">
      <c r="A470" s="376" t="s">
        <v>489</v>
      </c>
      <c r="B470" s="358"/>
      <c r="C470" s="106" t="s">
        <v>279</v>
      </c>
      <c r="D470" s="156" t="s">
        <v>429</v>
      </c>
      <c r="E470" s="228" t="s">
        <v>141</v>
      </c>
      <c r="F470" s="167" t="s">
        <v>487</v>
      </c>
      <c r="G470" s="216"/>
      <c r="H470" s="14"/>
      <c r="I470" s="14"/>
      <c r="J470" s="37">
        <f>SUM('ведомствен.2015'!G812)</f>
        <v>0</v>
      </c>
    </row>
    <row r="471" spans="1:10" ht="28.5" hidden="1">
      <c r="A471" s="376" t="s">
        <v>380</v>
      </c>
      <c r="B471" s="353"/>
      <c r="C471" s="106" t="s">
        <v>279</v>
      </c>
      <c r="D471" s="156" t="s">
        <v>429</v>
      </c>
      <c r="E471" s="228" t="s">
        <v>462</v>
      </c>
      <c r="F471" s="166"/>
      <c r="G471" s="216">
        <f>SUM(G472)</f>
        <v>0</v>
      </c>
      <c r="H471" s="14"/>
      <c r="I471" s="14"/>
      <c r="J471"/>
    </row>
    <row r="472" spans="1:10" ht="15" hidden="1">
      <c r="A472" s="376" t="s">
        <v>139</v>
      </c>
      <c r="B472" s="353"/>
      <c r="C472" s="106" t="s">
        <v>279</v>
      </c>
      <c r="D472" s="156" t="s">
        <v>429</v>
      </c>
      <c r="E472" s="228" t="s">
        <v>462</v>
      </c>
      <c r="F472" s="166" t="s">
        <v>83</v>
      </c>
      <c r="G472" s="216"/>
      <c r="H472" s="14"/>
      <c r="I472" s="14"/>
      <c r="J472"/>
    </row>
    <row r="473" spans="1:9" ht="28.5">
      <c r="A473" s="376" t="s">
        <v>280</v>
      </c>
      <c r="B473" s="350"/>
      <c r="C473" s="106" t="s">
        <v>279</v>
      </c>
      <c r="D473" s="156" t="s">
        <v>429</v>
      </c>
      <c r="E473" s="228" t="s">
        <v>739</v>
      </c>
      <c r="F473" s="166"/>
      <c r="G473" s="216">
        <f>SUM(G474)</f>
        <v>11900.5</v>
      </c>
      <c r="H473" s="14">
        <v>7467.6</v>
      </c>
      <c r="I473" s="14">
        <f>SUM(H473/G480*100)</f>
        <v>470.57785619761796</v>
      </c>
    </row>
    <row r="474" spans="1:10" ht="28.5">
      <c r="A474" s="376" t="s">
        <v>489</v>
      </c>
      <c r="B474" s="358"/>
      <c r="C474" s="106" t="s">
        <v>279</v>
      </c>
      <c r="D474" s="156" t="s">
        <v>429</v>
      </c>
      <c r="E474" s="228" t="s">
        <v>739</v>
      </c>
      <c r="F474" s="167" t="s">
        <v>487</v>
      </c>
      <c r="G474" s="216">
        <v>11900.5</v>
      </c>
      <c r="H474" s="14"/>
      <c r="I474" s="14">
        <f>SUM(H474/G481*100)</f>
        <v>0</v>
      </c>
      <c r="J474" s="37">
        <f>SUM('ведомствен.2015'!G816)</f>
        <v>11900.5</v>
      </c>
    </row>
    <row r="475" spans="1:9" ht="16.5" customHeight="1">
      <c r="A475" s="376" t="s">
        <v>224</v>
      </c>
      <c r="B475" s="350"/>
      <c r="C475" s="106" t="s">
        <v>279</v>
      </c>
      <c r="D475" s="156" t="s">
        <v>119</v>
      </c>
      <c r="E475" s="156"/>
      <c r="F475" s="166"/>
      <c r="G475" s="216">
        <f>SUM(G478+G482)</f>
        <v>1586.9</v>
      </c>
      <c r="H475" s="14" t="e">
        <f>SUM(#REF!)</f>
        <v>#REF!</v>
      </c>
      <c r="I475" s="14" t="e">
        <f>SUM(H475/G482*100)</f>
        <v>#REF!</v>
      </c>
    </row>
    <row r="476" spans="1:10" ht="30" customHeight="1" hidden="1">
      <c r="A476" s="376" t="s">
        <v>355</v>
      </c>
      <c r="B476" s="350"/>
      <c r="C476" s="106" t="s">
        <v>279</v>
      </c>
      <c r="D476" s="156" t="s">
        <v>119</v>
      </c>
      <c r="E476" s="156" t="s">
        <v>356</v>
      </c>
      <c r="F476" s="166"/>
      <c r="G476" s="216">
        <f>SUM(G477)</f>
        <v>0</v>
      </c>
      <c r="H476" s="14">
        <f>SUM(H477)</f>
        <v>1817.2</v>
      </c>
      <c r="I476" s="14" t="e">
        <f>SUM(H476/G483*100)</f>
        <v>#DIV/0!</v>
      </c>
      <c r="J476"/>
    </row>
    <row r="477" spans="1:10" ht="31.5" customHeight="1" hidden="1">
      <c r="A477" s="376" t="s">
        <v>226</v>
      </c>
      <c r="B477" s="350"/>
      <c r="C477" s="106" t="s">
        <v>279</v>
      </c>
      <c r="D477" s="156" t="s">
        <v>119</v>
      </c>
      <c r="E477" s="156" t="s">
        <v>356</v>
      </c>
      <c r="F477" s="166" t="s">
        <v>227</v>
      </c>
      <c r="G477" s="216"/>
      <c r="H477" s="14">
        <f>SUM(H479:H480)</f>
        <v>1817.2</v>
      </c>
      <c r="I477" s="14">
        <f>SUM(H477/G484*100)</f>
        <v>13.681880468008853</v>
      </c>
      <c r="J477"/>
    </row>
    <row r="478" spans="1:10" ht="31.5" customHeight="1">
      <c r="A478" s="371" t="s">
        <v>624</v>
      </c>
      <c r="B478" s="350"/>
      <c r="C478" s="106" t="s">
        <v>279</v>
      </c>
      <c r="D478" s="156" t="s">
        <v>119</v>
      </c>
      <c r="E478" s="156" t="s">
        <v>625</v>
      </c>
      <c r="F478" s="166"/>
      <c r="G478" s="216">
        <f>SUM(G479)</f>
        <v>1586.9</v>
      </c>
      <c r="H478" s="14"/>
      <c r="I478" s="14"/>
      <c r="J478"/>
    </row>
    <row r="479" spans="1:9" ht="28.5">
      <c r="A479" s="371" t="s">
        <v>93</v>
      </c>
      <c r="B479" s="350"/>
      <c r="C479" s="106" t="s">
        <v>279</v>
      </c>
      <c r="D479" s="156" t="s">
        <v>119</v>
      </c>
      <c r="E479" s="156" t="s">
        <v>626</v>
      </c>
      <c r="F479" s="166"/>
      <c r="G479" s="216">
        <f>SUM(G480)</f>
        <v>1586.9</v>
      </c>
      <c r="H479" s="14">
        <v>1817.2</v>
      </c>
      <c r="I479" s="14" t="e">
        <f aca="true" t="shared" si="11" ref="I479:I485">SUM(H479/G485*100)</f>
        <v>#DIV/0!</v>
      </c>
    </row>
    <row r="480" spans="1:9" ht="28.5">
      <c r="A480" s="376" t="s">
        <v>280</v>
      </c>
      <c r="B480" s="350"/>
      <c r="C480" s="106" t="s">
        <v>279</v>
      </c>
      <c r="D480" s="156" t="s">
        <v>119</v>
      </c>
      <c r="E480" s="156" t="s">
        <v>627</v>
      </c>
      <c r="F480" s="166"/>
      <c r="G480" s="216">
        <f>SUM(G481)</f>
        <v>1586.9</v>
      </c>
      <c r="H480" s="14"/>
      <c r="I480" s="14" t="e">
        <f t="shared" si="11"/>
        <v>#DIV/0!</v>
      </c>
    </row>
    <row r="481" spans="1:10" ht="28.5">
      <c r="A481" s="376" t="s">
        <v>489</v>
      </c>
      <c r="B481" s="358"/>
      <c r="C481" s="106" t="s">
        <v>279</v>
      </c>
      <c r="D481" s="156" t="s">
        <v>119</v>
      </c>
      <c r="E481" s="156" t="s">
        <v>627</v>
      </c>
      <c r="F481" s="167" t="s">
        <v>487</v>
      </c>
      <c r="G481" s="216">
        <v>1586.9</v>
      </c>
      <c r="H481" s="14"/>
      <c r="I481" s="14">
        <f t="shared" si="11"/>
        <v>0</v>
      </c>
      <c r="J481" s="37">
        <f>SUM('ведомствен.2015'!G823)</f>
        <v>1586.9</v>
      </c>
    </row>
    <row r="482" spans="1:10" ht="15" hidden="1">
      <c r="A482" s="372" t="s">
        <v>3</v>
      </c>
      <c r="B482" s="350"/>
      <c r="C482" s="106" t="s">
        <v>279</v>
      </c>
      <c r="D482" s="156" t="s">
        <v>427</v>
      </c>
      <c r="E482" s="156" t="s">
        <v>247</v>
      </c>
      <c r="F482" s="165"/>
      <c r="G482" s="216">
        <f>SUM(G483)</f>
        <v>0</v>
      </c>
      <c r="H482" s="14" t="e">
        <f>SUM(#REF!)</f>
        <v>#REF!</v>
      </c>
      <c r="I482" s="14" t="e">
        <f t="shared" si="11"/>
        <v>#REF!</v>
      </c>
      <c r="J482"/>
    </row>
    <row r="483" spans="1:10" ht="28.5" hidden="1">
      <c r="A483" s="371" t="s">
        <v>314</v>
      </c>
      <c r="B483" s="350"/>
      <c r="C483" s="106" t="s">
        <v>279</v>
      </c>
      <c r="D483" s="156" t="s">
        <v>427</v>
      </c>
      <c r="E483" s="156" t="s">
        <v>247</v>
      </c>
      <c r="F483" s="165" t="s">
        <v>248</v>
      </c>
      <c r="G483" s="216"/>
      <c r="H483" s="14">
        <f>SUM(H484)</f>
        <v>340</v>
      </c>
      <c r="I483" s="14">
        <f t="shared" si="11"/>
        <v>2.9917989511104857</v>
      </c>
      <c r="J483"/>
    </row>
    <row r="484" spans="1:10" ht="15">
      <c r="A484" s="372" t="s">
        <v>222</v>
      </c>
      <c r="B484" s="215"/>
      <c r="C484" s="106" t="s">
        <v>279</v>
      </c>
      <c r="D484" s="156" t="s">
        <v>279</v>
      </c>
      <c r="E484" s="156"/>
      <c r="F484" s="166"/>
      <c r="G484" s="216">
        <f>SUM(G487)+G492</f>
        <v>13281.800000000001</v>
      </c>
      <c r="H484" s="14">
        <f>SUM(H485)</f>
        <v>340</v>
      </c>
      <c r="I484" s="14">
        <f t="shared" si="11"/>
        <v>23.236741388737016</v>
      </c>
      <c r="J484"/>
    </row>
    <row r="485" spans="1:9" ht="42.75" hidden="1">
      <c r="A485" s="372" t="s">
        <v>203</v>
      </c>
      <c r="B485" s="215"/>
      <c r="C485" s="106" t="s">
        <v>279</v>
      </c>
      <c r="D485" s="156" t="s">
        <v>279</v>
      </c>
      <c r="E485" s="156" t="s">
        <v>204</v>
      </c>
      <c r="F485" s="166"/>
      <c r="G485" s="216">
        <f>SUM(G486)</f>
        <v>0</v>
      </c>
      <c r="H485" s="14">
        <v>340</v>
      </c>
      <c r="I485" s="14">
        <f t="shared" si="11"/>
        <v>735.930735930736</v>
      </c>
    </row>
    <row r="486" spans="1:10" ht="15" hidden="1">
      <c r="A486" s="376" t="s">
        <v>153</v>
      </c>
      <c r="B486" s="215"/>
      <c r="C486" s="106" t="s">
        <v>279</v>
      </c>
      <c r="D486" s="156" t="s">
        <v>279</v>
      </c>
      <c r="E486" s="156" t="s">
        <v>204</v>
      </c>
      <c r="F486" s="166" t="s">
        <v>83</v>
      </c>
      <c r="G486" s="216"/>
      <c r="H486" s="14">
        <f>SUM(H487)</f>
        <v>9494.7</v>
      </c>
      <c r="I486" s="14" t="e">
        <f>SUM(H486/#REF!*100)</f>
        <v>#REF!</v>
      </c>
      <c r="J486"/>
    </row>
    <row r="487" spans="1:10" ht="28.5">
      <c r="A487" s="371" t="s">
        <v>624</v>
      </c>
      <c r="B487" s="350"/>
      <c r="C487" s="106" t="s">
        <v>279</v>
      </c>
      <c r="D487" s="156" t="s">
        <v>279</v>
      </c>
      <c r="E487" s="156" t="s">
        <v>625</v>
      </c>
      <c r="F487" s="166"/>
      <c r="G487" s="216">
        <f>SUM(G488)</f>
        <v>12873.800000000001</v>
      </c>
      <c r="H487" s="14">
        <f>SUM(H488)</f>
        <v>9494.7</v>
      </c>
      <c r="I487" s="14" t="e">
        <f>SUM(H487/#REF!*100)</f>
        <v>#REF!</v>
      </c>
      <c r="J487"/>
    </row>
    <row r="488" spans="1:10" ht="28.5">
      <c r="A488" s="371" t="s">
        <v>56</v>
      </c>
      <c r="B488" s="350"/>
      <c r="C488" s="106" t="s">
        <v>279</v>
      </c>
      <c r="D488" s="156" t="s">
        <v>279</v>
      </c>
      <c r="E488" s="156" t="s">
        <v>628</v>
      </c>
      <c r="F488" s="166"/>
      <c r="G488" s="216">
        <f>SUM(G489:G491)</f>
        <v>12873.800000000001</v>
      </c>
      <c r="H488" s="14">
        <f>SUM(H489:H490)</f>
        <v>9494.7</v>
      </c>
      <c r="I488" s="14" t="e">
        <f>SUM(H488/#REF!*100)</f>
        <v>#REF!</v>
      </c>
      <c r="J488"/>
    </row>
    <row r="489" spans="1:10" ht="28.5">
      <c r="A489" s="371" t="s">
        <v>470</v>
      </c>
      <c r="B489" s="350"/>
      <c r="C489" s="106" t="s">
        <v>279</v>
      </c>
      <c r="D489" s="156" t="s">
        <v>279</v>
      </c>
      <c r="E489" s="156" t="s">
        <v>628</v>
      </c>
      <c r="F489" s="165" t="s">
        <v>471</v>
      </c>
      <c r="G489" s="216">
        <v>11364.4</v>
      </c>
      <c r="H489" s="14">
        <v>9494.7</v>
      </c>
      <c r="I489" s="14" t="e">
        <f>SUM(H489/#REF!*100)</f>
        <v>#REF!</v>
      </c>
      <c r="J489" s="37">
        <f>SUM('ведомствен.2015'!G831)</f>
        <v>11364.4</v>
      </c>
    </row>
    <row r="490" spans="1:10" ht="15">
      <c r="A490" s="371" t="s">
        <v>475</v>
      </c>
      <c r="B490" s="350"/>
      <c r="C490" s="106" t="s">
        <v>279</v>
      </c>
      <c r="D490" s="156" t="s">
        <v>279</v>
      </c>
      <c r="E490" s="156" t="s">
        <v>628</v>
      </c>
      <c r="F490" s="165" t="s">
        <v>117</v>
      </c>
      <c r="G490" s="217">
        <v>1463.2</v>
      </c>
      <c r="H490" s="14"/>
      <c r="I490" s="14" t="e">
        <f>SUM(H490/#REF!*100)</f>
        <v>#REF!</v>
      </c>
      <c r="J490" s="37">
        <f>SUM('ведомствен.2015'!G832)</f>
        <v>1463.2</v>
      </c>
    </row>
    <row r="491" spans="1:10" ht="15">
      <c r="A491" s="371" t="s">
        <v>476</v>
      </c>
      <c r="B491" s="350"/>
      <c r="C491" s="106" t="s">
        <v>279</v>
      </c>
      <c r="D491" s="156" t="s">
        <v>279</v>
      </c>
      <c r="E491" s="156" t="s">
        <v>628</v>
      </c>
      <c r="F491" s="166" t="s">
        <v>166</v>
      </c>
      <c r="G491" s="216">
        <v>46.2</v>
      </c>
      <c r="H491" s="14" t="e">
        <f>SUM(#REF!+#REF!+#REF!)</f>
        <v>#REF!</v>
      </c>
      <c r="I491" s="14" t="e">
        <f>SUM(H491/#REF!*100)</f>
        <v>#REF!</v>
      </c>
      <c r="J491" s="37">
        <f>SUM('ведомствен.2015'!G833)</f>
        <v>46.2</v>
      </c>
    </row>
    <row r="492" spans="1:9" s="127" customFormat="1" ht="15">
      <c r="A492" s="151" t="s">
        <v>125</v>
      </c>
      <c r="B492" s="224"/>
      <c r="C492" s="308" t="s">
        <v>279</v>
      </c>
      <c r="D492" s="308" t="s">
        <v>279</v>
      </c>
      <c r="E492" s="228" t="s">
        <v>126</v>
      </c>
      <c r="F492" s="280"/>
      <c r="G492" s="216">
        <f>SUM(G493)</f>
        <v>408</v>
      </c>
      <c r="H492" s="129"/>
      <c r="I492" s="129"/>
    </row>
    <row r="493" spans="1:9" s="127" customFormat="1" ht="42.75">
      <c r="A493" s="416" t="s">
        <v>740</v>
      </c>
      <c r="B493" s="417"/>
      <c r="C493" s="308" t="s">
        <v>279</v>
      </c>
      <c r="D493" s="308" t="s">
        <v>279</v>
      </c>
      <c r="E493" s="228" t="s">
        <v>741</v>
      </c>
      <c r="F493" s="418"/>
      <c r="G493" s="419">
        <f>SUM(G494)</f>
        <v>408</v>
      </c>
      <c r="H493" s="129"/>
      <c r="I493" s="129"/>
    </row>
    <row r="494" spans="1:10" s="127" customFormat="1" ht="36" customHeight="1">
      <c r="A494" s="151" t="s">
        <v>489</v>
      </c>
      <c r="B494" s="224"/>
      <c r="C494" s="228" t="s">
        <v>279</v>
      </c>
      <c r="D494" s="228" t="s">
        <v>279</v>
      </c>
      <c r="E494" s="228" t="s">
        <v>741</v>
      </c>
      <c r="F494" s="280"/>
      <c r="G494" s="197">
        <v>408</v>
      </c>
      <c r="H494" s="129"/>
      <c r="I494" s="129"/>
      <c r="J494" s="37">
        <f>SUM('ведомствен.2015'!G836)</f>
        <v>408</v>
      </c>
    </row>
    <row r="495" spans="1:12" s="16" customFormat="1" ht="15">
      <c r="A495" s="374" t="s">
        <v>173</v>
      </c>
      <c r="B495" s="353"/>
      <c r="C495" s="168" t="s">
        <v>5</v>
      </c>
      <c r="D495" s="157"/>
      <c r="E495" s="157"/>
      <c r="F495" s="170"/>
      <c r="G495" s="343">
        <f>SUM(G496+G500+G514+G602+G622)</f>
        <v>943349</v>
      </c>
      <c r="H495" s="18">
        <f>SUM(H496)+H498</f>
        <v>0</v>
      </c>
      <c r="I495" s="14" t="e">
        <f aca="true" t="shared" si="12" ref="I495:I508">SUM(H495/G501*100)</f>
        <v>#DIV/0!</v>
      </c>
      <c r="K495" s="16">
        <f>SUM(J497:J654)</f>
        <v>943349.0000000002</v>
      </c>
      <c r="L495" s="16">
        <f>SUM('ведомствен.2015'!G272+'ведомствен.2015'!G380+'ведомствен.2015'!G673)+'ведомствен.2015'!G330</f>
        <v>943349.0000000001</v>
      </c>
    </row>
    <row r="496" spans="1:13" s="16" customFormat="1" ht="15">
      <c r="A496" s="371" t="s">
        <v>175</v>
      </c>
      <c r="B496" s="350"/>
      <c r="C496" s="68" t="s">
        <v>5</v>
      </c>
      <c r="D496" s="107" t="s">
        <v>427</v>
      </c>
      <c r="E496" s="107"/>
      <c r="F496" s="165"/>
      <c r="G496" s="216">
        <f>SUM(G497)</f>
        <v>4100.5</v>
      </c>
      <c r="H496" s="14">
        <f>SUM(H497)</f>
        <v>0</v>
      </c>
      <c r="I496" s="14" t="e">
        <f t="shared" si="12"/>
        <v>#DIV/0!</v>
      </c>
      <c r="L496" s="312">
        <f>SUM(K495-G495)</f>
        <v>2.3283064365386963E-10</v>
      </c>
      <c r="M496" s="16">
        <f>SUM(L495-K495)</f>
        <v>-1.1641532182693481E-10</v>
      </c>
    </row>
    <row r="497" spans="1:9" s="16" customFormat="1" ht="15">
      <c r="A497" s="371" t="s">
        <v>176</v>
      </c>
      <c r="B497" s="350"/>
      <c r="C497" s="68" t="s">
        <v>5</v>
      </c>
      <c r="D497" s="107" t="s">
        <v>427</v>
      </c>
      <c r="E497" s="107" t="s">
        <v>177</v>
      </c>
      <c r="F497" s="165"/>
      <c r="G497" s="216">
        <f>SUM(G498)</f>
        <v>4100.5</v>
      </c>
      <c r="H497" s="14"/>
      <c r="I497" s="14" t="e">
        <f t="shared" si="12"/>
        <v>#DIV/0!</v>
      </c>
    </row>
    <row r="498" spans="1:9" s="16" customFormat="1" ht="28.5">
      <c r="A498" s="371" t="s">
        <v>178</v>
      </c>
      <c r="B498" s="350"/>
      <c r="C498" s="68" t="s">
        <v>5</v>
      </c>
      <c r="D498" s="107" t="s">
        <v>427</v>
      </c>
      <c r="E498" s="107" t="s">
        <v>179</v>
      </c>
      <c r="F498" s="165"/>
      <c r="G498" s="216">
        <f>SUM(G499)</f>
        <v>4100.5</v>
      </c>
      <c r="H498" s="14">
        <f>SUM(H499)</f>
        <v>0</v>
      </c>
      <c r="I498" s="14" t="e">
        <f t="shared" si="12"/>
        <v>#DIV/0!</v>
      </c>
    </row>
    <row r="499" spans="1:10" s="16" customFormat="1" ht="15">
      <c r="A499" s="371" t="s">
        <v>480</v>
      </c>
      <c r="B499" s="350"/>
      <c r="C499" s="68" t="s">
        <v>5</v>
      </c>
      <c r="D499" s="107" t="s">
        <v>427</v>
      </c>
      <c r="E499" s="107" t="s">
        <v>179</v>
      </c>
      <c r="F499" s="165" t="s">
        <v>481</v>
      </c>
      <c r="G499" s="216">
        <v>4100.5</v>
      </c>
      <c r="H499" s="14"/>
      <c r="I499" s="14" t="e">
        <f t="shared" si="12"/>
        <v>#DIV/0!</v>
      </c>
      <c r="J499" s="16">
        <f>SUM('ведомствен.2015'!G384)</f>
        <v>4100.5</v>
      </c>
    </row>
    <row r="500" spans="1:9" s="16" customFormat="1" ht="15">
      <c r="A500" s="371" t="s">
        <v>180</v>
      </c>
      <c r="B500" s="350"/>
      <c r="C500" s="106" t="s">
        <v>5</v>
      </c>
      <c r="D500" s="156" t="s">
        <v>429</v>
      </c>
      <c r="E500" s="107"/>
      <c r="F500" s="165"/>
      <c r="G500" s="216">
        <f>SUM(G501+G506)</f>
        <v>50271.6</v>
      </c>
      <c r="H500" s="14">
        <f>SUM(H501+H503)</f>
        <v>16618.3</v>
      </c>
      <c r="I500" s="14">
        <f t="shared" si="12"/>
        <v>33.05703419027841</v>
      </c>
    </row>
    <row r="501" spans="1:9" s="16" customFormat="1" ht="15" hidden="1">
      <c r="A501" s="384" t="s">
        <v>74</v>
      </c>
      <c r="B501" s="350"/>
      <c r="C501" s="106" t="s">
        <v>5</v>
      </c>
      <c r="D501" s="156" t="s">
        <v>429</v>
      </c>
      <c r="E501" s="156" t="s">
        <v>75</v>
      </c>
      <c r="F501" s="166"/>
      <c r="G501" s="216"/>
      <c r="H501" s="14">
        <f>SUM(H502)</f>
        <v>0</v>
      </c>
      <c r="I501" s="14">
        <f t="shared" si="12"/>
        <v>0</v>
      </c>
    </row>
    <row r="502" spans="1:9" s="16" customFormat="1" ht="28.5" hidden="1">
      <c r="A502" s="384" t="s">
        <v>17</v>
      </c>
      <c r="B502" s="350"/>
      <c r="C502" s="106" t="s">
        <v>5</v>
      </c>
      <c r="D502" s="156" t="s">
        <v>429</v>
      </c>
      <c r="E502" s="156" t="s">
        <v>18</v>
      </c>
      <c r="F502" s="166"/>
      <c r="G502" s="216">
        <f>SUM(G503+G504)</f>
        <v>0</v>
      </c>
      <c r="H502" s="14"/>
      <c r="I502" s="14">
        <f t="shared" si="12"/>
        <v>0</v>
      </c>
    </row>
    <row r="503" spans="1:9" s="16" customFormat="1" ht="15" hidden="1">
      <c r="A503" s="194" t="s">
        <v>226</v>
      </c>
      <c r="B503" s="350"/>
      <c r="C503" s="106" t="s">
        <v>5</v>
      </c>
      <c r="D503" s="156" t="s">
        <v>429</v>
      </c>
      <c r="E503" s="156" t="s">
        <v>18</v>
      </c>
      <c r="F503" s="166" t="s">
        <v>227</v>
      </c>
      <c r="G503" s="216"/>
      <c r="H503" s="14">
        <f>SUM(H504)</f>
        <v>16618.3</v>
      </c>
      <c r="I503" s="14">
        <f t="shared" si="12"/>
        <v>1511.7165468934777</v>
      </c>
    </row>
    <row r="504" spans="1:10" s="16" customFormat="1" ht="28.5" hidden="1">
      <c r="A504" s="384" t="s">
        <v>19</v>
      </c>
      <c r="B504" s="350"/>
      <c r="C504" s="106" t="s">
        <v>5</v>
      </c>
      <c r="D504" s="156" t="s">
        <v>429</v>
      </c>
      <c r="E504" s="156" t="s">
        <v>20</v>
      </c>
      <c r="F504" s="166"/>
      <c r="G504" s="216">
        <f>SUM(G505)</f>
        <v>0</v>
      </c>
      <c r="H504" s="14">
        <v>16618.3</v>
      </c>
      <c r="I504" s="14">
        <f t="shared" si="12"/>
        <v>34.23728743721492</v>
      </c>
      <c r="J504" s="39"/>
    </row>
    <row r="505" spans="1:9" s="16" customFormat="1" ht="15" hidden="1">
      <c r="A505" s="194" t="s">
        <v>226</v>
      </c>
      <c r="B505" s="350"/>
      <c r="C505" s="106" t="s">
        <v>5</v>
      </c>
      <c r="D505" s="156" t="s">
        <v>429</v>
      </c>
      <c r="E505" s="156" t="s">
        <v>20</v>
      </c>
      <c r="F505" s="166" t="s">
        <v>227</v>
      </c>
      <c r="G505" s="216"/>
      <c r="H505" s="18" t="e">
        <f>SUM(H515+#REF!+#REF!+#REF!+H506)</f>
        <v>#REF!</v>
      </c>
      <c r="I505" s="14" t="e">
        <f t="shared" si="12"/>
        <v>#REF!</v>
      </c>
    </row>
    <row r="506" spans="1:9" s="16" customFormat="1" ht="15">
      <c r="A506" s="384" t="s">
        <v>74</v>
      </c>
      <c r="B506" s="350"/>
      <c r="C506" s="106" t="s">
        <v>5</v>
      </c>
      <c r="D506" s="156" t="s">
        <v>429</v>
      </c>
      <c r="E506" s="156" t="s">
        <v>21</v>
      </c>
      <c r="F506" s="166"/>
      <c r="G506" s="216">
        <f>SUM(G507+G510)</f>
        <v>50271.6</v>
      </c>
      <c r="H506" s="14">
        <f>SUM(H508)</f>
        <v>200</v>
      </c>
      <c r="I506" s="14">
        <f t="shared" si="12"/>
        <v>2.57834959842205</v>
      </c>
    </row>
    <row r="507" spans="1:9" s="16" customFormat="1" ht="28.5">
      <c r="A507" s="194" t="s">
        <v>56</v>
      </c>
      <c r="B507" s="350"/>
      <c r="C507" s="106" t="s">
        <v>5</v>
      </c>
      <c r="D507" s="156" t="s">
        <v>429</v>
      </c>
      <c r="E507" s="156" t="s">
        <v>22</v>
      </c>
      <c r="F507" s="166"/>
      <c r="G507" s="216">
        <f>SUM(G508:G509)</f>
        <v>1733</v>
      </c>
      <c r="H507" s="14">
        <f>SUM(H508)</f>
        <v>200</v>
      </c>
      <c r="I507" s="14" t="e">
        <f t="shared" si="12"/>
        <v>#DIV/0!</v>
      </c>
    </row>
    <row r="508" spans="1:10" s="16" customFormat="1" ht="28.5">
      <c r="A508" s="371" t="s">
        <v>470</v>
      </c>
      <c r="B508" s="350"/>
      <c r="C508" s="106" t="s">
        <v>5</v>
      </c>
      <c r="D508" s="156" t="s">
        <v>429</v>
      </c>
      <c r="E508" s="156" t="s">
        <v>22</v>
      </c>
      <c r="F508" s="165" t="s">
        <v>471</v>
      </c>
      <c r="G508" s="216">
        <v>633.7</v>
      </c>
      <c r="H508" s="14">
        <v>200</v>
      </c>
      <c r="I508" s="14">
        <f t="shared" si="12"/>
        <v>0.027090958027030543</v>
      </c>
      <c r="J508" s="16">
        <f>SUM('ведомствен.2015'!G393)</f>
        <v>633.7</v>
      </c>
    </row>
    <row r="509" spans="1:10" s="16" customFormat="1" ht="15">
      <c r="A509" s="371" t="s">
        <v>475</v>
      </c>
      <c r="B509" s="350"/>
      <c r="C509" s="106" t="s">
        <v>5</v>
      </c>
      <c r="D509" s="156" t="s">
        <v>429</v>
      </c>
      <c r="E509" s="156" t="s">
        <v>22</v>
      </c>
      <c r="F509" s="165" t="s">
        <v>117</v>
      </c>
      <c r="G509" s="216">
        <v>1099.3</v>
      </c>
      <c r="H509" s="14"/>
      <c r="I509" s="14"/>
      <c r="J509" s="16">
        <f>SUM('ведомствен.2015'!G394)</f>
        <v>1099.3</v>
      </c>
    </row>
    <row r="510" spans="1:10" ht="28.5">
      <c r="A510" s="194" t="s">
        <v>23</v>
      </c>
      <c r="B510" s="350"/>
      <c r="C510" s="106" t="s">
        <v>5</v>
      </c>
      <c r="D510" s="156" t="s">
        <v>429</v>
      </c>
      <c r="E510" s="156" t="s">
        <v>24</v>
      </c>
      <c r="F510" s="166"/>
      <c r="G510" s="216">
        <f>SUM(G511:G513)</f>
        <v>48538.6</v>
      </c>
      <c r="H510" s="14">
        <f>SUM(H513)</f>
        <v>0</v>
      </c>
      <c r="I510" s="14" t="e">
        <f>SUM(H510/G516*100)</f>
        <v>#DIV/0!</v>
      </c>
      <c r="J510"/>
    </row>
    <row r="511" spans="1:10" ht="28.5">
      <c r="A511" s="371" t="s">
        <v>470</v>
      </c>
      <c r="B511" s="350"/>
      <c r="C511" s="106" t="s">
        <v>5</v>
      </c>
      <c r="D511" s="156" t="s">
        <v>429</v>
      </c>
      <c r="E511" s="156" t="s">
        <v>24</v>
      </c>
      <c r="F511" s="165" t="s">
        <v>471</v>
      </c>
      <c r="G511" s="216">
        <v>40781.7</v>
      </c>
      <c r="H511" s="14"/>
      <c r="I511" s="14"/>
      <c r="J511" s="16">
        <f>SUM('ведомствен.2015'!G396)</f>
        <v>40781.7</v>
      </c>
    </row>
    <row r="512" spans="1:10" ht="13.5" customHeight="1">
      <c r="A512" s="371" t="s">
        <v>475</v>
      </c>
      <c r="B512" s="350"/>
      <c r="C512" s="106" t="s">
        <v>5</v>
      </c>
      <c r="D512" s="156" t="s">
        <v>429</v>
      </c>
      <c r="E512" s="156" t="s">
        <v>24</v>
      </c>
      <c r="F512" s="165" t="s">
        <v>117</v>
      </c>
      <c r="G512" s="216">
        <v>7756.9</v>
      </c>
      <c r="H512" s="14"/>
      <c r="I512" s="14"/>
      <c r="J512" s="16">
        <f>SUM('ведомствен.2015'!G397)</f>
        <v>7756.9</v>
      </c>
    </row>
    <row r="513" spans="1:10" ht="15" hidden="1">
      <c r="A513" s="371" t="s">
        <v>476</v>
      </c>
      <c r="B513" s="350"/>
      <c r="C513" s="106" t="s">
        <v>5</v>
      </c>
      <c r="D513" s="156" t="s">
        <v>429</v>
      </c>
      <c r="E513" s="156" t="s">
        <v>24</v>
      </c>
      <c r="F513" s="165" t="s">
        <v>166</v>
      </c>
      <c r="G513" s="216"/>
      <c r="H513" s="14">
        <f>SUM(H514)</f>
        <v>0</v>
      </c>
      <c r="I513" s="14">
        <f>SUM(H513/G519*100)</f>
        <v>0</v>
      </c>
      <c r="J513" s="16">
        <f>SUM('ведомствен.2015'!G398)</f>
        <v>0</v>
      </c>
    </row>
    <row r="514" spans="1:11" ht="15">
      <c r="A514" s="371" t="s">
        <v>25</v>
      </c>
      <c r="B514" s="350"/>
      <c r="C514" s="68" t="s">
        <v>5</v>
      </c>
      <c r="D514" s="107" t="s">
        <v>103</v>
      </c>
      <c r="E514" s="107"/>
      <c r="F514" s="165"/>
      <c r="G514" s="216">
        <f>SUM(G518+G551+G594)+G555+G578</f>
        <v>738253.7000000001</v>
      </c>
      <c r="H514" s="14"/>
      <c r="I514" s="14">
        <f>SUM(H514/G521*100)</f>
        <v>0</v>
      </c>
      <c r="J514"/>
      <c r="K514">
        <f>SUM(J519:J601)</f>
        <v>738253.7000000001</v>
      </c>
    </row>
    <row r="515" spans="1:10" ht="15" hidden="1">
      <c r="A515" s="371" t="s">
        <v>373</v>
      </c>
      <c r="B515" s="350"/>
      <c r="C515" s="68" t="s">
        <v>5</v>
      </c>
      <c r="D515" s="107" t="s">
        <v>103</v>
      </c>
      <c r="E515" s="107" t="s">
        <v>375</v>
      </c>
      <c r="F515" s="165"/>
      <c r="G515" s="216">
        <f>SUM(G517)</f>
        <v>0</v>
      </c>
      <c r="H515" s="14" t="e">
        <f>SUM(H516+H518+H521+#REF!+#REF!+H547+H552+H602+#REF!+#REF!+H642)+#REF!+#REF!+#REF!+#REF!+H541+H550+H597+#REF!+#REF!+#REF!+H544+#REF!+H535+H530</f>
        <v>#REF!</v>
      </c>
      <c r="I515" s="14" t="e">
        <f>SUM(H515/G528*100)</f>
        <v>#REF!</v>
      </c>
      <c r="J515"/>
    </row>
    <row r="516" spans="1:10" ht="15" hidden="1">
      <c r="A516" s="371" t="s">
        <v>355</v>
      </c>
      <c r="B516" s="350"/>
      <c r="C516" s="68" t="s">
        <v>5</v>
      </c>
      <c r="D516" s="107" t="s">
        <v>103</v>
      </c>
      <c r="E516" s="107" t="s">
        <v>356</v>
      </c>
      <c r="F516" s="165"/>
      <c r="G516" s="216">
        <f>SUM(G517)</f>
        <v>0</v>
      </c>
      <c r="H516" s="14">
        <f>SUM(H517:H517)</f>
        <v>0</v>
      </c>
      <c r="I516" s="14">
        <f>SUM(H516/G530*100)</f>
        <v>0</v>
      </c>
      <c r="J516"/>
    </row>
    <row r="517" spans="1:10" ht="15" hidden="1">
      <c r="A517" s="371" t="s">
        <v>275</v>
      </c>
      <c r="B517" s="215"/>
      <c r="C517" s="68" t="s">
        <v>5</v>
      </c>
      <c r="D517" s="107" t="s">
        <v>103</v>
      </c>
      <c r="E517" s="107" t="s">
        <v>356</v>
      </c>
      <c r="F517" s="166" t="s">
        <v>276</v>
      </c>
      <c r="G517" s="216"/>
      <c r="H517" s="14"/>
      <c r="I517" s="14">
        <f>SUM(H517/G531*100)</f>
        <v>0</v>
      </c>
      <c r="J517"/>
    </row>
    <row r="518" spans="1:9" s="16" customFormat="1" ht="15">
      <c r="A518" s="371" t="s">
        <v>26</v>
      </c>
      <c r="B518" s="350"/>
      <c r="C518" s="68" t="s">
        <v>5</v>
      </c>
      <c r="D518" s="107" t="s">
        <v>103</v>
      </c>
      <c r="E518" s="107" t="s">
        <v>27</v>
      </c>
      <c r="F518" s="165"/>
      <c r="G518" s="216">
        <f>SUM(G519+G528+G531+G534+G537+G522+G525)</f>
        <v>284427.2</v>
      </c>
      <c r="H518" s="14">
        <f>SUM(H519:H519)</f>
        <v>0</v>
      </c>
      <c r="I518" s="14">
        <f>SUM(H518/G533*100)</f>
        <v>0</v>
      </c>
    </row>
    <row r="519" spans="1:9" s="16" customFormat="1" ht="42.75">
      <c r="A519" s="371" t="s">
        <v>266</v>
      </c>
      <c r="B519" s="350"/>
      <c r="C519" s="106" t="s">
        <v>5</v>
      </c>
      <c r="D519" s="156" t="s">
        <v>103</v>
      </c>
      <c r="E519" s="156" t="s">
        <v>267</v>
      </c>
      <c r="F519" s="166"/>
      <c r="G519" s="216">
        <f>SUM(G520:G521)</f>
        <v>100501.3</v>
      </c>
      <c r="H519" s="14"/>
      <c r="I519" s="14" t="e">
        <f>SUM(H519/#REF!*100)</f>
        <v>#REF!</v>
      </c>
    </row>
    <row r="520" spans="1:10" s="16" customFormat="1" ht="15">
      <c r="A520" s="371" t="s">
        <v>475</v>
      </c>
      <c r="B520" s="350"/>
      <c r="C520" s="106" t="s">
        <v>5</v>
      </c>
      <c r="D520" s="156" t="s">
        <v>103</v>
      </c>
      <c r="E520" s="156" t="s">
        <v>267</v>
      </c>
      <c r="F520" s="166" t="s">
        <v>117</v>
      </c>
      <c r="G520" s="216">
        <v>1970.6</v>
      </c>
      <c r="H520" s="14"/>
      <c r="I520" s="14"/>
      <c r="J520" s="16">
        <f>SUM('ведомствен.2015'!G405)</f>
        <v>1970.6</v>
      </c>
    </row>
    <row r="521" spans="1:10" s="16" customFormat="1" ht="15">
      <c r="A521" s="371" t="s">
        <v>480</v>
      </c>
      <c r="B521" s="350"/>
      <c r="C521" s="106" t="s">
        <v>5</v>
      </c>
      <c r="D521" s="156" t="s">
        <v>103</v>
      </c>
      <c r="E521" s="156" t="s">
        <v>267</v>
      </c>
      <c r="F521" s="166" t="s">
        <v>481</v>
      </c>
      <c r="G521" s="216">
        <v>98530.7</v>
      </c>
      <c r="H521" s="14">
        <f>SUM(H528)</f>
        <v>0</v>
      </c>
      <c r="I521" s="14" t="e">
        <f>SUM(H521/#REF!*100)</f>
        <v>#REF!</v>
      </c>
      <c r="J521" s="16">
        <f>SUM('ведомствен.2015'!G406)</f>
        <v>98530.7</v>
      </c>
    </row>
    <row r="522" spans="1:9" s="16" customFormat="1" ht="42.75">
      <c r="A522" s="385" t="s">
        <v>640</v>
      </c>
      <c r="B522" s="365"/>
      <c r="C522" s="334" t="s">
        <v>5</v>
      </c>
      <c r="D522" s="335" t="s">
        <v>103</v>
      </c>
      <c r="E522" s="335" t="s">
        <v>641</v>
      </c>
      <c r="F522" s="336"/>
      <c r="G522" s="346">
        <f>G523+G524</f>
        <v>2047.3999999999999</v>
      </c>
      <c r="H522" s="14"/>
      <c r="I522" s="14"/>
    </row>
    <row r="523" spans="1:10" s="16" customFormat="1" ht="15">
      <c r="A523" s="385" t="s">
        <v>475</v>
      </c>
      <c r="B523" s="365"/>
      <c r="C523" s="334" t="s">
        <v>5</v>
      </c>
      <c r="D523" s="335" t="s">
        <v>103</v>
      </c>
      <c r="E523" s="335" t="s">
        <v>641</v>
      </c>
      <c r="F523" s="336" t="s">
        <v>117</v>
      </c>
      <c r="G523" s="346">
        <v>30.3</v>
      </c>
      <c r="H523" s="14"/>
      <c r="I523" s="14"/>
      <c r="J523" s="16">
        <f>SUM('ведомствен.2015'!G408)</f>
        <v>30.3</v>
      </c>
    </row>
    <row r="524" spans="1:10" s="16" customFormat="1" ht="15">
      <c r="A524" s="385" t="s">
        <v>480</v>
      </c>
      <c r="B524" s="365"/>
      <c r="C524" s="334" t="s">
        <v>5</v>
      </c>
      <c r="D524" s="335" t="s">
        <v>103</v>
      </c>
      <c r="E524" s="335" t="s">
        <v>641</v>
      </c>
      <c r="F524" s="336" t="s">
        <v>481</v>
      </c>
      <c r="G524" s="346">
        <v>2017.1</v>
      </c>
      <c r="H524" s="14"/>
      <c r="I524" s="14"/>
      <c r="J524" s="16">
        <f>SUM('ведомствен.2015'!G409)</f>
        <v>2017.1</v>
      </c>
    </row>
    <row r="525" spans="1:9" s="16" customFormat="1" ht="42.75">
      <c r="A525" s="385" t="s">
        <v>642</v>
      </c>
      <c r="B525" s="365"/>
      <c r="C525" s="334" t="s">
        <v>5</v>
      </c>
      <c r="D525" s="335" t="s">
        <v>103</v>
      </c>
      <c r="E525" s="335" t="s">
        <v>643</v>
      </c>
      <c r="F525" s="336"/>
      <c r="G525" s="346">
        <f>G526+G527</f>
        <v>11566.5</v>
      </c>
      <c r="H525" s="14"/>
      <c r="I525" s="14"/>
    </row>
    <row r="526" spans="1:10" s="16" customFormat="1" ht="15">
      <c r="A526" s="385" t="s">
        <v>475</v>
      </c>
      <c r="B526" s="365"/>
      <c r="C526" s="334" t="s">
        <v>5</v>
      </c>
      <c r="D526" s="335" t="s">
        <v>103</v>
      </c>
      <c r="E526" s="335" t="s">
        <v>643</v>
      </c>
      <c r="F526" s="336" t="s">
        <v>117</v>
      </c>
      <c r="G526" s="346">
        <v>170.9</v>
      </c>
      <c r="H526" s="14"/>
      <c r="I526" s="14"/>
      <c r="J526" s="16">
        <f>SUM('ведомствен.2015'!G411)</f>
        <v>170.9</v>
      </c>
    </row>
    <row r="527" spans="1:10" s="16" customFormat="1" ht="15">
      <c r="A527" s="385" t="s">
        <v>480</v>
      </c>
      <c r="B527" s="365"/>
      <c r="C527" s="334" t="s">
        <v>5</v>
      </c>
      <c r="D527" s="335" t="s">
        <v>103</v>
      </c>
      <c r="E527" s="335" t="s">
        <v>643</v>
      </c>
      <c r="F527" s="336" t="s">
        <v>481</v>
      </c>
      <c r="G527" s="346">
        <v>11395.6</v>
      </c>
      <c r="H527" s="14"/>
      <c r="I527" s="14"/>
      <c r="J527" s="16">
        <f>SUM('ведомствен.2015'!G412)</f>
        <v>11395.6</v>
      </c>
    </row>
    <row r="528" spans="1:9" s="16" customFormat="1" ht="28.5">
      <c r="A528" s="371" t="s">
        <v>265</v>
      </c>
      <c r="B528" s="350"/>
      <c r="C528" s="106" t="s">
        <v>5</v>
      </c>
      <c r="D528" s="156" t="s">
        <v>103</v>
      </c>
      <c r="E528" s="156" t="s">
        <v>545</v>
      </c>
      <c r="F528" s="166"/>
      <c r="G528" s="216">
        <f>SUM(G529:G530)</f>
        <v>159864</v>
      </c>
      <c r="H528" s="14"/>
      <c r="I528" s="14">
        <f>SUM(H528/G534*100)</f>
        <v>0</v>
      </c>
    </row>
    <row r="529" spans="1:10" s="16" customFormat="1" ht="15">
      <c r="A529" s="371" t="s">
        <v>475</v>
      </c>
      <c r="B529" s="350"/>
      <c r="C529" s="106" t="s">
        <v>5</v>
      </c>
      <c r="D529" s="156" t="s">
        <v>103</v>
      </c>
      <c r="E529" s="156" t="s">
        <v>545</v>
      </c>
      <c r="F529" s="166" t="s">
        <v>117</v>
      </c>
      <c r="G529" s="216">
        <v>2362.5</v>
      </c>
      <c r="H529" s="14"/>
      <c r="I529" s="14"/>
      <c r="J529" s="16">
        <f>SUM('ведомствен.2015'!G414)</f>
        <v>2362.5</v>
      </c>
    </row>
    <row r="530" spans="1:10" s="16" customFormat="1" ht="15">
      <c r="A530" s="371" t="s">
        <v>480</v>
      </c>
      <c r="B530" s="215"/>
      <c r="C530" s="106" t="s">
        <v>5</v>
      </c>
      <c r="D530" s="156" t="s">
        <v>103</v>
      </c>
      <c r="E530" s="156" t="s">
        <v>545</v>
      </c>
      <c r="F530" s="166" t="s">
        <v>481</v>
      </c>
      <c r="G530" s="216">
        <v>157501.5</v>
      </c>
      <c r="H530" s="14">
        <f>SUM(H531)</f>
        <v>361.8</v>
      </c>
      <c r="I530" s="14">
        <f>SUM(H530/G535*100)</f>
        <v>120.6</v>
      </c>
      <c r="J530" s="16">
        <f>SUM('ведомствен.2015'!G415)</f>
        <v>157501.5</v>
      </c>
    </row>
    <row r="531" spans="1:9" s="16" customFormat="1" ht="42.75">
      <c r="A531" s="372" t="s">
        <v>264</v>
      </c>
      <c r="B531" s="350"/>
      <c r="C531" s="106" t="s">
        <v>5</v>
      </c>
      <c r="D531" s="156" t="s">
        <v>103</v>
      </c>
      <c r="E531" s="156" t="s">
        <v>546</v>
      </c>
      <c r="F531" s="166"/>
      <c r="G531" s="216">
        <f>SUM(G532:G533)</f>
        <v>77.10000000000001</v>
      </c>
      <c r="H531" s="14">
        <v>361.8</v>
      </c>
      <c r="I531" s="14">
        <f>SUM(H531/G536*100)</f>
        <v>22.178630540060077</v>
      </c>
    </row>
    <row r="532" spans="1:10" s="16" customFormat="1" ht="15">
      <c r="A532" s="371" t="s">
        <v>475</v>
      </c>
      <c r="B532" s="350"/>
      <c r="C532" s="106" t="s">
        <v>5</v>
      </c>
      <c r="D532" s="156" t="s">
        <v>103</v>
      </c>
      <c r="E532" s="156" t="s">
        <v>546</v>
      </c>
      <c r="F532" s="166" t="s">
        <v>117</v>
      </c>
      <c r="G532" s="216">
        <v>1.2</v>
      </c>
      <c r="H532" s="14"/>
      <c r="I532" s="14"/>
      <c r="J532" s="16">
        <f>SUM('ведомствен.2015'!G417)</f>
        <v>1.2</v>
      </c>
    </row>
    <row r="533" spans="1:10" s="16" customFormat="1" ht="15">
      <c r="A533" s="371" t="s">
        <v>480</v>
      </c>
      <c r="B533" s="350"/>
      <c r="C533" s="106" t="s">
        <v>5</v>
      </c>
      <c r="D533" s="156" t="s">
        <v>103</v>
      </c>
      <c r="E533" s="156" t="s">
        <v>546</v>
      </c>
      <c r="F533" s="166" t="s">
        <v>481</v>
      </c>
      <c r="G533" s="216">
        <v>75.9</v>
      </c>
      <c r="H533" s="14"/>
      <c r="I533" s="14">
        <f>SUM(H533/G537*100)</f>
        <v>0</v>
      </c>
      <c r="J533" s="16">
        <f>SUM('ведомствен.2015'!G418)</f>
        <v>75.9</v>
      </c>
    </row>
    <row r="534" spans="1:10" s="16" customFormat="1" ht="15">
      <c r="A534" s="376" t="s">
        <v>205</v>
      </c>
      <c r="B534" s="354"/>
      <c r="C534" s="317" t="s">
        <v>5</v>
      </c>
      <c r="D534" s="318" t="s">
        <v>103</v>
      </c>
      <c r="E534" s="318" t="s">
        <v>549</v>
      </c>
      <c r="F534" s="319"/>
      <c r="G534" s="221">
        <f>G535+G536</f>
        <v>1931.3</v>
      </c>
      <c r="H534" s="14"/>
      <c r="I534" s="14"/>
      <c r="J534" s="39"/>
    </row>
    <row r="535" spans="1:10" s="16" customFormat="1" ht="15">
      <c r="A535" s="371" t="s">
        <v>475</v>
      </c>
      <c r="B535" s="354"/>
      <c r="C535" s="317" t="s">
        <v>5</v>
      </c>
      <c r="D535" s="318" t="s">
        <v>103</v>
      </c>
      <c r="E535" s="318" t="s">
        <v>549</v>
      </c>
      <c r="F535" s="319" t="s">
        <v>117</v>
      </c>
      <c r="G535" s="221">
        <v>300</v>
      </c>
      <c r="H535" s="14">
        <f>SUM(H536)</f>
        <v>542.8</v>
      </c>
      <c r="I535" s="14" t="e">
        <f>SUM(H535/#REF!*100)</f>
        <v>#REF!</v>
      </c>
      <c r="J535" s="16">
        <f>SUM('ведомствен.2015'!G423)</f>
        <v>300</v>
      </c>
    </row>
    <row r="536" spans="1:10" s="16" customFormat="1" ht="15">
      <c r="A536" s="376" t="s">
        <v>480</v>
      </c>
      <c r="B536" s="354"/>
      <c r="C536" s="317" t="s">
        <v>5</v>
      </c>
      <c r="D536" s="318" t="s">
        <v>103</v>
      </c>
      <c r="E536" s="318" t="s">
        <v>549</v>
      </c>
      <c r="F536" s="319" t="s">
        <v>481</v>
      </c>
      <c r="G536" s="221">
        <v>1631.3</v>
      </c>
      <c r="H536" s="14">
        <v>542.8</v>
      </c>
      <c r="I536" s="14" t="e">
        <f>SUM(H536/#REF!*100)</f>
        <v>#REF!</v>
      </c>
      <c r="J536" s="16">
        <f>SUM('ведомствен.2015'!G424)</f>
        <v>1631.3</v>
      </c>
    </row>
    <row r="537" spans="1:9" s="16" customFormat="1" ht="28.5">
      <c r="A537" s="376" t="s">
        <v>269</v>
      </c>
      <c r="B537" s="354"/>
      <c r="C537" s="317" t="s">
        <v>5</v>
      </c>
      <c r="D537" s="318" t="s">
        <v>103</v>
      </c>
      <c r="E537" s="318" t="s">
        <v>550</v>
      </c>
      <c r="F537" s="319"/>
      <c r="G537" s="221">
        <f>G538+G541+G544+G548</f>
        <v>8439.6</v>
      </c>
      <c r="H537" s="18"/>
      <c r="I537" s="14"/>
    </row>
    <row r="538" spans="1:10" s="16" customFormat="1" ht="57">
      <c r="A538" s="376" t="s">
        <v>453</v>
      </c>
      <c r="B538" s="354"/>
      <c r="C538" s="317" t="s">
        <v>5</v>
      </c>
      <c r="D538" s="318" t="s">
        <v>103</v>
      </c>
      <c r="E538" s="318" t="s">
        <v>553</v>
      </c>
      <c r="F538" s="319"/>
      <c r="G538" s="221">
        <f>SUM(G539:G540)</f>
        <v>6718.400000000001</v>
      </c>
      <c r="H538" s="14"/>
      <c r="I538" s="14"/>
      <c r="J538" s="39"/>
    </row>
    <row r="539" spans="1:10" s="16" customFormat="1" ht="15">
      <c r="A539" s="371" t="s">
        <v>475</v>
      </c>
      <c r="B539" s="354"/>
      <c r="C539" s="317" t="s">
        <v>5</v>
      </c>
      <c r="D539" s="318" t="s">
        <v>103</v>
      </c>
      <c r="E539" s="318" t="s">
        <v>553</v>
      </c>
      <c r="F539" s="319" t="s">
        <v>117</v>
      </c>
      <c r="G539" s="221">
        <v>244.1</v>
      </c>
      <c r="H539" s="14"/>
      <c r="I539" s="14"/>
      <c r="J539" s="39">
        <f>SUM('ведомствен.2015'!G427)</f>
        <v>244.1</v>
      </c>
    </row>
    <row r="540" spans="1:10" s="16" customFormat="1" ht="14.25" customHeight="1">
      <c r="A540" s="376" t="s">
        <v>480</v>
      </c>
      <c r="B540" s="354"/>
      <c r="C540" s="317" t="s">
        <v>5</v>
      </c>
      <c r="D540" s="318" t="s">
        <v>103</v>
      </c>
      <c r="E540" s="318" t="s">
        <v>553</v>
      </c>
      <c r="F540" s="319" t="s">
        <v>481</v>
      </c>
      <c r="G540" s="221">
        <v>6474.3</v>
      </c>
      <c r="H540" s="14">
        <v>4180.7</v>
      </c>
      <c r="I540" s="14" t="e">
        <f>SUM(H540/G548*100)</f>
        <v>#DIV/0!</v>
      </c>
      <c r="J540" s="16">
        <f>SUM('ведомствен.2015'!G428)</f>
        <v>6474.3</v>
      </c>
    </row>
    <row r="541" spans="1:9" s="16" customFormat="1" ht="28.5" hidden="1">
      <c r="A541" s="376" t="s">
        <v>454</v>
      </c>
      <c r="B541" s="354"/>
      <c r="C541" s="317" t="s">
        <v>5</v>
      </c>
      <c r="D541" s="318" t="s">
        <v>103</v>
      </c>
      <c r="E541" s="318" t="s">
        <v>554</v>
      </c>
      <c r="F541" s="319"/>
      <c r="G541" s="221">
        <f>SUM(G542:G543)</f>
        <v>0</v>
      </c>
      <c r="H541" s="14">
        <f>SUM(H543)</f>
        <v>0</v>
      </c>
      <c r="I541" s="14" t="e">
        <f>SUM(H541/G550*100)</f>
        <v>#DIV/0!</v>
      </c>
    </row>
    <row r="542" spans="1:10" s="16" customFormat="1" ht="15" hidden="1">
      <c r="A542" s="371" t="s">
        <v>475</v>
      </c>
      <c r="B542" s="354"/>
      <c r="C542" s="317" t="s">
        <v>5</v>
      </c>
      <c r="D542" s="318" t="s">
        <v>103</v>
      </c>
      <c r="E542" s="318" t="s">
        <v>554</v>
      </c>
      <c r="F542" s="319" t="s">
        <v>117</v>
      </c>
      <c r="G542" s="221"/>
      <c r="H542" s="14"/>
      <c r="I542" s="14"/>
      <c r="J542" s="16">
        <f>SUM('ведомствен.2015'!G430)</f>
        <v>0</v>
      </c>
    </row>
    <row r="543" spans="1:10" s="16" customFormat="1" ht="15" hidden="1">
      <c r="A543" s="376" t="s">
        <v>480</v>
      </c>
      <c r="B543" s="354"/>
      <c r="C543" s="317" t="s">
        <v>5</v>
      </c>
      <c r="D543" s="318" t="s">
        <v>103</v>
      </c>
      <c r="E543" s="318" t="s">
        <v>554</v>
      </c>
      <c r="F543" s="319" t="s">
        <v>481</v>
      </c>
      <c r="G543" s="221"/>
      <c r="H543" s="14"/>
      <c r="I543" s="14">
        <f>SUM(H543/G551*100)</f>
        <v>0</v>
      </c>
      <c r="J543" s="16">
        <f>SUM('ведомствен.2015'!G431)</f>
        <v>0</v>
      </c>
    </row>
    <row r="544" spans="1:9" s="25" customFormat="1" ht="42.75">
      <c r="A544" s="381" t="s">
        <v>455</v>
      </c>
      <c r="B544" s="354"/>
      <c r="C544" s="317" t="s">
        <v>5</v>
      </c>
      <c r="D544" s="318" t="s">
        <v>103</v>
      </c>
      <c r="E544" s="318" t="s">
        <v>555</v>
      </c>
      <c r="F544" s="319"/>
      <c r="G544" s="221">
        <f>SUM(G545:G547)</f>
        <v>1721.2</v>
      </c>
      <c r="H544" s="14">
        <f>SUM(H546)</f>
        <v>0</v>
      </c>
      <c r="I544" s="14">
        <f>SUM(H544/G552*100)</f>
        <v>0</v>
      </c>
    </row>
    <row r="545" spans="1:10" s="25" customFormat="1" ht="15">
      <c r="A545" s="371" t="s">
        <v>475</v>
      </c>
      <c r="B545" s="354"/>
      <c r="C545" s="317" t="s">
        <v>5</v>
      </c>
      <c r="D545" s="318" t="s">
        <v>103</v>
      </c>
      <c r="E545" s="318" t="s">
        <v>555</v>
      </c>
      <c r="F545" s="319" t="s">
        <v>117</v>
      </c>
      <c r="G545" s="221">
        <v>28.8</v>
      </c>
      <c r="H545" s="14"/>
      <c r="I545" s="14"/>
      <c r="J545" s="25">
        <f>SUM('ведомствен.2015'!G433)</f>
        <v>28.8</v>
      </c>
    </row>
    <row r="546" spans="1:10" s="25" customFormat="1" ht="15">
      <c r="A546" s="376" t="s">
        <v>480</v>
      </c>
      <c r="B546" s="354"/>
      <c r="C546" s="317" t="s">
        <v>5</v>
      </c>
      <c r="D546" s="318" t="s">
        <v>103</v>
      </c>
      <c r="E546" s="318" t="s">
        <v>555</v>
      </c>
      <c r="F546" s="319" t="s">
        <v>481</v>
      </c>
      <c r="G546" s="221">
        <v>1692.4</v>
      </c>
      <c r="H546" s="14"/>
      <c r="I546" s="14">
        <f>SUM(H546/G554*100)</f>
        <v>0</v>
      </c>
      <c r="J546" s="16">
        <f>SUM('ведомствен.2015'!G434)</f>
        <v>1692.4</v>
      </c>
    </row>
    <row r="547" spans="1:10" s="16" customFormat="1" ht="42" customHeight="1" hidden="1">
      <c r="A547" s="376" t="s">
        <v>556</v>
      </c>
      <c r="B547" s="354"/>
      <c r="C547" s="317" t="s">
        <v>5</v>
      </c>
      <c r="D547" s="318" t="s">
        <v>103</v>
      </c>
      <c r="E547" s="318" t="s">
        <v>555</v>
      </c>
      <c r="F547" s="319" t="s">
        <v>487</v>
      </c>
      <c r="G547" s="221"/>
      <c r="H547" s="14">
        <f>SUM(H548)</f>
        <v>16724.6</v>
      </c>
      <c r="I547" s="14">
        <f>SUM(H547/G594*100)</f>
        <v>1393.7166666666667</v>
      </c>
      <c r="J547" s="16">
        <f>SUM('ведомствен.2015'!G435)</f>
        <v>0</v>
      </c>
    </row>
    <row r="548" spans="1:10" s="16" customFormat="1" ht="42.75" hidden="1">
      <c r="A548" s="376" t="s">
        <v>456</v>
      </c>
      <c r="B548" s="354"/>
      <c r="C548" s="317" t="s">
        <v>5</v>
      </c>
      <c r="D548" s="318" t="s">
        <v>103</v>
      </c>
      <c r="E548" s="318" t="s">
        <v>557</v>
      </c>
      <c r="F548" s="319"/>
      <c r="G548" s="221">
        <f>SUM(G549:G550)</f>
        <v>0</v>
      </c>
      <c r="H548" s="14">
        <v>16724.6</v>
      </c>
      <c r="I548" s="14">
        <f>SUM(H548/G597*100)</f>
        <v>16724.6</v>
      </c>
      <c r="J548" s="39"/>
    </row>
    <row r="549" spans="1:10" s="16" customFormat="1" ht="15" hidden="1">
      <c r="A549" s="371" t="s">
        <v>475</v>
      </c>
      <c r="B549" s="354"/>
      <c r="C549" s="317" t="s">
        <v>5</v>
      </c>
      <c r="D549" s="318" t="s">
        <v>103</v>
      </c>
      <c r="E549" s="318" t="s">
        <v>557</v>
      </c>
      <c r="F549" s="319" t="s">
        <v>117</v>
      </c>
      <c r="G549" s="221"/>
      <c r="H549" s="14"/>
      <c r="I549" s="14"/>
      <c r="J549" s="39">
        <f>SUM('ведомствен.2015'!G437)</f>
        <v>0</v>
      </c>
    </row>
    <row r="550" spans="1:10" s="16" customFormat="1" ht="15" hidden="1">
      <c r="A550" s="376" t="s">
        <v>480</v>
      </c>
      <c r="B550" s="354"/>
      <c r="C550" s="317" t="s">
        <v>5</v>
      </c>
      <c r="D550" s="318" t="s">
        <v>103</v>
      </c>
      <c r="E550" s="318" t="s">
        <v>557</v>
      </c>
      <c r="F550" s="319" t="s">
        <v>481</v>
      </c>
      <c r="G550" s="221"/>
      <c r="H550" s="14">
        <f>SUM(H551)</f>
        <v>4118.3</v>
      </c>
      <c r="I550" s="14">
        <f>SUM(H550/G598*100)</f>
        <v>4118.3</v>
      </c>
      <c r="J550" s="16">
        <f>SUM('ведомствен.2015'!G438)</f>
        <v>0</v>
      </c>
    </row>
    <row r="551" spans="1:10" s="16" customFormat="1" ht="28.5">
      <c r="A551" s="376" t="s">
        <v>169</v>
      </c>
      <c r="B551" s="354"/>
      <c r="C551" s="317" t="s">
        <v>5</v>
      </c>
      <c r="D551" s="318" t="s">
        <v>103</v>
      </c>
      <c r="E551" s="318" t="s">
        <v>170</v>
      </c>
      <c r="F551" s="319"/>
      <c r="G551" s="221">
        <f>SUM(G552)</f>
        <v>538</v>
      </c>
      <c r="H551" s="14">
        <v>4118.3</v>
      </c>
      <c r="I551" s="14">
        <f>SUM(H551/G602*100)</f>
        <v>4.14617890697047</v>
      </c>
      <c r="J551" s="39"/>
    </row>
    <row r="552" spans="1:9" s="16" customFormat="1" ht="15">
      <c r="A552" s="376" t="s">
        <v>171</v>
      </c>
      <c r="B552" s="354"/>
      <c r="C552" s="317" t="s">
        <v>5</v>
      </c>
      <c r="D552" s="318" t="s">
        <v>103</v>
      </c>
      <c r="E552" s="318" t="s">
        <v>172</v>
      </c>
      <c r="F552" s="319"/>
      <c r="G552" s="221">
        <f>SUM(G553:G554)</f>
        <v>538</v>
      </c>
      <c r="H552" s="14">
        <f>SUM(H554)</f>
        <v>5628.5</v>
      </c>
      <c r="I552" s="14" t="e">
        <f>SUM(H552/#REF!*100)</f>
        <v>#REF!</v>
      </c>
    </row>
    <row r="553" spans="1:10" s="16" customFormat="1" ht="15">
      <c r="A553" s="371" t="s">
        <v>475</v>
      </c>
      <c r="B553" s="354"/>
      <c r="C553" s="317" t="s">
        <v>5</v>
      </c>
      <c r="D553" s="318" t="s">
        <v>103</v>
      </c>
      <c r="E553" s="318" t="s">
        <v>172</v>
      </c>
      <c r="F553" s="319" t="s">
        <v>117</v>
      </c>
      <c r="G553" s="221">
        <v>456</v>
      </c>
      <c r="H553" s="14"/>
      <c r="I553" s="14"/>
      <c r="J553" s="16">
        <f>SUM('ведомствен.2015'!G441)</f>
        <v>496</v>
      </c>
    </row>
    <row r="554" spans="1:10" s="16" customFormat="1" ht="15">
      <c r="A554" s="376" t="s">
        <v>480</v>
      </c>
      <c r="B554" s="354"/>
      <c r="C554" s="317" t="s">
        <v>5</v>
      </c>
      <c r="D554" s="318" t="s">
        <v>103</v>
      </c>
      <c r="E554" s="318" t="s">
        <v>172</v>
      </c>
      <c r="F554" s="319" t="s">
        <v>481</v>
      </c>
      <c r="G554" s="221">
        <v>82</v>
      </c>
      <c r="H554" s="14">
        <f>SUM(H594)</f>
        <v>5628.5</v>
      </c>
      <c r="I554" s="14" t="e">
        <f>SUM(H554/#REF!*100)</f>
        <v>#REF!</v>
      </c>
      <c r="J554" s="16">
        <f>SUM('ведомствен.2015'!G442)</f>
        <v>42</v>
      </c>
    </row>
    <row r="555" spans="1:9" s="16" customFormat="1" ht="42.75">
      <c r="A555" s="385" t="s">
        <v>644</v>
      </c>
      <c r="B555" s="365"/>
      <c r="C555" s="334" t="s">
        <v>5</v>
      </c>
      <c r="D555" s="335" t="s">
        <v>103</v>
      </c>
      <c r="E555" s="335" t="s">
        <v>645</v>
      </c>
      <c r="F555" s="336"/>
      <c r="G555" s="346">
        <f>G556</f>
        <v>317097.60000000003</v>
      </c>
      <c r="H555" s="14"/>
      <c r="I555" s="14"/>
    </row>
    <row r="556" spans="1:9" s="16" customFormat="1" ht="114">
      <c r="A556" s="385" t="s">
        <v>646</v>
      </c>
      <c r="B556" s="365"/>
      <c r="C556" s="334" t="s">
        <v>5</v>
      </c>
      <c r="D556" s="335" t="s">
        <v>103</v>
      </c>
      <c r="E556" s="335" t="s">
        <v>647</v>
      </c>
      <c r="F556" s="336"/>
      <c r="G556" s="346">
        <f>G557+G560+G563+G566+G569+G572+G575</f>
        <v>317097.60000000003</v>
      </c>
      <c r="H556" s="14"/>
      <c r="I556" s="14"/>
    </row>
    <row r="557" spans="1:9" s="16" customFormat="1" ht="71.25">
      <c r="A557" s="386" t="s">
        <v>448</v>
      </c>
      <c r="B557" s="365"/>
      <c r="C557" s="334" t="s">
        <v>5</v>
      </c>
      <c r="D557" s="335" t="s">
        <v>103</v>
      </c>
      <c r="E557" s="335" t="s">
        <v>648</v>
      </c>
      <c r="F557" s="336"/>
      <c r="G557" s="346">
        <f>G558+G559</f>
        <v>51210.700000000004</v>
      </c>
      <c r="H557" s="14"/>
      <c r="I557" s="14"/>
    </row>
    <row r="558" spans="1:10" s="16" customFormat="1" ht="15">
      <c r="A558" s="385" t="s">
        <v>475</v>
      </c>
      <c r="B558" s="365"/>
      <c r="C558" s="334" t="s">
        <v>5</v>
      </c>
      <c r="D558" s="335" t="s">
        <v>103</v>
      </c>
      <c r="E558" s="335" t="s">
        <v>648</v>
      </c>
      <c r="F558" s="336" t="s">
        <v>117</v>
      </c>
      <c r="G558" s="346">
        <v>756.8</v>
      </c>
      <c r="H558" s="14"/>
      <c r="I558" s="14"/>
      <c r="J558" s="16">
        <f>SUM('ведомствен.2015'!G446)</f>
        <v>756.8</v>
      </c>
    </row>
    <row r="559" spans="1:10" s="16" customFormat="1" ht="15">
      <c r="A559" s="385" t="s">
        <v>480</v>
      </c>
      <c r="B559" s="365"/>
      <c r="C559" s="334" t="s">
        <v>5</v>
      </c>
      <c r="D559" s="335" t="s">
        <v>103</v>
      </c>
      <c r="E559" s="335" t="s">
        <v>648</v>
      </c>
      <c r="F559" s="336" t="s">
        <v>481</v>
      </c>
      <c r="G559" s="346">
        <v>50453.9</v>
      </c>
      <c r="H559" s="14"/>
      <c r="I559" s="14"/>
      <c r="J559" s="16">
        <f>SUM('ведомствен.2015'!G447)</f>
        <v>50453.9</v>
      </c>
    </row>
    <row r="560" spans="1:9" s="16" customFormat="1" ht="85.5">
      <c r="A560" s="386" t="s">
        <v>551</v>
      </c>
      <c r="B560" s="365"/>
      <c r="C560" s="334" t="s">
        <v>5</v>
      </c>
      <c r="D560" s="335" t="s">
        <v>103</v>
      </c>
      <c r="E560" s="335" t="s">
        <v>649</v>
      </c>
      <c r="F560" s="336"/>
      <c r="G560" s="346">
        <f>G561+G562</f>
        <v>139270.69999999998</v>
      </c>
      <c r="H560" s="14"/>
      <c r="I560" s="14"/>
    </row>
    <row r="561" spans="1:10" s="16" customFormat="1" ht="15">
      <c r="A561" s="385" t="s">
        <v>475</v>
      </c>
      <c r="B561" s="365"/>
      <c r="C561" s="334" t="s">
        <v>5</v>
      </c>
      <c r="D561" s="335" t="s">
        <v>103</v>
      </c>
      <c r="E561" s="335" t="s">
        <v>649</v>
      </c>
      <c r="F561" s="336" t="s">
        <v>117</v>
      </c>
      <c r="G561" s="346">
        <v>5059.8</v>
      </c>
      <c r="H561" s="14"/>
      <c r="I561" s="14"/>
      <c r="J561" s="16">
        <f>SUM('ведомствен.2015'!G449)</f>
        <v>5059.8</v>
      </c>
    </row>
    <row r="562" spans="1:10" s="16" customFormat="1" ht="15">
      <c r="A562" s="385" t="s">
        <v>480</v>
      </c>
      <c r="B562" s="365"/>
      <c r="C562" s="334" t="s">
        <v>5</v>
      </c>
      <c r="D562" s="335" t="s">
        <v>103</v>
      </c>
      <c r="E562" s="335" t="s">
        <v>649</v>
      </c>
      <c r="F562" s="336" t="s">
        <v>481</v>
      </c>
      <c r="G562" s="346">
        <v>134210.9</v>
      </c>
      <c r="H562" s="14"/>
      <c r="I562" s="14"/>
      <c r="J562" s="16">
        <f>SUM('ведомствен.2015'!G450)</f>
        <v>134210.9</v>
      </c>
    </row>
    <row r="563" spans="1:9" s="16" customFormat="1" ht="85.5">
      <c r="A563" s="381" t="s">
        <v>449</v>
      </c>
      <c r="B563" s="365"/>
      <c r="C563" s="334" t="s">
        <v>5</v>
      </c>
      <c r="D563" s="335" t="s">
        <v>103</v>
      </c>
      <c r="E563" s="335" t="s">
        <v>650</v>
      </c>
      <c r="F563" s="336"/>
      <c r="G563" s="346">
        <f>SUM(G564)+G565</f>
        <v>1521.7</v>
      </c>
      <c r="H563" s="14"/>
      <c r="I563" s="14"/>
    </row>
    <row r="564" spans="1:10" s="16" customFormat="1" ht="15">
      <c r="A564" s="385" t="s">
        <v>475</v>
      </c>
      <c r="B564" s="365"/>
      <c r="C564" s="334" t="s">
        <v>5</v>
      </c>
      <c r="D564" s="335" t="s">
        <v>103</v>
      </c>
      <c r="E564" s="335" t="s">
        <v>650</v>
      </c>
      <c r="F564" s="336" t="s">
        <v>117</v>
      </c>
      <c r="G564" s="346">
        <v>22.5</v>
      </c>
      <c r="H564" s="14"/>
      <c r="I564" s="14"/>
      <c r="J564" s="16">
        <f>SUM('ведомствен.2015'!G452)</f>
        <v>22.5</v>
      </c>
    </row>
    <row r="565" spans="1:10" s="16" customFormat="1" ht="15">
      <c r="A565" s="385" t="s">
        <v>480</v>
      </c>
      <c r="B565" s="365"/>
      <c r="C565" s="334" t="s">
        <v>5</v>
      </c>
      <c r="D565" s="335" t="s">
        <v>103</v>
      </c>
      <c r="E565" s="335" t="s">
        <v>650</v>
      </c>
      <c r="F565" s="336" t="s">
        <v>481</v>
      </c>
      <c r="G565" s="346">
        <v>1499.2</v>
      </c>
      <c r="H565" s="14"/>
      <c r="I565" s="14"/>
      <c r="J565" s="16">
        <f>SUM('ведомствен.2015'!G453)</f>
        <v>1499.2</v>
      </c>
    </row>
    <row r="566" spans="1:9" s="16" customFormat="1" ht="99.75">
      <c r="A566" s="381" t="s">
        <v>450</v>
      </c>
      <c r="B566" s="365"/>
      <c r="C566" s="334" t="s">
        <v>5</v>
      </c>
      <c r="D566" s="335" t="s">
        <v>103</v>
      </c>
      <c r="E566" s="335" t="s">
        <v>651</v>
      </c>
      <c r="F566" s="336"/>
      <c r="G566" s="346">
        <f>G567+G568</f>
        <v>6956</v>
      </c>
      <c r="H566" s="14"/>
      <c r="I566" s="14"/>
    </row>
    <row r="567" spans="1:10" s="16" customFormat="1" ht="15">
      <c r="A567" s="385" t="s">
        <v>475</v>
      </c>
      <c r="B567" s="365"/>
      <c r="C567" s="334" t="s">
        <v>5</v>
      </c>
      <c r="D567" s="335" t="s">
        <v>103</v>
      </c>
      <c r="E567" s="335" t="s">
        <v>651</v>
      </c>
      <c r="F567" s="336" t="s">
        <v>117</v>
      </c>
      <c r="G567" s="346">
        <v>252.7</v>
      </c>
      <c r="H567" s="14"/>
      <c r="I567" s="14"/>
      <c r="J567" s="16">
        <f>SUM('ведомствен.2015'!G455)</f>
        <v>252.7</v>
      </c>
    </row>
    <row r="568" spans="1:10" s="16" customFormat="1" ht="15">
      <c r="A568" s="385" t="s">
        <v>480</v>
      </c>
      <c r="B568" s="365"/>
      <c r="C568" s="334" t="s">
        <v>5</v>
      </c>
      <c r="D568" s="335" t="s">
        <v>103</v>
      </c>
      <c r="E568" s="335" t="s">
        <v>651</v>
      </c>
      <c r="F568" s="336" t="s">
        <v>481</v>
      </c>
      <c r="G568" s="346">
        <v>6703.3</v>
      </c>
      <c r="H568" s="14"/>
      <c r="I568" s="14"/>
      <c r="J568" s="16">
        <f>SUM('ведомствен.2015'!G456)</f>
        <v>6703.3</v>
      </c>
    </row>
    <row r="569" spans="1:9" s="16" customFormat="1" ht="57">
      <c r="A569" s="385" t="s">
        <v>451</v>
      </c>
      <c r="B569" s="365"/>
      <c r="C569" s="334" t="s">
        <v>5</v>
      </c>
      <c r="D569" s="335" t="s">
        <v>103</v>
      </c>
      <c r="E569" s="335" t="s">
        <v>652</v>
      </c>
      <c r="F569" s="336"/>
      <c r="G569" s="346">
        <f>SUM(G571)+G570</f>
        <v>117203.1</v>
      </c>
      <c r="H569" s="14"/>
      <c r="I569" s="14"/>
    </row>
    <row r="570" spans="1:10" s="16" customFormat="1" ht="15">
      <c r="A570" s="385" t="s">
        <v>475</v>
      </c>
      <c r="B570" s="365"/>
      <c r="C570" s="334" t="s">
        <v>5</v>
      </c>
      <c r="D570" s="335" t="s">
        <v>103</v>
      </c>
      <c r="E570" s="335" t="s">
        <v>652</v>
      </c>
      <c r="F570" s="336" t="s">
        <v>117</v>
      </c>
      <c r="G570" s="346">
        <v>1732.1</v>
      </c>
      <c r="H570" s="14"/>
      <c r="I570" s="14"/>
      <c r="J570" s="16">
        <f>SUM('ведомствен.2015'!G458)</f>
        <v>1732.1</v>
      </c>
    </row>
    <row r="571" spans="1:10" s="16" customFormat="1" ht="15">
      <c r="A571" s="385" t="s">
        <v>480</v>
      </c>
      <c r="B571" s="365"/>
      <c r="C571" s="334" t="s">
        <v>5</v>
      </c>
      <c r="D571" s="335" t="s">
        <v>103</v>
      </c>
      <c r="E571" s="335" t="s">
        <v>652</v>
      </c>
      <c r="F571" s="336" t="s">
        <v>481</v>
      </c>
      <c r="G571" s="346">
        <v>115471</v>
      </c>
      <c r="H571" s="14"/>
      <c r="I571" s="14"/>
      <c r="J571" s="16">
        <f>SUM('ведомствен.2015'!G459)</f>
        <v>115471</v>
      </c>
    </row>
    <row r="572" spans="1:9" s="16" customFormat="1" ht="85.5">
      <c r="A572" s="385" t="s">
        <v>452</v>
      </c>
      <c r="B572" s="365"/>
      <c r="C572" s="334" t="s">
        <v>5</v>
      </c>
      <c r="D572" s="335" t="s">
        <v>103</v>
      </c>
      <c r="E572" s="335" t="s">
        <v>653</v>
      </c>
      <c r="F572" s="336"/>
      <c r="G572" s="346">
        <f>G574+G573</f>
        <v>774.2</v>
      </c>
      <c r="H572" s="14"/>
      <c r="I572" s="14"/>
    </row>
    <row r="573" spans="1:10" s="16" customFormat="1" ht="15">
      <c r="A573" s="385" t="s">
        <v>475</v>
      </c>
      <c r="B573" s="365"/>
      <c r="C573" s="334" t="s">
        <v>5</v>
      </c>
      <c r="D573" s="335" t="s">
        <v>103</v>
      </c>
      <c r="E573" s="335" t="s">
        <v>653</v>
      </c>
      <c r="F573" s="336" t="s">
        <v>117</v>
      </c>
      <c r="G573" s="346">
        <v>28.1</v>
      </c>
      <c r="H573" s="14"/>
      <c r="I573" s="14"/>
      <c r="J573" s="16">
        <f>SUM('ведомствен.2015'!G461)</f>
        <v>28.1</v>
      </c>
    </row>
    <row r="574" spans="1:10" s="16" customFormat="1" ht="15">
      <c r="A574" s="385" t="s">
        <v>480</v>
      </c>
      <c r="B574" s="365"/>
      <c r="C574" s="334" t="s">
        <v>5</v>
      </c>
      <c r="D574" s="335" t="s">
        <v>103</v>
      </c>
      <c r="E574" s="335" t="s">
        <v>653</v>
      </c>
      <c r="F574" s="336" t="s">
        <v>481</v>
      </c>
      <c r="G574" s="346">
        <v>746.1</v>
      </c>
      <c r="H574" s="14"/>
      <c r="I574" s="14"/>
      <c r="J574" s="16">
        <f>SUM('ведомствен.2015'!G462)</f>
        <v>746.1</v>
      </c>
    </row>
    <row r="575" spans="1:9" s="16" customFormat="1" ht="71.25">
      <c r="A575" s="385" t="s">
        <v>552</v>
      </c>
      <c r="B575" s="365"/>
      <c r="C575" s="334" t="s">
        <v>5</v>
      </c>
      <c r="D575" s="335" t="s">
        <v>103</v>
      </c>
      <c r="E575" s="335" t="s">
        <v>654</v>
      </c>
      <c r="F575" s="336"/>
      <c r="G575" s="346">
        <f>SUM(G577)+G576</f>
        <v>161.20000000000002</v>
      </c>
      <c r="H575" s="14"/>
      <c r="I575" s="14"/>
    </row>
    <row r="576" spans="1:10" s="16" customFormat="1" ht="15">
      <c r="A576" s="385" t="s">
        <v>475</v>
      </c>
      <c r="B576" s="365"/>
      <c r="C576" s="334" t="s">
        <v>5</v>
      </c>
      <c r="D576" s="335" t="s">
        <v>103</v>
      </c>
      <c r="E576" s="335" t="s">
        <v>654</v>
      </c>
      <c r="F576" s="336" t="s">
        <v>117</v>
      </c>
      <c r="G576" s="346">
        <v>2.4</v>
      </c>
      <c r="H576" s="14"/>
      <c r="I576" s="14"/>
      <c r="J576" s="16">
        <f>SUM('ведомствен.2015'!G464)</f>
        <v>2.4</v>
      </c>
    </row>
    <row r="577" spans="1:10" s="16" customFormat="1" ht="15">
      <c r="A577" s="385" t="s">
        <v>480</v>
      </c>
      <c r="B577" s="365"/>
      <c r="C577" s="334" t="s">
        <v>5</v>
      </c>
      <c r="D577" s="335" t="s">
        <v>103</v>
      </c>
      <c r="E577" s="335" t="s">
        <v>654</v>
      </c>
      <c r="F577" s="336" t="s">
        <v>481</v>
      </c>
      <c r="G577" s="346">
        <v>158.8</v>
      </c>
      <c r="H577" s="14"/>
      <c r="I577" s="14"/>
      <c r="J577" s="16">
        <f>SUM('ведомствен.2015'!G465)</f>
        <v>158.8</v>
      </c>
    </row>
    <row r="578" spans="1:9" s="16" customFormat="1" ht="28.5">
      <c r="A578" s="385" t="s">
        <v>655</v>
      </c>
      <c r="B578" s="365"/>
      <c r="C578" s="334" t="s">
        <v>5</v>
      </c>
      <c r="D578" s="335" t="s">
        <v>103</v>
      </c>
      <c r="E578" s="335" t="s">
        <v>636</v>
      </c>
      <c r="F578" s="336"/>
      <c r="G578" s="346">
        <f>G579+G592</f>
        <v>134990.9</v>
      </c>
      <c r="H578" s="14"/>
      <c r="I578" s="14"/>
    </row>
    <row r="579" spans="1:9" s="16" customFormat="1" ht="99.75">
      <c r="A579" s="385" t="s">
        <v>656</v>
      </c>
      <c r="B579" s="365"/>
      <c r="C579" s="334" t="s">
        <v>5</v>
      </c>
      <c r="D579" s="335" t="s">
        <v>103</v>
      </c>
      <c r="E579" s="335" t="s">
        <v>657</v>
      </c>
      <c r="F579" s="336"/>
      <c r="G579" s="346">
        <f>G580+G583+G586+G589</f>
        <v>52800.59999999999</v>
      </c>
      <c r="H579" s="14"/>
      <c r="I579" s="14"/>
    </row>
    <row r="580" spans="1:9" s="16" customFormat="1" ht="57">
      <c r="A580" s="385" t="s">
        <v>446</v>
      </c>
      <c r="B580" s="365"/>
      <c r="C580" s="334" t="s">
        <v>5</v>
      </c>
      <c r="D580" s="335" t="s">
        <v>103</v>
      </c>
      <c r="E580" s="335" t="s">
        <v>658</v>
      </c>
      <c r="F580" s="336"/>
      <c r="G580" s="346">
        <f>G581+G582</f>
        <v>1000.1999999999999</v>
      </c>
      <c r="H580" s="14"/>
      <c r="I580" s="14"/>
    </row>
    <row r="581" spans="1:10" s="16" customFormat="1" ht="15">
      <c r="A581" s="385" t="s">
        <v>475</v>
      </c>
      <c r="B581" s="365"/>
      <c r="C581" s="334" t="s">
        <v>5</v>
      </c>
      <c r="D581" s="335" t="s">
        <v>103</v>
      </c>
      <c r="E581" s="335" t="s">
        <v>658</v>
      </c>
      <c r="F581" s="336" t="s">
        <v>117</v>
      </c>
      <c r="G581" s="346">
        <v>14.8</v>
      </c>
      <c r="H581" s="14"/>
      <c r="I581" s="14"/>
      <c r="J581" s="16">
        <f>SUM('ведомствен.2015'!G469)</f>
        <v>14.8</v>
      </c>
    </row>
    <row r="582" spans="1:10" s="16" customFormat="1" ht="15">
      <c r="A582" s="385" t="s">
        <v>480</v>
      </c>
      <c r="B582" s="365"/>
      <c r="C582" s="334" t="s">
        <v>5</v>
      </c>
      <c r="D582" s="335" t="s">
        <v>103</v>
      </c>
      <c r="E582" s="335" t="s">
        <v>658</v>
      </c>
      <c r="F582" s="336" t="s">
        <v>481</v>
      </c>
      <c r="G582" s="346">
        <v>985.4</v>
      </c>
      <c r="H582" s="14"/>
      <c r="I582" s="14"/>
      <c r="J582" s="16">
        <f>SUM('ведомствен.2015'!G470)</f>
        <v>985.4</v>
      </c>
    </row>
    <row r="583" spans="1:9" s="16" customFormat="1" ht="28.5">
      <c r="A583" s="381" t="s">
        <v>447</v>
      </c>
      <c r="B583" s="365"/>
      <c r="C583" s="334" t="s">
        <v>5</v>
      </c>
      <c r="D583" s="335" t="s">
        <v>103</v>
      </c>
      <c r="E583" s="335" t="s">
        <v>659</v>
      </c>
      <c r="F583" s="336"/>
      <c r="G583" s="346">
        <f>SUM(G584)+G585</f>
        <v>41789.1</v>
      </c>
      <c r="H583" s="14"/>
      <c r="I583" s="14"/>
    </row>
    <row r="584" spans="1:10" s="16" customFormat="1" ht="15">
      <c r="A584" s="385" t="s">
        <v>475</v>
      </c>
      <c r="B584" s="365"/>
      <c r="C584" s="334" t="s">
        <v>5</v>
      </c>
      <c r="D584" s="335" t="s">
        <v>103</v>
      </c>
      <c r="E584" s="335" t="s">
        <v>659</v>
      </c>
      <c r="F584" s="336" t="s">
        <v>117</v>
      </c>
      <c r="G584" s="346">
        <v>617.6</v>
      </c>
      <c r="H584" s="14"/>
      <c r="I584" s="14"/>
      <c r="J584" s="16">
        <f>SUM('ведомствен.2015'!G472)</f>
        <v>617.6</v>
      </c>
    </row>
    <row r="585" spans="1:10" s="16" customFormat="1" ht="15">
      <c r="A585" s="385" t="s">
        <v>480</v>
      </c>
      <c r="B585" s="365"/>
      <c r="C585" s="334" t="s">
        <v>5</v>
      </c>
      <c r="D585" s="335" t="s">
        <v>103</v>
      </c>
      <c r="E585" s="335" t="s">
        <v>659</v>
      </c>
      <c r="F585" s="336" t="s">
        <v>481</v>
      </c>
      <c r="G585" s="346">
        <v>41171.5</v>
      </c>
      <c r="H585" s="14"/>
      <c r="I585" s="14"/>
      <c r="J585" s="16">
        <f>SUM('ведомствен.2015'!G473)</f>
        <v>41171.5</v>
      </c>
    </row>
    <row r="586" spans="1:9" s="16" customFormat="1" ht="28.5">
      <c r="A586" s="385" t="s">
        <v>454</v>
      </c>
      <c r="B586" s="365"/>
      <c r="C586" s="334" t="s">
        <v>5</v>
      </c>
      <c r="D586" s="335" t="s">
        <v>103</v>
      </c>
      <c r="E586" s="335" t="s">
        <v>660</v>
      </c>
      <c r="F586" s="336"/>
      <c r="G586" s="346">
        <f>SUM(G588)+G587</f>
        <v>5357.2</v>
      </c>
      <c r="H586" s="14"/>
      <c r="I586" s="14"/>
    </row>
    <row r="587" spans="1:10" s="16" customFormat="1" ht="15">
      <c r="A587" s="385" t="s">
        <v>475</v>
      </c>
      <c r="B587" s="365"/>
      <c r="C587" s="334" t="s">
        <v>5</v>
      </c>
      <c r="D587" s="335" t="s">
        <v>103</v>
      </c>
      <c r="E587" s="335" t="s">
        <v>660</v>
      </c>
      <c r="F587" s="336" t="s">
        <v>117</v>
      </c>
      <c r="G587" s="346">
        <v>79.2</v>
      </c>
      <c r="H587" s="14"/>
      <c r="I587" s="14"/>
      <c r="J587" s="16">
        <f>SUM('ведомствен.2015'!G475)</f>
        <v>79.2</v>
      </c>
    </row>
    <row r="588" spans="1:10" s="16" customFormat="1" ht="15">
      <c r="A588" s="385" t="s">
        <v>480</v>
      </c>
      <c r="B588" s="365"/>
      <c r="C588" s="334" t="s">
        <v>5</v>
      </c>
      <c r="D588" s="335" t="s">
        <v>103</v>
      </c>
      <c r="E588" s="335" t="s">
        <v>660</v>
      </c>
      <c r="F588" s="336" t="s">
        <v>481</v>
      </c>
      <c r="G588" s="346">
        <v>5278</v>
      </c>
      <c r="H588" s="14"/>
      <c r="I588" s="14"/>
      <c r="J588" s="16">
        <f>SUM('ведомствен.2015'!G476)</f>
        <v>5278</v>
      </c>
    </row>
    <row r="589" spans="1:9" s="16" customFormat="1" ht="42.75">
      <c r="A589" s="385" t="s">
        <v>456</v>
      </c>
      <c r="B589" s="365"/>
      <c r="C589" s="334" t="s">
        <v>5</v>
      </c>
      <c r="D589" s="335" t="s">
        <v>103</v>
      </c>
      <c r="E589" s="335" t="s">
        <v>661</v>
      </c>
      <c r="F589" s="336"/>
      <c r="G589" s="346">
        <f>SUM(G591)+G590</f>
        <v>4654.1</v>
      </c>
      <c r="H589" s="14"/>
      <c r="I589" s="14"/>
    </row>
    <row r="590" spans="1:10" s="16" customFormat="1" ht="15">
      <c r="A590" s="385" t="s">
        <v>475</v>
      </c>
      <c r="B590" s="365"/>
      <c r="C590" s="334" t="s">
        <v>5</v>
      </c>
      <c r="D590" s="335" t="s">
        <v>103</v>
      </c>
      <c r="E590" s="335" t="s">
        <v>661</v>
      </c>
      <c r="F590" s="336" t="s">
        <v>117</v>
      </c>
      <c r="G590" s="346">
        <v>68.8</v>
      </c>
      <c r="H590" s="14"/>
      <c r="I590" s="14"/>
      <c r="J590" s="16">
        <f>SUM('ведомствен.2015'!G478)</f>
        <v>68.8</v>
      </c>
    </row>
    <row r="591" spans="1:10" s="16" customFormat="1" ht="15">
      <c r="A591" s="385" t="s">
        <v>480</v>
      </c>
      <c r="B591" s="365"/>
      <c r="C591" s="334" t="s">
        <v>5</v>
      </c>
      <c r="D591" s="335" t="s">
        <v>103</v>
      </c>
      <c r="E591" s="335" t="s">
        <v>661</v>
      </c>
      <c r="F591" s="336" t="s">
        <v>481</v>
      </c>
      <c r="G591" s="346">
        <v>4585.3</v>
      </c>
      <c r="H591" s="14"/>
      <c r="I591" s="14"/>
      <c r="J591" s="16">
        <f>SUM('ведомствен.2015'!G479)</f>
        <v>4585.3</v>
      </c>
    </row>
    <row r="592" spans="1:9" s="16" customFormat="1" ht="114">
      <c r="A592" s="376" t="s">
        <v>662</v>
      </c>
      <c r="B592" s="365"/>
      <c r="C592" s="334" t="s">
        <v>5</v>
      </c>
      <c r="D592" s="335" t="s">
        <v>103</v>
      </c>
      <c r="E592" s="335" t="s">
        <v>663</v>
      </c>
      <c r="F592" s="336"/>
      <c r="G592" s="346">
        <f>G593</f>
        <v>82190.3</v>
      </c>
      <c r="H592" s="14"/>
      <c r="I592" s="14"/>
    </row>
    <row r="593" spans="1:10" s="16" customFormat="1" ht="15">
      <c r="A593" s="385" t="s">
        <v>480</v>
      </c>
      <c r="B593" s="365"/>
      <c r="C593" s="334" t="s">
        <v>5</v>
      </c>
      <c r="D593" s="335" t="s">
        <v>103</v>
      </c>
      <c r="E593" s="335" t="s">
        <v>663</v>
      </c>
      <c r="F593" s="336" t="s">
        <v>481</v>
      </c>
      <c r="G593" s="346">
        <v>82190.3</v>
      </c>
      <c r="H593" s="14"/>
      <c r="I593" s="14"/>
      <c r="J593" s="16">
        <f>SUM('ведомствен.2015'!G481)</f>
        <v>82190.3</v>
      </c>
    </row>
    <row r="594" spans="1:9" s="16" customFormat="1" ht="15">
      <c r="A594" s="376" t="s">
        <v>558</v>
      </c>
      <c r="B594" s="354"/>
      <c r="C594" s="317" t="s">
        <v>5</v>
      </c>
      <c r="D594" s="318" t="s">
        <v>103</v>
      </c>
      <c r="E594" s="318" t="s">
        <v>126</v>
      </c>
      <c r="F594" s="319"/>
      <c r="G594" s="221">
        <f>G597+G595+G599</f>
        <v>1200</v>
      </c>
      <c r="H594" s="18">
        <v>5628.5</v>
      </c>
      <c r="I594" s="14" t="e">
        <f>SUM(H594/#REF!*100)</f>
        <v>#REF!</v>
      </c>
    </row>
    <row r="595" spans="1:9" s="16" customFormat="1" ht="42.75">
      <c r="A595" s="194" t="s">
        <v>611</v>
      </c>
      <c r="B595" s="350"/>
      <c r="C595" s="68" t="s">
        <v>5</v>
      </c>
      <c r="D595" s="107" t="s">
        <v>103</v>
      </c>
      <c r="E595" s="156" t="s">
        <v>612</v>
      </c>
      <c r="F595" s="165"/>
      <c r="G595" s="216">
        <f>SUM(G596)</f>
        <v>100</v>
      </c>
      <c r="H595" s="18"/>
      <c r="I595" s="14"/>
    </row>
    <row r="596" spans="1:10" s="16" customFormat="1" ht="15">
      <c r="A596" s="371" t="s">
        <v>480</v>
      </c>
      <c r="B596" s="350"/>
      <c r="C596" s="68" t="s">
        <v>5</v>
      </c>
      <c r="D596" s="107" t="s">
        <v>103</v>
      </c>
      <c r="E596" s="156" t="s">
        <v>612</v>
      </c>
      <c r="F596" s="165" t="s">
        <v>481</v>
      </c>
      <c r="G596" s="216">
        <v>100</v>
      </c>
      <c r="H596" s="18"/>
      <c r="I596" s="14"/>
      <c r="J596" s="16">
        <f>SUM('ведомствен.2015'!G276)</f>
        <v>100</v>
      </c>
    </row>
    <row r="597" spans="1:9" s="16" customFormat="1" ht="42.75">
      <c r="A597" s="376" t="s">
        <v>559</v>
      </c>
      <c r="B597" s="354"/>
      <c r="C597" s="317" t="s">
        <v>5</v>
      </c>
      <c r="D597" s="318" t="s">
        <v>103</v>
      </c>
      <c r="E597" s="318" t="s">
        <v>560</v>
      </c>
      <c r="F597" s="319"/>
      <c r="G597" s="221">
        <f>G598</f>
        <v>100</v>
      </c>
      <c r="H597" s="14">
        <f>SUM(H598)</f>
        <v>12.8</v>
      </c>
      <c r="I597" s="14" t="e">
        <f>SUM(H597/#REF!*100)</f>
        <v>#REF!</v>
      </c>
    </row>
    <row r="598" spans="1:10" s="16" customFormat="1" ht="28.5">
      <c r="A598" s="380" t="s">
        <v>489</v>
      </c>
      <c r="B598" s="354"/>
      <c r="C598" s="317" t="s">
        <v>5</v>
      </c>
      <c r="D598" s="318" t="s">
        <v>103</v>
      </c>
      <c r="E598" s="318" t="s">
        <v>560</v>
      </c>
      <c r="F598" s="319" t="s">
        <v>487</v>
      </c>
      <c r="G598" s="221">
        <v>100</v>
      </c>
      <c r="H598" s="14">
        <v>12.8</v>
      </c>
      <c r="I598" s="14" t="e">
        <f>SUM(H598/#REF!*100)</f>
        <v>#REF!</v>
      </c>
      <c r="J598" s="16">
        <f>SUM('ведомствен.2015'!G484)</f>
        <v>100</v>
      </c>
    </row>
    <row r="599" spans="1:9" s="16" customFormat="1" ht="42.75">
      <c r="A599" s="387" t="s">
        <v>616</v>
      </c>
      <c r="B599" s="366"/>
      <c r="C599" s="222" t="s">
        <v>5</v>
      </c>
      <c r="D599" s="188" t="s">
        <v>103</v>
      </c>
      <c r="E599" s="188" t="s">
        <v>613</v>
      </c>
      <c r="F599" s="189"/>
      <c r="G599" s="216">
        <f>SUM(G600)</f>
        <v>1000</v>
      </c>
      <c r="H599" s="14"/>
      <c r="I599" s="14"/>
    </row>
    <row r="600" spans="1:9" s="16" customFormat="1" ht="28.5">
      <c r="A600" s="388" t="s">
        <v>614</v>
      </c>
      <c r="B600" s="367"/>
      <c r="C600" s="222" t="s">
        <v>5</v>
      </c>
      <c r="D600" s="188" t="s">
        <v>103</v>
      </c>
      <c r="E600" s="188" t="s">
        <v>615</v>
      </c>
      <c r="F600" s="189"/>
      <c r="G600" s="216">
        <f>SUM(G601)</f>
        <v>1000</v>
      </c>
      <c r="H600" s="14"/>
      <c r="I600" s="14"/>
    </row>
    <row r="601" spans="1:10" s="16" customFormat="1" ht="15">
      <c r="A601" s="372" t="s">
        <v>480</v>
      </c>
      <c r="B601" s="368"/>
      <c r="C601" s="222" t="s">
        <v>5</v>
      </c>
      <c r="D601" s="188" t="s">
        <v>103</v>
      </c>
      <c r="E601" s="188" t="s">
        <v>615</v>
      </c>
      <c r="F601" s="190" t="s">
        <v>481</v>
      </c>
      <c r="G601" s="216">
        <v>1000</v>
      </c>
      <c r="H601" s="14"/>
      <c r="I601" s="14"/>
      <c r="J601" s="16">
        <f>SUM('ведомствен.2015'!G279)</f>
        <v>1000</v>
      </c>
    </row>
    <row r="602" spans="1:11" s="16" customFormat="1" ht="15">
      <c r="A602" s="381" t="s">
        <v>154</v>
      </c>
      <c r="B602" s="354"/>
      <c r="C602" s="317" t="s">
        <v>5</v>
      </c>
      <c r="D602" s="318" t="s">
        <v>119</v>
      </c>
      <c r="E602" s="318"/>
      <c r="F602" s="319"/>
      <c r="G602" s="221">
        <f>SUM(G603+G606+G609)</f>
        <v>99327.59999999999</v>
      </c>
      <c r="H602" s="14" t="e">
        <f>SUM(#REF!)</f>
        <v>#REF!</v>
      </c>
      <c r="I602" s="14" t="e">
        <f>SUM(H602/#REF!*100)</f>
        <v>#REF!</v>
      </c>
      <c r="K602" s="16">
        <f>SUM(J603:J621)</f>
        <v>99327.6</v>
      </c>
    </row>
    <row r="603" spans="1:9" s="16" customFormat="1" ht="28.5">
      <c r="A603" s="331" t="s">
        <v>681</v>
      </c>
      <c r="B603" s="215"/>
      <c r="C603" s="106" t="s">
        <v>5</v>
      </c>
      <c r="D603" s="156" t="s">
        <v>119</v>
      </c>
      <c r="E603" s="320" t="s">
        <v>682</v>
      </c>
      <c r="F603" s="166"/>
      <c r="G603" s="216">
        <f>SUM(G604)</f>
        <v>9782.2</v>
      </c>
      <c r="H603" s="14"/>
      <c r="I603" s="14"/>
    </row>
    <row r="604" spans="1:9" s="16" customFormat="1" ht="114">
      <c r="A604" s="321" t="s">
        <v>683</v>
      </c>
      <c r="B604" s="215"/>
      <c r="C604" s="106" t="s">
        <v>5</v>
      </c>
      <c r="D604" s="156" t="s">
        <v>119</v>
      </c>
      <c r="E604" s="202" t="s">
        <v>684</v>
      </c>
      <c r="F604" s="337"/>
      <c r="G604" s="216">
        <f>G605</f>
        <v>9782.2</v>
      </c>
      <c r="H604" s="14"/>
      <c r="I604" s="14"/>
    </row>
    <row r="605" spans="1:10" s="16" customFormat="1" ht="42.75">
      <c r="A605" s="331" t="s">
        <v>699</v>
      </c>
      <c r="B605" s="215"/>
      <c r="C605" s="106" t="s">
        <v>5</v>
      </c>
      <c r="D605" s="156" t="s">
        <v>119</v>
      </c>
      <c r="E605" s="320" t="s">
        <v>700</v>
      </c>
      <c r="F605" s="166" t="s">
        <v>481</v>
      </c>
      <c r="G605" s="216">
        <v>9782.2</v>
      </c>
      <c r="H605" s="14"/>
      <c r="I605" s="14"/>
      <c r="J605" s="16">
        <f>SUM('ведомствен.2015'!G677)</f>
        <v>9782.2</v>
      </c>
    </row>
    <row r="606" spans="1:9" s="16" customFormat="1" ht="42.75">
      <c r="A606" s="321" t="s">
        <v>671</v>
      </c>
      <c r="B606" s="215"/>
      <c r="C606" s="106" t="s">
        <v>5</v>
      </c>
      <c r="D606" s="156" t="s">
        <v>119</v>
      </c>
      <c r="E606" s="196" t="s">
        <v>672</v>
      </c>
      <c r="F606" s="199"/>
      <c r="G606" s="216">
        <f>SUM(G607)</f>
        <v>27063.5</v>
      </c>
      <c r="H606" s="14"/>
      <c r="I606" s="14"/>
    </row>
    <row r="607" spans="1:9" s="16" customFormat="1" ht="114">
      <c r="A607" s="331" t="s">
        <v>701</v>
      </c>
      <c r="B607" s="215"/>
      <c r="C607" s="106" t="s">
        <v>5</v>
      </c>
      <c r="D607" s="156" t="s">
        <v>119</v>
      </c>
      <c r="E607" s="196" t="s">
        <v>702</v>
      </c>
      <c r="F607" s="199"/>
      <c r="G607" s="216">
        <f>SUM(G608)</f>
        <v>27063.5</v>
      </c>
      <c r="H607" s="14"/>
      <c r="I607" s="14"/>
    </row>
    <row r="608" spans="1:10" s="16" customFormat="1" ht="71.25">
      <c r="A608" s="321" t="s">
        <v>703</v>
      </c>
      <c r="B608" s="215"/>
      <c r="C608" s="106" t="s">
        <v>5</v>
      </c>
      <c r="D608" s="156" t="s">
        <v>119</v>
      </c>
      <c r="E608" s="202" t="s">
        <v>704</v>
      </c>
      <c r="F608" s="166" t="s">
        <v>481</v>
      </c>
      <c r="G608" s="216">
        <v>27063.5</v>
      </c>
      <c r="H608" s="14"/>
      <c r="I608" s="14"/>
      <c r="J608" s="16">
        <f>SUM('ведомствен.2015'!G680)</f>
        <v>27063.5</v>
      </c>
    </row>
    <row r="609" spans="1:9" s="16" customFormat="1" ht="28.5">
      <c r="A609" s="371" t="s">
        <v>635</v>
      </c>
      <c r="B609" s="350"/>
      <c r="C609" s="325" t="s">
        <v>5</v>
      </c>
      <c r="D609" s="326" t="s">
        <v>119</v>
      </c>
      <c r="E609" s="107" t="s">
        <v>636</v>
      </c>
      <c r="F609" s="165"/>
      <c r="G609" s="342">
        <f>SUM(G620)+G610</f>
        <v>62481.899999999994</v>
      </c>
      <c r="H609" s="14"/>
      <c r="I609" s="14"/>
    </row>
    <row r="610" spans="1:9" s="16" customFormat="1" ht="99.75">
      <c r="A610" s="385" t="s">
        <v>656</v>
      </c>
      <c r="B610" s="365"/>
      <c r="C610" s="338" t="s">
        <v>5</v>
      </c>
      <c r="D610" s="339" t="s">
        <v>119</v>
      </c>
      <c r="E610" s="339" t="s">
        <v>657</v>
      </c>
      <c r="F610" s="340"/>
      <c r="G610" s="347">
        <f>G611+G614+G617</f>
        <v>30846.399999999998</v>
      </c>
      <c r="H610" s="14"/>
      <c r="I610" s="14"/>
    </row>
    <row r="611" spans="1:9" s="16" customFormat="1" ht="15">
      <c r="A611" s="385" t="s">
        <v>155</v>
      </c>
      <c r="B611" s="365"/>
      <c r="C611" s="338" t="s">
        <v>5</v>
      </c>
      <c r="D611" s="339" t="s">
        <v>119</v>
      </c>
      <c r="E611" s="339" t="s">
        <v>665</v>
      </c>
      <c r="F611" s="340"/>
      <c r="G611" s="346">
        <f>G612+G613</f>
        <v>5765.400000000001</v>
      </c>
      <c r="H611" s="14"/>
      <c r="I611" s="14"/>
    </row>
    <row r="612" spans="1:10" s="16" customFormat="1" ht="15">
      <c r="A612" s="385" t="s">
        <v>475</v>
      </c>
      <c r="B612" s="365"/>
      <c r="C612" s="338" t="s">
        <v>5</v>
      </c>
      <c r="D612" s="339" t="s">
        <v>119</v>
      </c>
      <c r="E612" s="339" t="s">
        <v>665</v>
      </c>
      <c r="F612" s="340" t="s">
        <v>117</v>
      </c>
      <c r="G612" s="346">
        <v>85.6</v>
      </c>
      <c r="H612" s="14"/>
      <c r="I612" s="14"/>
      <c r="J612" s="16">
        <f>SUM('ведомствен.2015'!G489)</f>
        <v>85.6</v>
      </c>
    </row>
    <row r="613" spans="1:10" s="16" customFormat="1" ht="15">
      <c r="A613" s="385" t="s">
        <v>480</v>
      </c>
      <c r="B613" s="365"/>
      <c r="C613" s="338" t="s">
        <v>5</v>
      </c>
      <c r="D613" s="339" t="s">
        <v>119</v>
      </c>
      <c r="E613" s="339" t="s">
        <v>665</v>
      </c>
      <c r="F613" s="340" t="s">
        <v>481</v>
      </c>
      <c r="G613" s="346">
        <v>5679.8</v>
      </c>
      <c r="H613" s="14"/>
      <c r="I613" s="14"/>
      <c r="J613" s="16">
        <f>SUM('ведомствен.2015'!G490)</f>
        <v>5679.8</v>
      </c>
    </row>
    <row r="614" spans="1:9" s="16" customFormat="1" ht="15">
      <c r="A614" s="385" t="s">
        <v>457</v>
      </c>
      <c r="B614" s="365"/>
      <c r="C614" s="338" t="s">
        <v>5</v>
      </c>
      <c r="D614" s="339" t="s">
        <v>119</v>
      </c>
      <c r="E614" s="339" t="s">
        <v>666</v>
      </c>
      <c r="F614" s="340"/>
      <c r="G614" s="346">
        <f>G615+G616</f>
        <v>4772.8</v>
      </c>
      <c r="H614" s="14"/>
      <c r="I614" s="14"/>
    </row>
    <row r="615" spans="1:10" s="16" customFormat="1" ht="15">
      <c r="A615" s="385" t="s">
        <v>475</v>
      </c>
      <c r="B615" s="365"/>
      <c r="C615" s="338" t="s">
        <v>5</v>
      </c>
      <c r="D615" s="339" t="s">
        <v>119</v>
      </c>
      <c r="E615" s="339" t="s">
        <v>666</v>
      </c>
      <c r="F615" s="340" t="s">
        <v>117</v>
      </c>
      <c r="G615" s="346">
        <v>49.8</v>
      </c>
      <c r="H615" s="14"/>
      <c r="I615" s="14"/>
      <c r="J615" s="16">
        <f>SUM('ведомствен.2015'!G492)</f>
        <v>49.8</v>
      </c>
    </row>
    <row r="616" spans="1:10" s="16" customFormat="1" ht="15">
      <c r="A616" s="385" t="s">
        <v>480</v>
      </c>
      <c r="B616" s="365"/>
      <c r="C616" s="338" t="s">
        <v>5</v>
      </c>
      <c r="D616" s="339" t="s">
        <v>119</v>
      </c>
      <c r="E616" s="339" t="s">
        <v>666</v>
      </c>
      <c r="F616" s="340" t="s">
        <v>481</v>
      </c>
      <c r="G616" s="347">
        <v>4723</v>
      </c>
      <c r="H616" s="14"/>
      <c r="I616" s="14"/>
      <c r="J616" s="16">
        <f>SUM('ведомствен.2015'!G493)</f>
        <v>4723</v>
      </c>
    </row>
    <row r="617" spans="1:9" s="16" customFormat="1" ht="15">
      <c r="A617" s="385" t="s">
        <v>458</v>
      </c>
      <c r="B617" s="365"/>
      <c r="C617" s="338" t="s">
        <v>5</v>
      </c>
      <c r="D617" s="339" t="s">
        <v>119</v>
      </c>
      <c r="E617" s="339" t="s">
        <v>667</v>
      </c>
      <c r="F617" s="340"/>
      <c r="G617" s="346">
        <f>SUM(G619)+G618</f>
        <v>20308.199999999997</v>
      </c>
      <c r="H617" s="14"/>
      <c r="I617" s="14"/>
    </row>
    <row r="618" spans="1:10" s="16" customFormat="1" ht="15">
      <c r="A618" s="385" t="s">
        <v>475</v>
      </c>
      <c r="B618" s="365"/>
      <c r="C618" s="338" t="s">
        <v>5</v>
      </c>
      <c r="D618" s="339" t="s">
        <v>119</v>
      </c>
      <c r="E618" s="339" t="s">
        <v>667</v>
      </c>
      <c r="F618" s="340" t="s">
        <v>117</v>
      </c>
      <c r="G618" s="346">
        <v>315.1</v>
      </c>
      <c r="H618" s="14"/>
      <c r="I618" s="14"/>
      <c r="J618" s="16">
        <f>SUM('ведомствен.2015'!G495)</f>
        <v>315.1</v>
      </c>
    </row>
    <row r="619" spans="1:10" s="16" customFormat="1" ht="15">
      <c r="A619" s="385" t="s">
        <v>480</v>
      </c>
      <c r="B619" s="365"/>
      <c r="C619" s="338" t="s">
        <v>5</v>
      </c>
      <c r="D619" s="339" t="s">
        <v>119</v>
      </c>
      <c r="E619" s="339" t="s">
        <v>667</v>
      </c>
      <c r="F619" s="340" t="s">
        <v>481</v>
      </c>
      <c r="G619" s="346">
        <v>19993.1</v>
      </c>
      <c r="H619" s="14"/>
      <c r="I619" s="14"/>
      <c r="J619" s="16">
        <f>SUM('ведомствен.2015'!G496)</f>
        <v>19993.1</v>
      </c>
    </row>
    <row r="620" spans="1:9" s="16" customFormat="1" ht="42.75">
      <c r="A620" s="194" t="s">
        <v>600</v>
      </c>
      <c r="B620" s="352"/>
      <c r="C620" s="325" t="s">
        <v>5</v>
      </c>
      <c r="D620" s="326" t="s">
        <v>119</v>
      </c>
      <c r="E620" s="107" t="s">
        <v>639</v>
      </c>
      <c r="F620" s="328"/>
      <c r="G620" s="342">
        <f>SUM(G621)</f>
        <v>31635.5</v>
      </c>
      <c r="H620" s="14"/>
      <c r="I620" s="14"/>
    </row>
    <row r="621" spans="1:10" s="16" customFormat="1" ht="28.5">
      <c r="A621" s="194" t="s">
        <v>540</v>
      </c>
      <c r="B621" s="352"/>
      <c r="C621" s="325" t="s">
        <v>5</v>
      </c>
      <c r="D621" s="326" t="s">
        <v>119</v>
      </c>
      <c r="E621" s="107" t="s">
        <v>639</v>
      </c>
      <c r="F621" s="328" t="s">
        <v>535</v>
      </c>
      <c r="G621" s="342">
        <v>31635.5</v>
      </c>
      <c r="H621" s="14"/>
      <c r="I621" s="14"/>
      <c r="J621" s="16">
        <f>SUM('ведомствен.2015'!G287)</f>
        <v>31635.5</v>
      </c>
    </row>
    <row r="622" spans="1:11" s="16" customFormat="1" ht="15">
      <c r="A622" s="376" t="s">
        <v>156</v>
      </c>
      <c r="B622" s="354"/>
      <c r="C622" s="317" t="s">
        <v>5</v>
      </c>
      <c r="D622" s="318" t="s">
        <v>359</v>
      </c>
      <c r="E622" s="318"/>
      <c r="F622" s="319"/>
      <c r="G622" s="221">
        <f>SUM(G623+G635+G643+G650+G652)+G648</f>
        <v>51395.6</v>
      </c>
      <c r="H622" s="14"/>
      <c r="I622" s="14">
        <f aca="true" t="shared" si="13" ref="I622:I634">SUM(H622/G628*100)</f>
        <v>0</v>
      </c>
      <c r="K622" s="39">
        <f>SUM(J624:J654)</f>
        <v>51395.6</v>
      </c>
    </row>
    <row r="623" spans="1:9" s="16" customFormat="1" ht="42.75">
      <c r="A623" s="376" t="s">
        <v>96</v>
      </c>
      <c r="B623" s="354"/>
      <c r="C623" s="317" t="s">
        <v>5</v>
      </c>
      <c r="D623" s="318" t="s">
        <v>359</v>
      </c>
      <c r="E623" s="318" t="s">
        <v>97</v>
      </c>
      <c r="F623" s="319"/>
      <c r="G623" s="221">
        <f>G624+G627+G630+G632</f>
        <v>21937.9</v>
      </c>
      <c r="H623" s="14">
        <f>SUM(H624)</f>
        <v>29554</v>
      </c>
      <c r="I623" s="14">
        <f t="shared" si="13"/>
        <v>4685.161699429297</v>
      </c>
    </row>
    <row r="624" spans="1:10" s="16" customFormat="1" ht="15">
      <c r="A624" s="376" t="s">
        <v>104</v>
      </c>
      <c r="B624" s="354"/>
      <c r="C624" s="317" t="s">
        <v>5</v>
      </c>
      <c r="D624" s="318" t="s">
        <v>359</v>
      </c>
      <c r="E624" s="318" t="s">
        <v>106</v>
      </c>
      <c r="F624" s="319"/>
      <c r="G624" s="221">
        <f>G625+G626</f>
        <v>3131.8</v>
      </c>
      <c r="H624" s="14">
        <v>29554</v>
      </c>
      <c r="I624" s="14">
        <f t="shared" si="13"/>
        <v>202.80108969388385</v>
      </c>
      <c r="J624" s="39"/>
    </row>
    <row r="625" spans="1:10" s="16" customFormat="1" ht="42.75">
      <c r="A625" s="376" t="s">
        <v>561</v>
      </c>
      <c r="B625" s="354"/>
      <c r="C625" s="317" t="s">
        <v>5</v>
      </c>
      <c r="D625" s="318" t="s">
        <v>359</v>
      </c>
      <c r="E625" s="318" t="s">
        <v>106</v>
      </c>
      <c r="F625" s="319" t="s">
        <v>471</v>
      </c>
      <c r="G625" s="221">
        <v>3119.8</v>
      </c>
      <c r="H625" s="14">
        <f>SUM(H626)</f>
        <v>37911</v>
      </c>
      <c r="I625" s="14">
        <f t="shared" si="13"/>
        <v>260.1472596394678</v>
      </c>
      <c r="J625" s="16">
        <f>SUM('ведомствен.2015'!G500)</f>
        <v>3119.8</v>
      </c>
    </row>
    <row r="626" spans="1:10" s="16" customFormat="1" ht="15">
      <c r="A626" s="376" t="s">
        <v>475</v>
      </c>
      <c r="B626" s="354"/>
      <c r="C626" s="317" t="s">
        <v>5</v>
      </c>
      <c r="D626" s="318" t="s">
        <v>359</v>
      </c>
      <c r="E626" s="318" t="s">
        <v>106</v>
      </c>
      <c r="F626" s="319" t="s">
        <v>117</v>
      </c>
      <c r="G626" s="221">
        <v>12</v>
      </c>
      <c r="H626" s="14">
        <v>37911</v>
      </c>
      <c r="I626" s="14" t="e">
        <f t="shared" si="13"/>
        <v>#DIV/0!</v>
      </c>
      <c r="J626" s="16">
        <f>SUM('ведомствен.2015'!G501)</f>
        <v>12</v>
      </c>
    </row>
    <row r="627" spans="1:9" s="16" customFormat="1" ht="42.75">
      <c r="A627" s="376" t="s">
        <v>562</v>
      </c>
      <c r="B627" s="354"/>
      <c r="C627" s="317" t="s">
        <v>5</v>
      </c>
      <c r="D627" s="318" t="s">
        <v>359</v>
      </c>
      <c r="E627" s="318" t="s">
        <v>159</v>
      </c>
      <c r="F627" s="319"/>
      <c r="G627" s="221">
        <f>G628+G629</f>
        <v>4233.2</v>
      </c>
      <c r="H627" s="14">
        <f>SUM(H628)</f>
        <v>0</v>
      </c>
      <c r="I627" s="14" t="e">
        <f t="shared" si="13"/>
        <v>#DIV/0!</v>
      </c>
    </row>
    <row r="628" spans="1:10" s="16" customFormat="1" ht="42.75">
      <c r="A628" s="376" t="s">
        <v>561</v>
      </c>
      <c r="B628" s="354"/>
      <c r="C628" s="317" t="s">
        <v>5</v>
      </c>
      <c r="D628" s="318" t="s">
        <v>359</v>
      </c>
      <c r="E628" s="318" t="s">
        <v>159</v>
      </c>
      <c r="F628" s="319" t="s">
        <v>471</v>
      </c>
      <c r="G628" s="221">
        <v>3602.4</v>
      </c>
      <c r="H628" s="14"/>
      <c r="I628" s="14" t="e">
        <f t="shared" si="13"/>
        <v>#DIV/0!</v>
      </c>
      <c r="J628" s="16">
        <f>SUM('ведомствен.2015'!G503)</f>
        <v>3602.4</v>
      </c>
    </row>
    <row r="629" spans="1:10" s="16" customFormat="1" ht="15">
      <c r="A629" s="376" t="s">
        <v>475</v>
      </c>
      <c r="B629" s="369"/>
      <c r="C629" s="317" t="s">
        <v>5</v>
      </c>
      <c r="D629" s="318" t="s">
        <v>359</v>
      </c>
      <c r="E629" s="318" t="s">
        <v>159</v>
      </c>
      <c r="F629" s="319" t="s">
        <v>117</v>
      </c>
      <c r="G629" s="221">
        <v>630.8</v>
      </c>
      <c r="H629" s="14">
        <f>SUM(H630)</f>
        <v>0</v>
      </c>
      <c r="I629" s="14">
        <f t="shared" si="13"/>
        <v>0</v>
      </c>
      <c r="J629" s="16">
        <f>SUM('ведомствен.2015'!G504)</f>
        <v>630.8</v>
      </c>
    </row>
    <row r="630" spans="1:9" s="16" customFormat="1" ht="28.5">
      <c r="A630" s="376" t="s">
        <v>157</v>
      </c>
      <c r="B630" s="354"/>
      <c r="C630" s="317" t="s">
        <v>5</v>
      </c>
      <c r="D630" s="318" t="s">
        <v>359</v>
      </c>
      <c r="E630" s="318" t="s">
        <v>158</v>
      </c>
      <c r="F630" s="319"/>
      <c r="G630" s="221">
        <f>SUM(G631)</f>
        <v>14572.9</v>
      </c>
      <c r="H630" s="14"/>
      <c r="I630" s="14">
        <f t="shared" si="13"/>
        <v>0</v>
      </c>
    </row>
    <row r="631" spans="1:10" s="16" customFormat="1" ht="41.25" customHeight="1">
      <c r="A631" s="376" t="s">
        <v>561</v>
      </c>
      <c r="B631" s="354"/>
      <c r="C631" s="317" t="s">
        <v>5</v>
      </c>
      <c r="D631" s="318" t="s">
        <v>359</v>
      </c>
      <c r="E631" s="318" t="s">
        <v>158</v>
      </c>
      <c r="F631" s="319" t="s">
        <v>471</v>
      </c>
      <c r="G631" s="221">
        <v>14572.9</v>
      </c>
      <c r="H631" s="14">
        <f>SUM(H632)</f>
        <v>0</v>
      </c>
      <c r="I631" s="14">
        <f t="shared" si="13"/>
        <v>0</v>
      </c>
      <c r="J631" s="16">
        <f>SUM('ведомствен.2015'!G506)</f>
        <v>14572.9</v>
      </c>
    </row>
    <row r="632" spans="1:9" s="16" customFormat="1" ht="42.75" hidden="1">
      <c r="A632" s="376" t="s">
        <v>160</v>
      </c>
      <c r="B632" s="369"/>
      <c r="C632" s="317" t="s">
        <v>5</v>
      </c>
      <c r="D632" s="318" t="s">
        <v>359</v>
      </c>
      <c r="E632" s="318" t="s">
        <v>161</v>
      </c>
      <c r="F632" s="319"/>
      <c r="G632" s="221">
        <f>G633+G634</f>
        <v>0</v>
      </c>
      <c r="H632" s="14"/>
      <c r="I632" s="14">
        <f t="shared" si="13"/>
        <v>0</v>
      </c>
    </row>
    <row r="633" spans="1:10" ht="42.75" hidden="1">
      <c r="A633" s="376" t="s">
        <v>561</v>
      </c>
      <c r="B633" s="354"/>
      <c r="C633" s="317" t="s">
        <v>5</v>
      </c>
      <c r="D633" s="318" t="s">
        <v>359</v>
      </c>
      <c r="E633" s="318" t="s">
        <v>161</v>
      </c>
      <c r="F633" s="319" t="s">
        <v>471</v>
      </c>
      <c r="G633" s="221"/>
      <c r="H633" s="14">
        <f>SUM(H634)</f>
        <v>70381.4</v>
      </c>
      <c r="I633" s="14">
        <f t="shared" si="13"/>
        <v>5189.220673892206</v>
      </c>
      <c r="J633" s="16">
        <f>SUM('ведомствен.2015'!G508)</f>
        <v>0</v>
      </c>
    </row>
    <row r="634" spans="1:10" ht="15" hidden="1">
      <c r="A634" s="376" t="s">
        <v>475</v>
      </c>
      <c r="B634" s="354"/>
      <c r="C634" s="317" t="s">
        <v>5</v>
      </c>
      <c r="D634" s="318" t="s">
        <v>359</v>
      </c>
      <c r="E634" s="318" t="s">
        <v>161</v>
      </c>
      <c r="F634" s="319" t="s">
        <v>117</v>
      </c>
      <c r="G634" s="221"/>
      <c r="H634" s="14">
        <v>70381.4</v>
      </c>
      <c r="I634" s="14">
        <f t="shared" si="13"/>
        <v>6775.25991528687</v>
      </c>
      <c r="J634" s="16">
        <f>SUM('ведомствен.2015'!G509)</f>
        <v>0</v>
      </c>
    </row>
    <row r="635" spans="1:10" ht="28.5">
      <c r="A635" s="376" t="s">
        <v>472</v>
      </c>
      <c r="B635" s="354"/>
      <c r="C635" s="317" t="s">
        <v>5</v>
      </c>
      <c r="D635" s="318" t="s">
        <v>359</v>
      </c>
      <c r="E635" s="318" t="s">
        <v>473</v>
      </c>
      <c r="F635" s="319"/>
      <c r="G635" s="221">
        <f>G636+G638+G640</f>
        <v>2625.1</v>
      </c>
      <c r="H635" s="14"/>
      <c r="I635" s="14"/>
      <c r="J635" s="39"/>
    </row>
    <row r="636" spans="1:10" ht="15">
      <c r="A636" s="376" t="s">
        <v>463</v>
      </c>
      <c r="B636" s="369"/>
      <c r="C636" s="317" t="s">
        <v>5</v>
      </c>
      <c r="D636" s="318" t="s">
        <v>359</v>
      </c>
      <c r="E636" s="318" t="s">
        <v>474</v>
      </c>
      <c r="F636" s="319"/>
      <c r="G636" s="221">
        <f>SUM(G637)</f>
        <v>230</v>
      </c>
      <c r="H636" s="14"/>
      <c r="I636" s="14"/>
      <c r="J636" s="39"/>
    </row>
    <row r="637" spans="1:10" ht="15">
      <c r="A637" s="376" t="s">
        <v>475</v>
      </c>
      <c r="B637" s="354"/>
      <c r="C637" s="317" t="s">
        <v>5</v>
      </c>
      <c r="D637" s="318" t="s">
        <v>359</v>
      </c>
      <c r="E637" s="318" t="s">
        <v>474</v>
      </c>
      <c r="F637" s="319" t="s">
        <v>117</v>
      </c>
      <c r="G637" s="221">
        <v>230</v>
      </c>
      <c r="H637" s="14"/>
      <c r="I637" s="14"/>
      <c r="J637" s="16">
        <f>SUM('ведомствен.2015'!G512)</f>
        <v>230</v>
      </c>
    </row>
    <row r="638" spans="1:9" s="16" customFormat="1" ht="28.5">
      <c r="A638" s="376" t="s">
        <v>464</v>
      </c>
      <c r="B638" s="369"/>
      <c r="C638" s="317" t="s">
        <v>5</v>
      </c>
      <c r="D638" s="318" t="s">
        <v>359</v>
      </c>
      <c r="E638" s="318" t="s">
        <v>477</v>
      </c>
      <c r="F638" s="319"/>
      <c r="G638" s="221">
        <f>SUM(G639)</f>
        <v>1356.3</v>
      </c>
      <c r="H638" s="14">
        <f>SUM(H639)</f>
        <v>1365.8</v>
      </c>
      <c r="I638" s="14">
        <f>SUM(H638/G653*100)</f>
        <v>1821.0666666666664</v>
      </c>
    </row>
    <row r="639" spans="1:10" s="16" customFormat="1" ht="15">
      <c r="A639" s="376" t="s">
        <v>475</v>
      </c>
      <c r="B639" s="354"/>
      <c r="C639" s="317" t="s">
        <v>5</v>
      </c>
      <c r="D639" s="318" t="s">
        <v>359</v>
      </c>
      <c r="E639" s="318" t="s">
        <v>477</v>
      </c>
      <c r="F639" s="319" t="s">
        <v>117</v>
      </c>
      <c r="G639" s="221">
        <v>1356.3</v>
      </c>
      <c r="H639" s="14">
        <v>1365.8</v>
      </c>
      <c r="I639" s="14">
        <f>SUM(H639/G654*100)</f>
        <v>1821.0666666666664</v>
      </c>
      <c r="J639" s="16">
        <f>SUM('ведомствен.2015'!G514)</f>
        <v>1356.3</v>
      </c>
    </row>
    <row r="640" spans="1:9" s="16" customFormat="1" ht="28.5">
      <c r="A640" s="376" t="s">
        <v>478</v>
      </c>
      <c r="B640" s="369"/>
      <c r="C640" s="317" t="s">
        <v>5</v>
      </c>
      <c r="D640" s="318" t="s">
        <v>359</v>
      </c>
      <c r="E640" s="318" t="s">
        <v>479</v>
      </c>
      <c r="F640" s="319"/>
      <c r="G640" s="221">
        <f>G641+G642</f>
        <v>1038.8</v>
      </c>
      <c r="H640" s="14">
        <f>SUM(H641)</f>
        <v>1324.9</v>
      </c>
      <c r="I640" s="14" t="e">
        <f>SUM(H640/#REF!*100)</f>
        <v>#REF!</v>
      </c>
    </row>
    <row r="641" spans="1:10" s="16" customFormat="1" ht="42.75" hidden="1">
      <c r="A641" s="376" t="s">
        <v>561</v>
      </c>
      <c r="B641" s="354"/>
      <c r="C641" s="317" t="s">
        <v>5</v>
      </c>
      <c r="D641" s="318" t="s">
        <v>359</v>
      </c>
      <c r="E641" s="318" t="s">
        <v>479</v>
      </c>
      <c r="F641" s="319" t="s">
        <v>471</v>
      </c>
      <c r="G641" s="221"/>
      <c r="H641" s="14">
        <v>1324.9</v>
      </c>
      <c r="I641" s="14" t="e">
        <f>SUM(H641/#REF!*100)</f>
        <v>#REF!</v>
      </c>
      <c r="J641" s="16">
        <f>SUM('ведомствен.2015'!G516)</f>
        <v>0</v>
      </c>
    </row>
    <row r="642" spans="1:10" s="16" customFormat="1" ht="18.75" customHeight="1">
      <c r="A642" s="376" t="s">
        <v>475</v>
      </c>
      <c r="B642" s="354"/>
      <c r="C642" s="317" t="s">
        <v>5</v>
      </c>
      <c r="D642" s="318" t="s">
        <v>359</v>
      </c>
      <c r="E642" s="318" t="s">
        <v>479</v>
      </c>
      <c r="F642" s="319" t="s">
        <v>117</v>
      </c>
      <c r="G642" s="221">
        <v>1038.8</v>
      </c>
      <c r="H642" s="14">
        <f>SUM(H652)</f>
        <v>0</v>
      </c>
      <c r="I642" s="14" t="e">
        <f>SUM(H642/#REF!*100)</f>
        <v>#REF!</v>
      </c>
      <c r="J642" s="16">
        <f>SUM('ведомствен.2015'!G517)</f>
        <v>1038.8</v>
      </c>
    </row>
    <row r="643" spans="1:9" s="16" customFormat="1" ht="30.75" customHeight="1">
      <c r="A643" s="385" t="s">
        <v>635</v>
      </c>
      <c r="B643" s="365"/>
      <c r="C643" s="334" t="s">
        <v>5</v>
      </c>
      <c r="D643" s="335" t="s">
        <v>359</v>
      </c>
      <c r="E643" s="335" t="s">
        <v>636</v>
      </c>
      <c r="F643" s="319"/>
      <c r="G643" s="346">
        <f>G644</f>
        <v>5521.8</v>
      </c>
      <c r="H643" s="14"/>
      <c r="I643" s="14"/>
    </row>
    <row r="644" spans="1:9" s="16" customFormat="1" ht="103.5" customHeight="1">
      <c r="A644" s="385" t="s">
        <v>656</v>
      </c>
      <c r="B644" s="365"/>
      <c r="C644" s="334" t="s">
        <v>5</v>
      </c>
      <c r="D644" s="335" t="s">
        <v>359</v>
      </c>
      <c r="E644" s="335" t="s">
        <v>657</v>
      </c>
      <c r="F644" s="319"/>
      <c r="G644" s="346">
        <f>G645</f>
        <v>5521.8</v>
      </c>
      <c r="H644" s="14"/>
      <c r="I644" s="14"/>
    </row>
    <row r="645" spans="1:9" s="16" customFormat="1" ht="42.75" customHeight="1">
      <c r="A645" s="389" t="s">
        <v>160</v>
      </c>
      <c r="B645" s="365"/>
      <c r="C645" s="334" t="s">
        <v>5</v>
      </c>
      <c r="D645" s="335" t="s">
        <v>359</v>
      </c>
      <c r="E645" s="335" t="s">
        <v>668</v>
      </c>
      <c r="F645" s="319"/>
      <c r="G645" s="346">
        <f>G646+G647</f>
        <v>5521.8</v>
      </c>
      <c r="H645" s="14"/>
      <c r="I645" s="14"/>
    </row>
    <row r="646" spans="1:10" s="16" customFormat="1" ht="53.25" customHeight="1">
      <c r="A646" s="385" t="s">
        <v>561</v>
      </c>
      <c r="B646" s="365"/>
      <c r="C646" s="334" t="s">
        <v>5</v>
      </c>
      <c r="D646" s="335" t="s">
        <v>359</v>
      </c>
      <c r="E646" s="335" t="s">
        <v>668</v>
      </c>
      <c r="F646" s="319" t="s">
        <v>471</v>
      </c>
      <c r="G646" s="346">
        <v>4948.6</v>
      </c>
      <c r="H646" s="14"/>
      <c r="I646" s="14"/>
      <c r="J646" s="16">
        <f>SUM('ведомствен.2015'!G521)</f>
        <v>4948.6</v>
      </c>
    </row>
    <row r="647" spans="1:10" s="16" customFormat="1" ht="21.75" customHeight="1">
      <c r="A647" s="385" t="s">
        <v>475</v>
      </c>
      <c r="B647" s="365"/>
      <c r="C647" s="334" t="s">
        <v>5</v>
      </c>
      <c r="D647" s="335" t="s">
        <v>359</v>
      </c>
      <c r="E647" s="335" t="s">
        <v>668</v>
      </c>
      <c r="F647" s="319" t="s">
        <v>117</v>
      </c>
      <c r="G647" s="346">
        <v>573.2</v>
      </c>
      <c r="H647" s="14"/>
      <c r="I647" s="14"/>
      <c r="J647" s="16">
        <f>SUM('ведомствен.2015'!G522)</f>
        <v>573.2</v>
      </c>
    </row>
    <row r="648" spans="1:9" s="16" customFormat="1" ht="22.5" customHeight="1" hidden="1">
      <c r="A648" s="187" t="s">
        <v>623</v>
      </c>
      <c r="B648" s="224"/>
      <c r="C648" s="334" t="s">
        <v>5</v>
      </c>
      <c r="D648" s="335" t="s">
        <v>359</v>
      </c>
      <c r="E648" s="225" t="s">
        <v>486</v>
      </c>
      <c r="F648" s="279"/>
      <c r="G648" s="197">
        <f>SUM(G649)</f>
        <v>0</v>
      </c>
      <c r="H648" s="14"/>
      <c r="I648" s="14"/>
    </row>
    <row r="649" spans="1:10" s="16" customFormat="1" ht="22.5" customHeight="1" hidden="1">
      <c r="A649" s="223" t="s">
        <v>476</v>
      </c>
      <c r="B649" s="224"/>
      <c r="C649" s="334" t="s">
        <v>5</v>
      </c>
      <c r="D649" s="335" t="s">
        <v>359</v>
      </c>
      <c r="E649" s="225" t="s">
        <v>486</v>
      </c>
      <c r="F649" s="279" t="s">
        <v>166</v>
      </c>
      <c r="G649" s="197"/>
      <c r="H649" s="14"/>
      <c r="I649" s="14"/>
      <c r="J649" s="16">
        <f>SUM('ведомствен.2015'!G333)</f>
        <v>0</v>
      </c>
    </row>
    <row r="650" spans="1:9" s="16" customFormat="1" ht="28.5">
      <c r="A650" s="372" t="s">
        <v>579</v>
      </c>
      <c r="B650" s="350"/>
      <c r="C650" s="68" t="s">
        <v>5</v>
      </c>
      <c r="D650" s="107" t="s">
        <v>359</v>
      </c>
      <c r="E650" s="107" t="s">
        <v>578</v>
      </c>
      <c r="F650" s="165"/>
      <c r="G650" s="216">
        <f>SUM(G651)</f>
        <v>21235.8</v>
      </c>
      <c r="H650" s="14"/>
      <c r="I650" s="14"/>
    </row>
    <row r="651" spans="1:10" s="16" customFormat="1" ht="15">
      <c r="A651" s="371" t="s">
        <v>476</v>
      </c>
      <c r="B651" s="350"/>
      <c r="C651" s="68" t="s">
        <v>5</v>
      </c>
      <c r="D651" s="107" t="s">
        <v>359</v>
      </c>
      <c r="E651" s="107" t="s">
        <v>578</v>
      </c>
      <c r="F651" s="165" t="s">
        <v>166</v>
      </c>
      <c r="G651" s="216">
        <v>21235.8</v>
      </c>
      <c r="H651" s="14"/>
      <c r="I651" s="14"/>
      <c r="J651" s="16">
        <f>SUM('ведомствен.2015'!G335)</f>
        <v>21235.8</v>
      </c>
    </row>
    <row r="652" spans="1:9" s="16" customFormat="1" ht="15">
      <c r="A652" s="376" t="s">
        <v>558</v>
      </c>
      <c r="B652" s="354"/>
      <c r="C652" s="317" t="s">
        <v>5</v>
      </c>
      <c r="D652" s="318" t="s">
        <v>359</v>
      </c>
      <c r="E652" s="318" t="s">
        <v>126</v>
      </c>
      <c r="F652" s="319"/>
      <c r="G652" s="221">
        <f>G653</f>
        <v>75</v>
      </c>
      <c r="H652" s="14"/>
      <c r="I652" s="14" t="e">
        <f>SUM(H652/#REF!*100)</f>
        <v>#REF!</v>
      </c>
    </row>
    <row r="653" spans="1:10" ht="57">
      <c r="A653" s="376" t="s">
        <v>563</v>
      </c>
      <c r="B653" s="354"/>
      <c r="C653" s="317" t="s">
        <v>5</v>
      </c>
      <c r="D653" s="318" t="s">
        <v>359</v>
      </c>
      <c r="E653" s="318" t="s">
        <v>333</v>
      </c>
      <c r="F653" s="319"/>
      <c r="G653" s="221">
        <f>G654</f>
        <v>75</v>
      </c>
      <c r="H653" s="14">
        <f>SUM(H654)</f>
        <v>5141.4</v>
      </c>
      <c r="I653" s="14" t="e">
        <f>SUM(H653/#REF!*100)</f>
        <v>#REF!</v>
      </c>
      <c r="J653"/>
    </row>
    <row r="654" spans="1:10" ht="28.5">
      <c r="A654" s="376" t="s">
        <v>556</v>
      </c>
      <c r="B654" s="354"/>
      <c r="C654" s="317" t="s">
        <v>5</v>
      </c>
      <c r="D654" s="318" t="s">
        <v>359</v>
      </c>
      <c r="E654" s="318" t="s">
        <v>333</v>
      </c>
      <c r="F654" s="319" t="s">
        <v>487</v>
      </c>
      <c r="G654" s="221">
        <v>75</v>
      </c>
      <c r="H654" s="14">
        <v>5141.4</v>
      </c>
      <c r="I654" s="14" t="e">
        <f>SUM(H654/#REF!*100)</f>
        <v>#REF!</v>
      </c>
      <c r="J654" s="16">
        <f>SUM('ведомствен.2015'!G525)</f>
        <v>75</v>
      </c>
    </row>
    <row r="655" spans="1:11" s="29" customFormat="1" ht="15">
      <c r="A655" s="374" t="s">
        <v>225</v>
      </c>
      <c r="B655" s="353"/>
      <c r="C655" s="171" t="s">
        <v>385</v>
      </c>
      <c r="D655" s="158"/>
      <c r="E655" s="158"/>
      <c r="F655" s="169"/>
      <c r="G655" s="343">
        <f>SUM(G656)+G674</f>
        <v>8566</v>
      </c>
      <c r="H655" s="28"/>
      <c r="I655" s="14"/>
      <c r="J655" s="37"/>
      <c r="K655" s="41">
        <f>SUM(J656:J685)</f>
        <v>8566</v>
      </c>
    </row>
    <row r="656" spans="1:10" s="29" customFormat="1" ht="15">
      <c r="A656" s="371" t="s">
        <v>220</v>
      </c>
      <c r="B656" s="350"/>
      <c r="C656" s="68" t="s">
        <v>385</v>
      </c>
      <c r="D656" s="107" t="s">
        <v>427</v>
      </c>
      <c r="E656" s="107"/>
      <c r="F656" s="165"/>
      <c r="G656" s="216">
        <f>SUM(G657+G663)</f>
        <v>7066</v>
      </c>
      <c r="H656" s="28"/>
      <c r="I656" s="14"/>
      <c r="J656" s="37"/>
    </row>
    <row r="657" spans="1:10" s="29" customFormat="1" ht="28.5">
      <c r="A657" s="371" t="s">
        <v>466</v>
      </c>
      <c r="B657" s="350"/>
      <c r="C657" s="68" t="s">
        <v>385</v>
      </c>
      <c r="D657" s="107" t="s">
        <v>427</v>
      </c>
      <c r="E657" s="107" t="s">
        <v>467</v>
      </c>
      <c r="F657" s="166"/>
      <c r="G657" s="216">
        <f>SUM(G658)</f>
        <v>3854.3</v>
      </c>
      <c r="H657" s="28"/>
      <c r="I657" s="14"/>
      <c r="J657" s="37"/>
    </row>
    <row r="658" spans="1:10" s="29" customFormat="1" ht="28.5">
      <c r="A658" s="371" t="s">
        <v>56</v>
      </c>
      <c r="B658" s="350"/>
      <c r="C658" s="68" t="s">
        <v>385</v>
      </c>
      <c r="D658" s="107" t="s">
        <v>427</v>
      </c>
      <c r="E658" s="107" t="s">
        <v>468</v>
      </c>
      <c r="F658" s="166"/>
      <c r="G658" s="216">
        <f>SUM(G659)</f>
        <v>3854.3</v>
      </c>
      <c r="H658" s="28"/>
      <c r="I658" s="14"/>
      <c r="J658" s="37"/>
    </row>
    <row r="659" spans="1:10" ht="28.5">
      <c r="A659" s="371" t="s">
        <v>597</v>
      </c>
      <c r="B659" s="350"/>
      <c r="C659" s="68" t="s">
        <v>385</v>
      </c>
      <c r="D659" s="107" t="s">
        <v>427</v>
      </c>
      <c r="E659" s="107" t="s">
        <v>544</v>
      </c>
      <c r="F659" s="166"/>
      <c r="G659" s="216">
        <f>SUM(G660:G662)</f>
        <v>3854.3</v>
      </c>
      <c r="H659" s="14"/>
      <c r="I659" s="14"/>
      <c r="J659"/>
    </row>
    <row r="660" spans="1:10" ht="28.5">
      <c r="A660" s="371" t="s">
        <v>470</v>
      </c>
      <c r="B660" s="350"/>
      <c r="C660" s="68" t="s">
        <v>385</v>
      </c>
      <c r="D660" s="107" t="s">
        <v>427</v>
      </c>
      <c r="E660" s="107" t="s">
        <v>544</v>
      </c>
      <c r="F660" s="165" t="s">
        <v>471</v>
      </c>
      <c r="G660" s="216">
        <v>3228.9</v>
      </c>
      <c r="H660" s="28"/>
      <c r="I660" s="14"/>
      <c r="J660">
        <f>SUM('ведомствен.2015'!G540)</f>
        <v>3228.9</v>
      </c>
    </row>
    <row r="661" spans="1:10" ht="15">
      <c r="A661" s="371" t="s">
        <v>475</v>
      </c>
      <c r="B661" s="350"/>
      <c r="C661" s="68" t="s">
        <v>385</v>
      </c>
      <c r="D661" s="107" t="s">
        <v>427</v>
      </c>
      <c r="E661" s="107" t="s">
        <v>544</v>
      </c>
      <c r="F661" s="165" t="s">
        <v>117</v>
      </c>
      <c r="G661" s="217">
        <v>619.4</v>
      </c>
      <c r="H661" s="28"/>
      <c r="I661" s="14"/>
      <c r="J661">
        <f>SUM('ведомствен.2015'!G541)</f>
        <v>619.4</v>
      </c>
    </row>
    <row r="662" spans="1:10" ht="15">
      <c r="A662" s="371" t="s">
        <v>476</v>
      </c>
      <c r="B662" s="350"/>
      <c r="C662" s="68" t="s">
        <v>385</v>
      </c>
      <c r="D662" s="107" t="s">
        <v>427</v>
      </c>
      <c r="E662" s="107" t="s">
        <v>544</v>
      </c>
      <c r="F662" s="166" t="s">
        <v>166</v>
      </c>
      <c r="G662" s="216">
        <v>6</v>
      </c>
      <c r="H662" s="28"/>
      <c r="I662" s="14"/>
      <c r="J662">
        <f>SUM('ведомствен.2015'!G542)</f>
        <v>6</v>
      </c>
    </row>
    <row r="663" spans="1:10" ht="15">
      <c r="A663" s="376" t="s">
        <v>558</v>
      </c>
      <c r="B663" s="350"/>
      <c r="C663" s="68" t="s">
        <v>385</v>
      </c>
      <c r="D663" s="107" t="s">
        <v>427</v>
      </c>
      <c r="E663" s="159" t="s">
        <v>126</v>
      </c>
      <c r="F663" s="165"/>
      <c r="G663" s="216">
        <f>SUM(G664)</f>
        <v>3211.7</v>
      </c>
      <c r="H663" s="14"/>
      <c r="I663" s="14"/>
      <c r="J663"/>
    </row>
    <row r="664" spans="1:10" ht="28.5">
      <c r="A664" s="371" t="s">
        <v>593</v>
      </c>
      <c r="B664" s="350"/>
      <c r="C664" s="68" t="s">
        <v>385</v>
      </c>
      <c r="D664" s="107" t="s">
        <v>427</v>
      </c>
      <c r="E664" s="159" t="s">
        <v>95</v>
      </c>
      <c r="F664" s="165"/>
      <c r="G664" s="216">
        <f>SUM(G665:G667)</f>
        <v>3211.7</v>
      </c>
      <c r="H664" s="35"/>
      <c r="I664" s="14"/>
      <c r="J664"/>
    </row>
    <row r="665" spans="1:10" ht="28.5">
      <c r="A665" s="371" t="s">
        <v>470</v>
      </c>
      <c r="B665" s="350"/>
      <c r="C665" s="68" t="s">
        <v>385</v>
      </c>
      <c r="D665" s="107" t="s">
        <v>427</v>
      </c>
      <c r="E665" s="159" t="s">
        <v>95</v>
      </c>
      <c r="F665" s="165" t="s">
        <v>471</v>
      </c>
      <c r="G665" s="216">
        <v>700</v>
      </c>
      <c r="H665" s="35"/>
      <c r="I665" s="14"/>
      <c r="J665">
        <f>SUM('ведомствен.2015'!G545)</f>
        <v>700</v>
      </c>
    </row>
    <row r="666" spans="1:10" ht="15.75">
      <c r="A666" s="371" t="s">
        <v>475</v>
      </c>
      <c r="B666" s="350"/>
      <c r="C666" s="68" t="s">
        <v>385</v>
      </c>
      <c r="D666" s="107" t="s">
        <v>427</v>
      </c>
      <c r="E666" s="159" t="s">
        <v>95</v>
      </c>
      <c r="F666" s="165" t="s">
        <v>117</v>
      </c>
      <c r="G666" s="216">
        <v>1555.7</v>
      </c>
      <c r="H666" s="35"/>
      <c r="I666" s="14"/>
      <c r="J666">
        <f>SUM('ведомствен.2015'!G546)</f>
        <v>1555.7</v>
      </c>
    </row>
    <row r="667" spans="1:10" ht="27.75" customHeight="1">
      <c r="A667" s="376" t="s">
        <v>489</v>
      </c>
      <c r="B667" s="350"/>
      <c r="C667" s="68" t="s">
        <v>385</v>
      </c>
      <c r="D667" s="107" t="s">
        <v>427</v>
      </c>
      <c r="E667" s="159" t="s">
        <v>95</v>
      </c>
      <c r="F667" s="165" t="s">
        <v>487</v>
      </c>
      <c r="G667" s="216">
        <v>956</v>
      </c>
      <c r="H667" s="35"/>
      <c r="I667" s="14"/>
      <c r="J667">
        <f>SUM('ведомствен.2015'!G547)</f>
        <v>956</v>
      </c>
    </row>
    <row r="668" spans="1:9" s="29" customFormat="1" ht="42.75" hidden="1">
      <c r="A668" s="371" t="s">
        <v>147</v>
      </c>
      <c r="B668" s="350"/>
      <c r="C668" s="68" t="s">
        <v>385</v>
      </c>
      <c r="D668" s="107" t="s">
        <v>427</v>
      </c>
      <c r="E668" s="159" t="s">
        <v>378</v>
      </c>
      <c r="F668" s="165"/>
      <c r="G668" s="216">
        <f>SUM(G669)</f>
        <v>0</v>
      </c>
      <c r="H668" s="28"/>
      <c r="I668" s="14"/>
    </row>
    <row r="669" spans="1:9" s="29" customFormat="1" ht="15" hidden="1">
      <c r="A669" s="376" t="s">
        <v>139</v>
      </c>
      <c r="B669" s="350"/>
      <c r="C669" s="68" t="s">
        <v>385</v>
      </c>
      <c r="D669" s="107" t="s">
        <v>427</v>
      </c>
      <c r="E669" s="159" t="s">
        <v>378</v>
      </c>
      <c r="F669" s="165" t="s">
        <v>83</v>
      </c>
      <c r="G669" s="216"/>
      <c r="H669" s="28"/>
      <c r="I669" s="14"/>
    </row>
    <row r="670" spans="1:9" s="29" customFormat="1" ht="15" hidden="1">
      <c r="A670" s="371" t="s">
        <v>150</v>
      </c>
      <c r="B670" s="350"/>
      <c r="C670" s="68" t="s">
        <v>385</v>
      </c>
      <c r="D670" s="107" t="s">
        <v>429</v>
      </c>
      <c r="E670" s="156"/>
      <c r="F670" s="166"/>
      <c r="G670" s="216">
        <f>SUM(G671)</f>
        <v>0</v>
      </c>
      <c r="H670" s="28"/>
      <c r="I670" s="14"/>
    </row>
    <row r="671" spans="1:10" s="29" customFormat="1" ht="15" hidden="1">
      <c r="A671" s="371" t="s">
        <v>3</v>
      </c>
      <c r="B671" s="350"/>
      <c r="C671" s="68" t="s">
        <v>385</v>
      </c>
      <c r="D671" s="107" t="s">
        <v>429</v>
      </c>
      <c r="E671" s="107" t="s">
        <v>4</v>
      </c>
      <c r="F671" s="166"/>
      <c r="G671" s="216">
        <f>SUM(G672)</f>
        <v>0</v>
      </c>
      <c r="H671" s="28"/>
      <c r="I671" s="14"/>
      <c r="J671"/>
    </row>
    <row r="672" spans="1:9" s="29" customFormat="1" ht="28.5" hidden="1">
      <c r="A672" s="371" t="s">
        <v>151</v>
      </c>
      <c r="B672" s="350"/>
      <c r="C672" s="68" t="s">
        <v>385</v>
      </c>
      <c r="D672" s="107" t="s">
        <v>429</v>
      </c>
      <c r="E672" s="107" t="s">
        <v>273</v>
      </c>
      <c r="F672" s="166"/>
      <c r="G672" s="216">
        <f>SUM(G673)</f>
        <v>0</v>
      </c>
      <c r="H672" s="28"/>
      <c r="I672" s="14"/>
    </row>
    <row r="673" spans="1:9" s="29" customFormat="1" ht="15" hidden="1">
      <c r="A673" s="376" t="s">
        <v>139</v>
      </c>
      <c r="B673" s="350"/>
      <c r="C673" s="68" t="s">
        <v>385</v>
      </c>
      <c r="D673" s="107" t="s">
        <v>429</v>
      </c>
      <c r="E673" s="107" t="s">
        <v>273</v>
      </c>
      <c r="F673" s="165" t="s">
        <v>83</v>
      </c>
      <c r="G673" s="216"/>
      <c r="H673" s="28"/>
      <c r="I673" s="14"/>
    </row>
    <row r="674" spans="1:10" ht="15">
      <c r="A674" s="371" t="s">
        <v>221</v>
      </c>
      <c r="B674" s="350"/>
      <c r="C674" s="68" t="s">
        <v>385</v>
      </c>
      <c r="D674" s="107" t="s">
        <v>128</v>
      </c>
      <c r="E674" s="156"/>
      <c r="F674" s="166"/>
      <c r="G674" s="216">
        <f>SUM(G675+G681+G683)+G678</f>
        <v>1500</v>
      </c>
      <c r="H674" s="14" t="e">
        <f>SUM(H679)+H683+H685</f>
        <v>#REF!</v>
      </c>
      <c r="I674" s="14" t="e">
        <f>SUM(H674/G680*100)</f>
        <v>#REF!</v>
      </c>
      <c r="J674"/>
    </row>
    <row r="675" spans="1:10" ht="42.75" hidden="1">
      <c r="A675" s="371" t="s">
        <v>96</v>
      </c>
      <c r="B675" s="350"/>
      <c r="C675" s="68" t="s">
        <v>385</v>
      </c>
      <c r="D675" s="107" t="s">
        <v>128</v>
      </c>
      <c r="E675" s="107" t="s">
        <v>97</v>
      </c>
      <c r="F675" s="166"/>
      <c r="G675" s="216">
        <f>SUM(G676)</f>
        <v>0</v>
      </c>
      <c r="H675" s="14"/>
      <c r="I675" s="14"/>
      <c r="J675"/>
    </row>
    <row r="676" spans="1:10" ht="15" hidden="1">
      <c r="A676" s="371" t="s">
        <v>104</v>
      </c>
      <c r="B676" s="350"/>
      <c r="C676" s="68" t="s">
        <v>385</v>
      </c>
      <c r="D676" s="107" t="s">
        <v>128</v>
      </c>
      <c r="E676" s="107" t="s">
        <v>106</v>
      </c>
      <c r="F676" s="166"/>
      <c r="G676" s="216">
        <f>SUM(G677)</f>
        <v>0</v>
      </c>
      <c r="H676" s="14"/>
      <c r="I676" s="14"/>
      <c r="J676"/>
    </row>
    <row r="677" spans="1:10" ht="15" hidden="1">
      <c r="A677" s="371" t="s">
        <v>100</v>
      </c>
      <c r="B677" s="350"/>
      <c r="C677" s="68" t="s">
        <v>385</v>
      </c>
      <c r="D677" s="107" t="s">
        <v>128</v>
      </c>
      <c r="E677" s="107" t="s">
        <v>106</v>
      </c>
      <c r="F677" s="165" t="s">
        <v>101</v>
      </c>
      <c r="G677" s="216"/>
      <c r="H677" s="18">
        <f>SUM(H678)</f>
        <v>1042.3</v>
      </c>
      <c r="I677" s="14" t="e">
        <f>SUM(H677/G683*100)</f>
        <v>#DIV/0!</v>
      </c>
      <c r="J677"/>
    </row>
    <row r="678" spans="1:10" ht="15">
      <c r="A678" s="151" t="s">
        <v>125</v>
      </c>
      <c r="B678" s="232"/>
      <c r="C678" s="225" t="s">
        <v>385</v>
      </c>
      <c r="D678" s="225" t="s">
        <v>128</v>
      </c>
      <c r="E678" s="228" t="s">
        <v>126</v>
      </c>
      <c r="F678" s="280"/>
      <c r="G678" s="197">
        <f>SUM(G679)</f>
        <v>1500</v>
      </c>
      <c r="H678" s="18">
        <v>1042.3</v>
      </c>
      <c r="I678" s="14" t="e">
        <f>SUM(H678/G684*100)</f>
        <v>#DIV/0!</v>
      </c>
      <c r="J678"/>
    </row>
    <row r="679" spans="1:9" s="29" customFormat="1" ht="28.5">
      <c r="A679" s="236" t="s">
        <v>742</v>
      </c>
      <c r="B679" s="224"/>
      <c r="C679" s="225" t="s">
        <v>385</v>
      </c>
      <c r="D679" s="225" t="s">
        <v>128</v>
      </c>
      <c r="E679" s="228" t="s">
        <v>54</v>
      </c>
      <c r="F679" s="280"/>
      <c r="G679" s="197">
        <f>SUM(G680)</f>
        <v>1500</v>
      </c>
      <c r="H679" s="28"/>
      <c r="I679" s="14"/>
    </row>
    <row r="680" spans="1:10" s="29" customFormat="1" ht="28.5">
      <c r="A680" s="194" t="s">
        <v>540</v>
      </c>
      <c r="B680" s="224"/>
      <c r="C680" s="225" t="s">
        <v>385</v>
      </c>
      <c r="D680" s="225" t="s">
        <v>128</v>
      </c>
      <c r="E680" s="228" t="s">
        <v>54</v>
      </c>
      <c r="F680" s="280" t="s">
        <v>535</v>
      </c>
      <c r="G680" s="197">
        <v>1500</v>
      </c>
      <c r="H680" s="28"/>
      <c r="I680" s="14"/>
      <c r="J680" s="29">
        <f>SUM('ведомствен.2015'!G294)</f>
        <v>1500</v>
      </c>
    </row>
    <row r="681" spans="1:11" s="65" customFormat="1" ht="15.75" hidden="1">
      <c r="A681" s="376" t="s">
        <v>355</v>
      </c>
      <c r="B681" s="350"/>
      <c r="C681" s="68" t="s">
        <v>385</v>
      </c>
      <c r="D681" s="107" t="s">
        <v>128</v>
      </c>
      <c r="E681" s="156" t="s">
        <v>356</v>
      </c>
      <c r="F681" s="166"/>
      <c r="G681" s="216">
        <f>SUM(G682)</f>
        <v>0</v>
      </c>
      <c r="H681" s="64"/>
      <c r="I681" s="17"/>
      <c r="K681" s="72"/>
    </row>
    <row r="682" spans="1:9" s="29" customFormat="1" ht="15" hidden="1">
      <c r="A682" s="371" t="s">
        <v>100</v>
      </c>
      <c r="B682" s="350"/>
      <c r="C682" s="68" t="s">
        <v>385</v>
      </c>
      <c r="D682" s="107" t="s">
        <v>128</v>
      </c>
      <c r="E682" s="156" t="s">
        <v>356</v>
      </c>
      <c r="F682" s="166" t="s">
        <v>101</v>
      </c>
      <c r="G682" s="216"/>
      <c r="H682" s="28"/>
      <c r="I682" s="14"/>
    </row>
    <row r="683" spans="1:9" s="29" customFormat="1" ht="28.5" hidden="1">
      <c r="A683" s="372" t="s">
        <v>110</v>
      </c>
      <c r="B683" s="350"/>
      <c r="C683" s="68" t="s">
        <v>385</v>
      </c>
      <c r="D683" s="107" t="s">
        <v>128</v>
      </c>
      <c r="E683" s="107" t="s">
        <v>111</v>
      </c>
      <c r="F683" s="167"/>
      <c r="G683" s="216">
        <f>SUM(G685)</f>
        <v>0</v>
      </c>
      <c r="H683" s="18" t="e">
        <f>SUM(H684)</f>
        <v>#REF!</v>
      </c>
      <c r="I683" s="14" t="e">
        <f>SUM(H683/G688*100)</f>
        <v>#REF!</v>
      </c>
    </row>
    <row r="684" spans="1:9" s="29" customFormat="1" ht="15" hidden="1">
      <c r="A684" s="372" t="s">
        <v>112</v>
      </c>
      <c r="B684" s="350"/>
      <c r="C684" s="68" t="s">
        <v>385</v>
      </c>
      <c r="D684" s="107" t="s">
        <v>128</v>
      </c>
      <c r="E684" s="107" t="s">
        <v>228</v>
      </c>
      <c r="F684" s="167"/>
      <c r="G684" s="216">
        <f>SUM(G685)</f>
        <v>0</v>
      </c>
      <c r="H684" s="18" t="e">
        <f>SUM(H685)</f>
        <v>#REF!</v>
      </c>
      <c r="I684" s="14" t="e">
        <f>SUM(H684/G689*100)</f>
        <v>#REF!</v>
      </c>
    </row>
    <row r="685" spans="1:10" s="29" customFormat="1" ht="15" hidden="1">
      <c r="A685" s="371" t="s">
        <v>100</v>
      </c>
      <c r="B685" s="350"/>
      <c r="C685" s="68" t="s">
        <v>385</v>
      </c>
      <c r="D685" s="107" t="s">
        <v>128</v>
      </c>
      <c r="E685" s="107" t="s">
        <v>228</v>
      </c>
      <c r="F685" s="167" t="s">
        <v>101</v>
      </c>
      <c r="G685" s="216"/>
      <c r="H685" s="18" t="e">
        <f>SUM(#REF!)</f>
        <v>#REF!</v>
      </c>
      <c r="I685" s="14" t="e">
        <f>SUM(H685/G690*100)</f>
        <v>#REF!</v>
      </c>
      <c r="J685" s="41"/>
    </row>
    <row r="686" spans="1:9" ht="16.5" thickBot="1">
      <c r="A686" s="374" t="s">
        <v>368</v>
      </c>
      <c r="B686" s="353"/>
      <c r="C686" s="168" t="s">
        <v>218</v>
      </c>
      <c r="D686" s="157" t="s">
        <v>174</v>
      </c>
      <c r="E686" s="157"/>
      <c r="F686" s="170"/>
      <c r="G686" s="343">
        <f>SUM(G687)</f>
        <v>38000</v>
      </c>
      <c r="H686" s="30">
        <f>-76000-174.5-350</f>
        <v>-76524.5</v>
      </c>
      <c r="I686" s="30">
        <f>-76000-174.5-350</f>
        <v>-76524.5</v>
      </c>
    </row>
    <row r="687" spans="1:9" ht="28.5">
      <c r="A687" s="371" t="s">
        <v>219</v>
      </c>
      <c r="B687" s="350"/>
      <c r="C687" s="68" t="s">
        <v>218</v>
      </c>
      <c r="D687" s="107" t="s">
        <v>427</v>
      </c>
      <c r="E687" s="107"/>
      <c r="F687" s="165"/>
      <c r="G687" s="216">
        <f>SUM(G688)</f>
        <v>38000</v>
      </c>
      <c r="H687" s="31"/>
      <c r="I687" s="31"/>
    </row>
    <row r="688" spans="1:9" ht="15.75" thickBot="1">
      <c r="A688" s="371" t="s">
        <v>369</v>
      </c>
      <c r="B688" s="350"/>
      <c r="C688" s="68" t="s">
        <v>218</v>
      </c>
      <c r="D688" s="107" t="s">
        <v>427</v>
      </c>
      <c r="E688" s="107" t="s">
        <v>370</v>
      </c>
      <c r="F688" s="167"/>
      <c r="G688" s="216">
        <f>SUM(G690)</f>
        <v>38000</v>
      </c>
      <c r="H688" s="32"/>
      <c r="I688" s="32"/>
    </row>
    <row r="689" spans="1:9" ht="15">
      <c r="A689" s="371" t="s">
        <v>371</v>
      </c>
      <c r="B689" s="350"/>
      <c r="C689" s="68" t="s">
        <v>218</v>
      </c>
      <c r="D689" s="107" t="s">
        <v>427</v>
      </c>
      <c r="E689" s="107" t="s">
        <v>372</v>
      </c>
      <c r="F689" s="167"/>
      <c r="G689" s="216">
        <f>SUM(G690)</f>
        <v>38000</v>
      </c>
      <c r="H689" s="33">
        <v>0</v>
      </c>
      <c r="I689" s="33">
        <v>0</v>
      </c>
    </row>
    <row r="690" spans="1:10" ht="15.75" thickBot="1">
      <c r="A690" s="371" t="s">
        <v>483</v>
      </c>
      <c r="B690" s="350"/>
      <c r="C690" s="68" t="s">
        <v>218</v>
      </c>
      <c r="D690" s="107" t="s">
        <v>427</v>
      </c>
      <c r="E690" s="107" t="s">
        <v>372</v>
      </c>
      <c r="F690" s="167" t="s">
        <v>165</v>
      </c>
      <c r="G690" s="216">
        <v>38000</v>
      </c>
      <c r="H690" s="33">
        <v>62000</v>
      </c>
      <c r="I690" s="33">
        <v>62000</v>
      </c>
      <c r="J690" s="37">
        <f>SUM('ведомствен.2015'!G340)</f>
        <v>38000</v>
      </c>
    </row>
    <row r="691" spans="1:10" ht="18" customHeight="1" thickBot="1">
      <c r="A691" s="390" t="s">
        <v>162</v>
      </c>
      <c r="B691" s="370"/>
      <c r="C691" s="324"/>
      <c r="D691" s="160"/>
      <c r="E691" s="160"/>
      <c r="F691" s="173"/>
      <c r="G691" s="348">
        <f>SUM(G13+G88+G119+G162+G246+G257+G372+G445+G495+G655+G686)</f>
        <v>3278108.7</v>
      </c>
      <c r="H691" s="34">
        <v>62000</v>
      </c>
      <c r="I691" s="34">
        <v>62000</v>
      </c>
      <c r="J691" s="40">
        <f>SUM(J13:J690)</f>
        <v>3278108.6999999974</v>
      </c>
    </row>
    <row r="692" ht="0.75" customHeight="1" hidden="1">
      <c r="G692" s="70"/>
    </row>
    <row r="693" spans="7:10" ht="12.75" hidden="1">
      <c r="G693" s="111">
        <f>SUM(J691-G691)</f>
        <v>-2.7939677238464355E-09</v>
      </c>
      <c r="J693" s="37">
        <f>SUM('ведомствен.2015'!G837-'функцион.2015'!J691)</f>
        <v>2.7939677238464355E-09</v>
      </c>
    </row>
  </sheetData>
  <sheetProtection/>
  <mergeCells count="2">
    <mergeCell ref="F5:G5"/>
    <mergeCell ref="A11:A12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42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78.25390625" style="125" customWidth="1"/>
    <col min="2" max="2" width="6.875" style="126" customWidth="1"/>
    <col min="3" max="3" width="7.75390625" style="127" customWidth="1"/>
    <col min="4" max="4" width="6.875" style="127" customWidth="1"/>
    <col min="5" max="5" width="12.75390625" style="127" customWidth="1"/>
    <col min="6" max="6" width="10.125" style="127" customWidth="1"/>
    <col min="7" max="7" width="17.125" style="129" customWidth="1"/>
    <col min="8" max="8" width="11.00390625" style="129" hidden="1" customWidth="1"/>
    <col min="9" max="9" width="4.375" style="129" hidden="1" customWidth="1"/>
    <col min="10" max="10" width="5.875" style="127" customWidth="1"/>
    <col min="11" max="11" width="17.00390625" style="127" customWidth="1"/>
    <col min="12" max="16384" width="9.125" style="127" customWidth="1"/>
  </cols>
  <sheetData>
    <row r="1" spans="6:9" ht="15">
      <c r="F1" s="113" t="s">
        <v>706</v>
      </c>
      <c r="G1" s="114"/>
      <c r="I1" s="130"/>
    </row>
    <row r="2" spans="1:9" ht="15">
      <c r="A2" s="125" t="s">
        <v>231</v>
      </c>
      <c r="F2" s="112" t="s">
        <v>744</v>
      </c>
      <c r="G2" s="114"/>
      <c r="I2" s="130"/>
    </row>
    <row r="3" spans="6:9" ht="15">
      <c r="F3" s="112" t="s">
        <v>250</v>
      </c>
      <c r="G3" s="114"/>
      <c r="I3" s="130"/>
    </row>
    <row r="4" spans="6:9" ht="15">
      <c r="F4" s="112" t="s">
        <v>251</v>
      </c>
      <c r="G4" s="114"/>
      <c r="I4" s="130"/>
    </row>
    <row r="5" spans="2:7" ht="15.75">
      <c r="B5" s="131" t="s">
        <v>232</v>
      </c>
      <c r="F5" s="421" t="s">
        <v>746</v>
      </c>
      <c r="G5" s="421"/>
    </row>
    <row r="6" ht="15.75">
      <c r="B6" s="131" t="s">
        <v>233</v>
      </c>
    </row>
    <row r="7" ht="15.75">
      <c r="B7" s="131" t="s">
        <v>604</v>
      </c>
    </row>
    <row r="8" ht="16.5" thickBot="1">
      <c r="B8" s="115"/>
    </row>
    <row r="9" spans="1:9" ht="15">
      <c r="A9" s="424" t="s">
        <v>234</v>
      </c>
      <c r="B9" s="274" t="s">
        <v>256</v>
      </c>
      <c r="C9" s="272"/>
      <c r="D9" s="272"/>
      <c r="E9" s="272"/>
      <c r="F9" s="275"/>
      <c r="G9" s="161" t="s">
        <v>257</v>
      </c>
      <c r="H9" s="132" t="s">
        <v>258</v>
      </c>
      <c r="I9" s="132" t="s">
        <v>259</v>
      </c>
    </row>
    <row r="10" spans="1:9" ht="55.5" customHeight="1" thickBot="1">
      <c r="A10" s="425"/>
      <c r="B10" s="276" t="s">
        <v>260</v>
      </c>
      <c r="C10" s="273" t="s">
        <v>261</v>
      </c>
      <c r="D10" s="273" t="s">
        <v>262</v>
      </c>
      <c r="E10" s="273" t="s">
        <v>263</v>
      </c>
      <c r="F10" s="277" t="s">
        <v>484</v>
      </c>
      <c r="G10" s="162" t="s">
        <v>605</v>
      </c>
      <c r="H10" s="133" t="s">
        <v>424</v>
      </c>
      <c r="I10" s="133" t="s">
        <v>425</v>
      </c>
    </row>
    <row r="11" spans="1:9" ht="15.75">
      <c r="A11" s="246" t="s">
        <v>181</v>
      </c>
      <c r="B11" s="247" t="s">
        <v>182</v>
      </c>
      <c r="C11" s="248"/>
      <c r="D11" s="248"/>
      <c r="E11" s="248"/>
      <c r="F11" s="278"/>
      <c r="G11" s="212">
        <f>SUM(G12)</f>
        <v>20640.1</v>
      </c>
      <c r="H11" s="116" t="e">
        <f>SUM(H12)+#REF!+#REF!</f>
        <v>#REF!</v>
      </c>
      <c r="I11" s="116" t="e">
        <f aca="true" t="shared" si="0" ref="I11:I42">SUM(H11/G11*100)</f>
        <v>#REF!</v>
      </c>
    </row>
    <row r="12" spans="1:9" ht="15">
      <c r="A12" s="223" t="s">
        <v>426</v>
      </c>
      <c r="B12" s="224"/>
      <c r="C12" s="225" t="s">
        <v>427</v>
      </c>
      <c r="D12" s="225"/>
      <c r="E12" s="225"/>
      <c r="F12" s="279"/>
      <c r="G12" s="197">
        <f>SUM(G13+G17+G24)</f>
        <v>20640.1</v>
      </c>
      <c r="H12" s="22">
        <f>SUM(H13+H17+H24)</f>
        <v>9401.9</v>
      </c>
      <c r="I12" s="22">
        <f t="shared" si="0"/>
        <v>45.551620389436096</v>
      </c>
    </row>
    <row r="13" spans="1:9" ht="28.5">
      <c r="A13" s="223" t="s">
        <v>428</v>
      </c>
      <c r="B13" s="224"/>
      <c r="C13" s="225" t="s">
        <v>427</v>
      </c>
      <c r="D13" s="225" t="s">
        <v>429</v>
      </c>
      <c r="E13" s="225"/>
      <c r="F13" s="279"/>
      <c r="G13" s="197">
        <f>SUM(G14)</f>
        <v>1725</v>
      </c>
      <c r="H13" s="22">
        <f>SUM(H14)</f>
        <v>983.5</v>
      </c>
      <c r="I13" s="22">
        <f t="shared" si="0"/>
        <v>57.014492753623195</v>
      </c>
    </row>
    <row r="14" spans="1:9" ht="28.5">
      <c r="A14" s="223" t="s">
        <v>96</v>
      </c>
      <c r="B14" s="224"/>
      <c r="C14" s="225" t="s">
        <v>427</v>
      </c>
      <c r="D14" s="225" t="s">
        <v>429</v>
      </c>
      <c r="E14" s="225" t="s">
        <v>97</v>
      </c>
      <c r="F14" s="279"/>
      <c r="G14" s="197">
        <f>SUM(G16)</f>
        <v>1725</v>
      </c>
      <c r="H14" s="22">
        <f>SUM(H16:H16)</f>
        <v>983.5</v>
      </c>
      <c r="I14" s="22">
        <f t="shared" si="0"/>
        <v>57.014492753623195</v>
      </c>
    </row>
    <row r="15" spans="1:9" ht="15">
      <c r="A15" s="223" t="s">
        <v>98</v>
      </c>
      <c r="B15" s="224"/>
      <c r="C15" s="225" t="s">
        <v>427</v>
      </c>
      <c r="D15" s="225" t="s">
        <v>429</v>
      </c>
      <c r="E15" s="225" t="s">
        <v>99</v>
      </c>
      <c r="F15" s="279"/>
      <c r="G15" s="197">
        <f>SUM(G16)</f>
        <v>1725</v>
      </c>
      <c r="H15" s="22">
        <f>SUM(H16)</f>
        <v>983.5</v>
      </c>
      <c r="I15" s="22">
        <f t="shared" si="0"/>
        <v>57.014492753623195</v>
      </c>
    </row>
    <row r="16" spans="1:9" ht="28.5">
      <c r="A16" s="223" t="s">
        <v>470</v>
      </c>
      <c r="B16" s="224"/>
      <c r="C16" s="225" t="s">
        <v>427</v>
      </c>
      <c r="D16" s="225" t="s">
        <v>429</v>
      </c>
      <c r="E16" s="225" t="s">
        <v>99</v>
      </c>
      <c r="F16" s="279" t="s">
        <v>471</v>
      </c>
      <c r="G16" s="197">
        <v>1725</v>
      </c>
      <c r="H16" s="22">
        <v>983.5</v>
      </c>
      <c r="I16" s="22">
        <f t="shared" si="0"/>
        <v>57.014492753623195</v>
      </c>
    </row>
    <row r="17" spans="1:9" ht="42.75">
      <c r="A17" s="223" t="s">
        <v>102</v>
      </c>
      <c r="B17" s="224"/>
      <c r="C17" s="225" t="s">
        <v>427</v>
      </c>
      <c r="D17" s="225" t="s">
        <v>103</v>
      </c>
      <c r="E17" s="225"/>
      <c r="F17" s="279"/>
      <c r="G17" s="197">
        <f>SUM(G18)</f>
        <v>11601.1</v>
      </c>
      <c r="H17" s="22">
        <f>SUM(H18)</f>
        <v>8231.8</v>
      </c>
      <c r="I17" s="22">
        <f t="shared" si="0"/>
        <v>70.95706441630534</v>
      </c>
    </row>
    <row r="18" spans="1:9" ht="28.5">
      <c r="A18" s="223" t="s">
        <v>96</v>
      </c>
      <c r="B18" s="224"/>
      <c r="C18" s="225" t="s">
        <v>427</v>
      </c>
      <c r="D18" s="225" t="s">
        <v>103</v>
      </c>
      <c r="E18" s="225" t="s">
        <v>97</v>
      </c>
      <c r="F18" s="280"/>
      <c r="G18" s="197">
        <f>SUM(G19+G22)</f>
        <v>11601.1</v>
      </c>
      <c r="H18" s="22">
        <f>SUM(H19+H22)</f>
        <v>8231.8</v>
      </c>
      <c r="I18" s="22">
        <f t="shared" si="0"/>
        <v>70.95706441630534</v>
      </c>
    </row>
    <row r="19" spans="1:9" ht="15">
      <c r="A19" s="223" t="s">
        <v>104</v>
      </c>
      <c r="B19" s="224"/>
      <c r="C19" s="225" t="s">
        <v>105</v>
      </c>
      <c r="D19" s="225" t="s">
        <v>103</v>
      </c>
      <c r="E19" s="225" t="s">
        <v>106</v>
      </c>
      <c r="F19" s="280"/>
      <c r="G19" s="197">
        <f>SUM(G20+G21)</f>
        <v>11601.1</v>
      </c>
      <c r="H19" s="22">
        <f>SUM(H20)</f>
        <v>8068.7</v>
      </c>
      <c r="I19" s="22">
        <f t="shared" si="0"/>
        <v>69.55116325176061</v>
      </c>
    </row>
    <row r="20" spans="1:9" ht="28.5">
      <c r="A20" s="223" t="s">
        <v>470</v>
      </c>
      <c r="B20" s="224"/>
      <c r="C20" s="225" t="s">
        <v>427</v>
      </c>
      <c r="D20" s="225" t="s">
        <v>103</v>
      </c>
      <c r="E20" s="225" t="s">
        <v>106</v>
      </c>
      <c r="F20" s="279" t="s">
        <v>471</v>
      </c>
      <c r="G20" s="197">
        <f>8483.9+823.6+2184+100</f>
        <v>11591.5</v>
      </c>
      <c r="H20" s="22">
        <v>8068.7</v>
      </c>
      <c r="I20" s="22">
        <f t="shared" si="0"/>
        <v>69.60876504335073</v>
      </c>
    </row>
    <row r="21" spans="1:9" ht="15">
      <c r="A21" s="223" t="s">
        <v>475</v>
      </c>
      <c r="B21" s="224"/>
      <c r="C21" s="225" t="s">
        <v>427</v>
      </c>
      <c r="D21" s="225" t="s">
        <v>103</v>
      </c>
      <c r="E21" s="225" t="s">
        <v>106</v>
      </c>
      <c r="F21" s="279" t="s">
        <v>117</v>
      </c>
      <c r="G21" s="205">
        <v>9.6</v>
      </c>
      <c r="H21" s="22"/>
      <c r="I21" s="22"/>
    </row>
    <row r="22" spans="1:9" ht="15" hidden="1">
      <c r="A22" s="223" t="s">
        <v>107</v>
      </c>
      <c r="B22" s="224"/>
      <c r="C22" s="225" t="s">
        <v>105</v>
      </c>
      <c r="D22" s="225" t="s">
        <v>103</v>
      </c>
      <c r="E22" s="225" t="s">
        <v>108</v>
      </c>
      <c r="F22" s="279"/>
      <c r="G22" s="197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223" t="s">
        <v>100</v>
      </c>
      <c r="B23" s="224"/>
      <c r="C23" s="225" t="s">
        <v>105</v>
      </c>
      <c r="D23" s="225" t="s">
        <v>103</v>
      </c>
      <c r="E23" s="225" t="s">
        <v>108</v>
      </c>
      <c r="F23" s="279" t="s">
        <v>101</v>
      </c>
      <c r="G23" s="197"/>
      <c r="H23" s="22">
        <v>163.1</v>
      </c>
      <c r="I23" s="22" t="e">
        <f t="shared" si="0"/>
        <v>#DIV/0!</v>
      </c>
    </row>
    <row r="24" spans="1:9" ht="15">
      <c r="A24" s="223" t="s">
        <v>109</v>
      </c>
      <c r="B24" s="224"/>
      <c r="C24" s="225" t="s">
        <v>427</v>
      </c>
      <c r="D24" s="225" t="s">
        <v>218</v>
      </c>
      <c r="E24" s="225"/>
      <c r="F24" s="280"/>
      <c r="G24" s="197">
        <f>SUM(G25)</f>
        <v>7313.999999999999</v>
      </c>
      <c r="H24" s="22">
        <f>SUM(H31)</f>
        <v>186.6</v>
      </c>
      <c r="I24" s="22">
        <f t="shared" si="0"/>
        <v>2.551271534044299</v>
      </c>
    </row>
    <row r="25" spans="1:9" ht="28.5">
      <c r="A25" s="223" t="s">
        <v>472</v>
      </c>
      <c r="B25" s="224"/>
      <c r="C25" s="225" t="s">
        <v>427</v>
      </c>
      <c r="D25" s="225" t="s">
        <v>218</v>
      </c>
      <c r="E25" s="225" t="s">
        <v>473</v>
      </c>
      <c r="F25" s="280"/>
      <c r="G25" s="197">
        <f>SUM(G26+G29+G31)</f>
        <v>7313.999999999999</v>
      </c>
      <c r="H25" s="22"/>
      <c r="I25" s="22"/>
    </row>
    <row r="26" spans="1:9" ht="15">
      <c r="A26" s="223" t="s">
        <v>463</v>
      </c>
      <c r="B26" s="224"/>
      <c r="C26" s="225" t="s">
        <v>427</v>
      </c>
      <c r="D26" s="225" t="s">
        <v>218</v>
      </c>
      <c r="E26" s="225" t="s">
        <v>474</v>
      </c>
      <c r="F26" s="279"/>
      <c r="G26" s="205">
        <f>SUM(G27:G28)</f>
        <v>620.6</v>
      </c>
      <c r="H26" s="22"/>
      <c r="I26" s="22"/>
    </row>
    <row r="27" spans="1:9" ht="15">
      <c r="A27" s="223" t="s">
        <v>475</v>
      </c>
      <c r="B27" s="224"/>
      <c r="C27" s="225" t="s">
        <v>427</v>
      </c>
      <c r="D27" s="225" t="s">
        <v>218</v>
      </c>
      <c r="E27" s="225" t="s">
        <v>474</v>
      </c>
      <c r="F27" s="279" t="s">
        <v>117</v>
      </c>
      <c r="G27" s="205">
        <v>576.2</v>
      </c>
      <c r="H27" s="22"/>
      <c r="I27" s="22"/>
    </row>
    <row r="28" spans="1:9" ht="15">
      <c r="A28" s="223" t="s">
        <v>476</v>
      </c>
      <c r="B28" s="224"/>
      <c r="C28" s="225" t="s">
        <v>427</v>
      </c>
      <c r="D28" s="225" t="s">
        <v>218</v>
      </c>
      <c r="E28" s="225" t="s">
        <v>474</v>
      </c>
      <c r="F28" s="279" t="s">
        <v>166</v>
      </c>
      <c r="G28" s="205">
        <v>44.4</v>
      </c>
      <c r="H28" s="22"/>
      <c r="I28" s="22"/>
    </row>
    <row r="29" spans="1:9" ht="28.5">
      <c r="A29" s="223" t="s">
        <v>464</v>
      </c>
      <c r="B29" s="224"/>
      <c r="C29" s="225" t="s">
        <v>427</v>
      </c>
      <c r="D29" s="225" t="s">
        <v>218</v>
      </c>
      <c r="E29" s="225" t="s">
        <v>477</v>
      </c>
      <c r="F29" s="279"/>
      <c r="G29" s="205">
        <f>SUM(G30)</f>
        <v>403.2</v>
      </c>
      <c r="H29" s="22"/>
      <c r="I29" s="22"/>
    </row>
    <row r="30" spans="1:9" ht="15">
      <c r="A30" s="223" t="s">
        <v>475</v>
      </c>
      <c r="B30" s="224"/>
      <c r="C30" s="225" t="s">
        <v>427</v>
      </c>
      <c r="D30" s="225" t="s">
        <v>218</v>
      </c>
      <c r="E30" s="225" t="s">
        <v>477</v>
      </c>
      <c r="F30" s="279" t="s">
        <v>117</v>
      </c>
      <c r="G30" s="205">
        <v>403.2</v>
      </c>
      <c r="H30" s="22"/>
      <c r="I30" s="22"/>
    </row>
    <row r="31" spans="1:9" ht="28.5">
      <c r="A31" s="187" t="s">
        <v>478</v>
      </c>
      <c r="B31" s="224"/>
      <c r="C31" s="225" t="s">
        <v>427</v>
      </c>
      <c r="D31" s="225" t="s">
        <v>218</v>
      </c>
      <c r="E31" s="225" t="s">
        <v>479</v>
      </c>
      <c r="F31" s="281"/>
      <c r="G31" s="197">
        <f>SUM(G32:G34)</f>
        <v>6290.199999999999</v>
      </c>
      <c r="H31" s="22">
        <f>SUM(H34)</f>
        <v>186.6</v>
      </c>
      <c r="I31" s="22">
        <f t="shared" si="0"/>
        <v>2.966519347556517</v>
      </c>
    </row>
    <row r="32" spans="1:9" ht="15">
      <c r="A32" s="223" t="s">
        <v>475</v>
      </c>
      <c r="B32" s="224"/>
      <c r="C32" s="225" t="s">
        <v>427</v>
      </c>
      <c r="D32" s="225" t="s">
        <v>218</v>
      </c>
      <c r="E32" s="225" t="s">
        <v>479</v>
      </c>
      <c r="F32" s="281" t="s">
        <v>117</v>
      </c>
      <c r="G32" s="197">
        <f>8619.3-3000</f>
        <v>5619.299999999999</v>
      </c>
      <c r="H32" s="22">
        <f>SUM(H34)</f>
        <v>186.6</v>
      </c>
      <c r="I32" s="22">
        <f t="shared" si="0"/>
        <v>3.320698307618387</v>
      </c>
    </row>
    <row r="33" spans="1:9" ht="15">
      <c r="A33" s="223" t="s">
        <v>480</v>
      </c>
      <c r="B33" s="224"/>
      <c r="C33" s="225" t="s">
        <v>427</v>
      </c>
      <c r="D33" s="225" t="s">
        <v>218</v>
      </c>
      <c r="E33" s="225" t="s">
        <v>479</v>
      </c>
      <c r="F33" s="281" t="s">
        <v>481</v>
      </c>
      <c r="G33" s="197">
        <v>667</v>
      </c>
      <c r="H33" s="22"/>
      <c r="I33" s="22"/>
    </row>
    <row r="34" spans="1:9" ht="15">
      <c r="A34" s="223" t="s">
        <v>476</v>
      </c>
      <c r="B34" s="224"/>
      <c r="C34" s="225" t="s">
        <v>427</v>
      </c>
      <c r="D34" s="225" t="s">
        <v>218</v>
      </c>
      <c r="E34" s="225" t="s">
        <v>479</v>
      </c>
      <c r="F34" s="281" t="s">
        <v>166</v>
      </c>
      <c r="G34" s="197">
        <f>2.8+1.1</f>
        <v>3.9</v>
      </c>
      <c r="H34" s="22">
        <v>186.6</v>
      </c>
      <c r="I34" s="22">
        <f t="shared" si="0"/>
        <v>4784.615384615385</v>
      </c>
    </row>
    <row r="35" spans="1:9" ht="15.75">
      <c r="A35" s="226" t="s">
        <v>183</v>
      </c>
      <c r="B35" s="227" t="s">
        <v>184</v>
      </c>
      <c r="C35" s="228"/>
      <c r="D35" s="228"/>
      <c r="E35" s="228"/>
      <c r="F35" s="280"/>
      <c r="G35" s="206">
        <f aca="true" t="shared" si="1" ref="G35:H37">SUM(G36)</f>
        <v>6617.7</v>
      </c>
      <c r="H35" s="117" t="e">
        <f t="shared" si="1"/>
        <v>#REF!</v>
      </c>
      <c r="I35" s="117" t="e">
        <f t="shared" si="0"/>
        <v>#REF!</v>
      </c>
    </row>
    <row r="36" spans="1:9" ht="15">
      <c r="A36" s="223" t="s">
        <v>426</v>
      </c>
      <c r="B36" s="224"/>
      <c r="C36" s="225" t="s">
        <v>427</v>
      </c>
      <c r="D36" s="225"/>
      <c r="E36" s="225"/>
      <c r="F36" s="279"/>
      <c r="G36" s="197">
        <f>SUM(G37)+G44</f>
        <v>6617.7</v>
      </c>
      <c r="H36" s="22" t="e">
        <f t="shared" si="1"/>
        <v>#REF!</v>
      </c>
      <c r="I36" s="22" t="e">
        <f t="shared" si="0"/>
        <v>#REF!</v>
      </c>
    </row>
    <row r="37" spans="1:9" ht="28.5">
      <c r="A37" s="187" t="s">
        <v>358</v>
      </c>
      <c r="B37" s="224"/>
      <c r="C37" s="225" t="s">
        <v>427</v>
      </c>
      <c r="D37" s="225" t="s">
        <v>359</v>
      </c>
      <c r="E37" s="225"/>
      <c r="F37" s="279"/>
      <c r="G37" s="197">
        <f t="shared" si="1"/>
        <v>5584.9</v>
      </c>
      <c r="H37" s="22" t="e">
        <f t="shared" si="1"/>
        <v>#REF!</v>
      </c>
      <c r="I37" s="22" t="e">
        <f t="shared" si="0"/>
        <v>#REF!</v>
      </c>
    </row>
    <row r="38" spans="1:9" ht="28.5">
      <c r="A38" s="223" t="s">
        <v>96</v>
      </c>
      <c r="B38" s="224"/>
      <c r="C38" s="225" t="s">
        <v>427</v>
      </c>
      <c r="D38" s="225" t="s">
        <v>359</v>
      </c>
      <c r="E38" s="225" t="s">
        <v>97</v>
      </c>
      <c r="F38" s="280"/>
      <c r="G38" s="197">
        <f>SUM(G39+G42)</f>
        <v>5584.9</v>
      </c>
      <c r="H38" s="22" t="e">
        <f>SUM(H39+H42)</f>
        <v>#REF!</v>
      </c>
      <c r="I38" s="22" t="e">
        <f t="shared" si="0"/>
        <v>#REF!</v>
      </c>
    </row>
    <row r="39" spans="1:9" ht="15">
      <c r="A39" s="223" t="s">
        <v>104</v>
      </c>
      <c r="B39" s="224"/>
      <c r="C39" s="225" t="s">
        <v>427</v>
      </c>
      <c r="D39" s="225" t="s">
        <v>359</v>
      </c>
      <c r="E39" s="225" t="s">
        <v>106</v>
      </c>
      <c r="F39" s="280"/>
      <c r="G39" s="197">
        <f>SUM(G40)+G41</f>
        <v>3892.9</v>
      </c>
      <c r="H39" s="22">
        <f>SUM(H40)</f>
        <v>2155.5</v>
      </c>
      <c r="I39" s="22">
        <f t="shared" si="0"/>
        <v>55.37003262349405</v>
      </c>
    </row>
    <row r="40" spans="1:9" ht="28.5">
      <c r="A40" s="223" t="s">
        <v>470</v>
      </c>
      <c r="B40" s="224"/>
      <c r="C40" s="225" t="s">
        <v>427</v>
      </c>
      <c r="D40" s="225" t="s">
        <v>359</v>
      </c>
      <c r="E40" s="225" t="s">
        <v>106</v>
      </c>
      <c r="F40" s="279" t="s">
        <v>471</v>
      </c>
      <c r="G40" s="197">
        <v>3886.9</v>
      </c>
      <c r="H40" s="22">
        <v>2155.5</v>
      </c>
      <c r="I40" s="22">
        <f t="shared" si="0"/>
        <v>55.45550438652911</v>
      </c>
    </row>
    <row r="41" spans="1:9" ht="15">
      <c r="A41" s="223" t="s">
        <v>475</v>
      </c>
      <c r="B41" s="224"/>
      <c r="C41" s="225" t="s">
        <v>427</v>
      </c>
      <c r="D41" s="225" t="s">
        <v>359</v>
      </c>
      <c r="E41" s="225" t="s">
        <v>106</v>
      </c>
      <c r="F41" s="279" t="s">
        <v>117</v>
      </c>
      <c r="G41" s="205">
        <v>6</v>
      </c>
      <c r="H41" s="22"/>
      <c r="I41" s="22"/>
    </row>
    <row r="42" spans="1:9" s="134" customFormat="1" ht="28.5">
      <c r="A42" s="223" t="s">
        <v>362</v>
      </c>
      <c r="B42" s="224"/>
      <c r="C42" s="225" t="s">
        <v>105</v>
      </c>
      <c r="D42" s="225" t="s">
        <v>359</v>
      </c>
      <c r="E42" s="225" t="s">
        <v>363</v>
      </c>
      <c r="F42" s="281"/>
      <c r="G42" s="197">
        <f>SUM(G43)</f>
        <v>1692</v>
      </c>
      <c r="H42" s="22" t="e">
        <f>SUM(#REF!)</f>
        <v>#REF!</v>
      </c>
      <c r="I42" s="22" t="e">
        <f t="shared" si="0"/>
        <v>#REF!</v>
      </c>
    </row>
    <row r="43" spans="1:9" s="134" customFormat="1" ht="28.5">
      <c r="A43" s="223" t="s">
        <v>470</v>
      </c>
      <c r="B43" s="224"/>
      <c r="C43" s="225" t="s">
        <v>105</v>
      </c>
      <c r="D43" s="225" t="s">
        <v>359</v>
      </c>
      <c r="E43" s="225" t="s">
        <v>363</v>
      </c>
      <c r="F43" s="279" t="s">
        <v>471</v>
      </c>
      <c r="G43" s="197">
        <v>1692</v>
      </c>
      <c r="H43" s="22"/>
      <c r="I43" s="22"/>
    </row>
    <row r="44" spans="1:9" s="134" customFormat="1" ht="15">
      <c r="A44" s="223" t="s">
        <v>109</v>
      </c>
      <c r="B44" s="224"/>
      <c r="C44" s="225" t="s">
        <v>427</v>
      </c>
      <c r="D44" s="225" t="s">
        <v>218</v>
      </c>
      <c r="E44" s="225"/>
      <c r="F44" s="280"/>
      <c r="G44" s="197">
        <f>SUM(G45)</f>
        <v>1032.8</v>
      </c>
      <c r="H44" s="22"/>
      <c r="I44" s="22"/>
    </row>
    <row r="45" spans="1:9" s="134" customFormat="1" ht="28.5">
      <c r="A45" s="223" t="s">
        <v>472</v>
      </c>
      <c r="B45" s="224"/>
      <c r="C45" s="225" t="s">
        <v>427</v>
      </c>
      <c r="D45" s="225" t="s">
        <v>218</v>
      </c>
      <c r="E45" s="225" t="s">
        <v>473</v>
      </c>
      <c r="F45" s="280"/>
      <c r="G45" s="197">
        <f>SUM(G46+G49+G51)</f>
        <v>1032.8</v>
      </c>
      <c r="H45" s="22"/>
      <c r="I45" s="22"/>
    </row>
    <row r="46" spans="1:9" s="134" customFormat="1" ht="15">
      <c r="A46" s="223" t="s">
        <v>463</v>
      </c>
      <c r="B46" s="224"/>
      <c r="C46" s="225" t="s">
        <v>427</v>
      </c>
      <c r="D46" s="225" t="s">
        <v>218</v>
      </c>
      <c r="E46" s="225" t="s">
        <v>474</v>
      </c>
      <c r="F46" s="279"/>
      <c r="G46" s="205">
        <f>SUM(G47:G48)</f>
        <v>212.8</v>
      </c>
      <c r="H46" s="22"/>
      <c r="I46" s="22"/>
    </row>
    <row r="47" spans="1:9" s="134" customFormat="1" ht="15">
      <c r="A47" s="223" t="s">
        <v>475</v>
      </c>
      <c r="B47" s="224"/>
      <c r="C47" s="225" t="s">
        <v>427</v>
      </c>
      <c r="D47" s="225" t="s">
        <v>218</v>
      </c>
      <c r="E47" s="225" t="s">
        <v>474</v>
      </c>
      <c r="F47" s="279" t="s">
        <v>117</v>
      </c>
      <c r="G47" s="205">
        <v>210</v>
      </c>
      <c r="H47" s="22"/>
      <c r="I47" s="22"/>
    </row>
    <row r="48" spans="1:9" s="134" customFormat="1" ht="15">
      <c r="A48" s="223" t="s">
        <v>476</v>
      </c>
      <c r="B48" s="224"/>
      <c r="C48" s="225" t="s">
        <v>427</v>
      </c>
      <c r="D48" s="225" t="s">
        <v>218</v>
      </c>
      <c r="E48" s="225" t="s">
        <v>474</v>
      </c>
      <c r="F48" s="279" t="s">
        <v>166</v>
      </c>
      <c r="G48" s="205">
        <v>2.8</v>
      </c>
      <c r="H48" s="22"/>
      <c r="I48" s="22"/>
    </row>
    <row r="49" spans="1:9" s="134" customFormat="1" ht="28.5">
      <c r="A49" s="223" t="s">
        <v>464</v>
      </c>
      <c r="B49" s="224"/>
      <c r="C49" s="225" t="s">
        <v>427</v>
      </c>
      <c r="D49" s="225" t="s">
        <v>218</v>
      </c>
      <c r="E49" s="225" t="s">
        <v>477</v>
      </c>
      <c r="F49" s="279"/>
      <c r="G49" s="205">
        <f>SUM(G50)</f>
        <v>228.5</v>
      </c>
      <c r="H49" s="22"/>
      <c r="I49" s="22"/>
    </row>
    <row r="50" spans="1:9" s="134" customFormat="1" ht="15">
      <c r="A50" s="223" t="s">
        <v>475</v>
      </c>
      <c r="B50" s="224"/>
      <c r="C50" s="225" t="s">
        <v>427</v>
      </c>
      <c r="D50" s="225" t="s">
        <v>218</v>
      </c>
      <c r="E50" s="225" t="s">
        <v>477</v>
      </c>
      <c r="F50" s="279" t="s">
        <v>117</v>
      </c>
      <c r="G50" s="205">
        <v>228.5</v>
      </c>
      <c r="H50" s="22"/>
      <c r="I50" s="22"/>
    </row>
    <row r="51" spans="1:9" s="134" customFormat="1" ht="28.5">
      <c r="A51" s="187" t="s">
        <v>478</v>
      </c>
      <c r="B51" s="224"/>
      <c r="C51" s="225" t="s">
        <v>427</v>
      </c>
      <c r="D51" s="225" t="s">
        <v>218</v>
      </c>
      <c r="E51" s="225" t="s">
        <v>479</v>
      </c>
      <c r="F51" s="281"/>
      <c r="G51" s="197">
        <f>SUM(G52:G53)</f>
        <v>591.5</v>
      </c>
      <c r="H51" s="22"/>
      <c r="I51" s="22"/>
    </row>
    <row r="52" spans="1:9" s="134" customFormat="1" ht="15">
      <c r="A52" s="223" t="s">
        <v>475</v>
      </c>
      <c r="B52" s="224"/>
      <c r="C52" s="225" t="s">
        <v>427</v>
      </c>
      <c r="D52" s="225" t="s">
        <v>218</v>
      </c>
      <c r="E52" s="225" t="s">
        <v>479</v>
      </c>
      <c r="F52" s="281" t="s">
        <v>117</v>
      </c>
      <c r="G52" s="197">
        <v>584</v>
      </c>
      <c r="H52" s="22"/>
      <c r="I52" s="22"/>
    </row>
    <row r="53" spans="1:9" s="134" customFormat="1" ht="15">
      <c r="A53" s="223" t="s">
        <v>476</v>
      </c>
      <c r="B53" s="224"/>
      <c r="C53" s="225" t="s">
        <v>427</v>
      </c>
      <c r="D53" s="225" t="s">
        <v>218</v>
      </c>
      <c r="E53" s="225" t="s">
        <v>479</v>
      </c>
      <c r="F53" s="281" t="s">
        <v>166</v>
      </c>
      <c r="G53" s="197">
        <v>7.5</v>
      </c>
      <c r="H53" s="22"/>
      <c r="I53" s="22"/>
    </row>
    <row r="54" spans="1:9" ht="15.75">
      <c r="A54" s="229" t="s">
        <v>185</v>
      </c>
      <c r="B54" s="230" t="s">
        <v>186</v>
      </c>
      <c r="C54" s="231"/>
      <c r="D54" s="231"/>
      <c r="E54" s="231"/>
      <c r="F54" s="282"/>
      <c r="G54" s="206">
        <f>SUM(G55+G105+G137+G174+G256+G267+G272+G290)</f>
        <v>364766.9</v>
      </c>
      <c r="H54" s="117" t="e">
        <f>SUM(H55+H107+#REF!+#REF!+#REF!+#REF!+#REF!+#REF!+#REF!)</f>
        <v>#REF!</v>
      </c>
      <c r="I54" s="117" t="e">
        <f>SUM(H54/G54*100)</f>
        <v>#REF!</v>
      </c>
    </row>
    <row r="55" spans="1:9" ht="15">
      <c r="A55" s="223" t="s">
        <v>426</v>
      </c>
      <c r="B55" s="224"/>
      <c r="C55" s="225" t="s">
        <v>427</v>
      </c>
      <c r="D55" s="225"/>
      <c r="E55" s="225"/>
      <c r="F55" s="279"/>
      <c r="G55" s="197">
        <f>SUM(G56+G81+G75+G78)</f>
        <v>141458.49999999997</v>
      </c>
      <c r="H55" s="22" t="e">
        <f>SUM(H56+H76+#REF!+H74+#REF!)</f>
        <v>#REF!</v>
      </c>
      <c r="I55" s="22" t="e">
        <f>SUM(H55/G55*100)</f>
        <v>#REF!</v>
      </c>
    </row>
    <row r="56" spans="1:9" ht="28.5">
      <c r="A56" s="223" t="s">
        <v>236</v>
      </c>
      <c r="B56" s="224"/>
      <c r="C56" s="225" t="s">
        <v>427</v>
      </c>
      <c r="D56" s="225" t="s">
        <v>119</v>
      </c>
      <c r="E56" s="225"/>
      <c r="F56" s="279"/>
      <c r="G56" s="197">
        <f>SUM(G57)</f>
        <v>96659.19999999998</v>
      </c>
      <c r="H56" s="22" t="e">
        <f>SUM(H57)+#REF!+H69</f>
        <v>#REF!</v>
      </c>
      <c r="I56" s="22" t="e">
        <f>SUM(H56/G56*100)</f>
        <v>#REF!</v>
      </c>
    </row>
    <row r="57" spans="1:9" ht="28.5">
      <c r="A57" s="223" t="s">
        <v>96</v>
      </c>
      <c r="B57" s="224"/>
      <c r="C57" s="225" t="s">
        <v>427</v>
      </c>
      <c r="D57" s="225" t="s">
        <v>119</v>
      </c>
      <c r="E57" s="225" t="s">
        <v>97</v>
      </c>
      <c r="F57" s="280"/>
      <c r="G57" s="197">
        <f>SUM(G58+G73+G61+G64+G67+G70)</f>
        <v>96659.19999999998</v>
      </c>
      <c r="H57" s="22" t="e">
        <f>SUM(H58+H68)</f>
        <v>#REF!</v>
      </c>
      <c r="I57" s="22" t="e">
        <f>SUM(H57/G57*100)</f>
        <v>#REF!</v>
      </c>
    </row>
    <row r="58" spans="1:9" ht="15">
      <c r="A58" s="223" t="s">
        <v>104</v>
      </c>
      <c r="B58" s="224"/>
      <c r="C58" s="225" t="s">
        <v>427</v>
      </c>
      <c r="D58" s="225" t="s">
        <v>119</v>
      </c>
      <c r="E58" s="225" t="s">
        <v>106</v>
      </c>
      <c r="F58" s="280"/>
      <c r="G58" s="197">
        <f>SUM(G59+G60)</f>
        <v>93349.59999999999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223" t="s">
        <v>470</v>
      </c>
      <c r="B59" s="224"/>
      <c r="C59" s="225" t="s">
        <v>427</v>
      </c>
      <c r="D59" s="225" t="s">
        <v>119</v>
      </c>
      <c r="E59" s="225" t="s">
        <v>106</v>
      </c>
      <c r="F59" s="279" t="s">
        <v>471</v>
      </c>
      <c r="G59" s="197">
        <v>93253.4</v>
      </c>
      <c r="H59" s="22">
        <v>50612.1</v>
      </c>
      <c r="I59" s="22" t="e">
        <f>SUM(H59/#REF!*100)</f>
        <v>#REF!</v>
      </c>
    </row>
    <row r="60" spans="1:9" ht="15">
      <c r="A60" s="223" t="s">
        <v>475</v>
      </c>
      <c r="B60" s="224"/>
      <c r="C60" s="225" t="s">
        <v>427</v>
      </c>
      <c r="D60" s="225" t="s">
        <v>119</v>
      </c>
      <c r="E60" s="225" t="s">
        <v>106</v>
      </c>
      <c r="F60" s="279" t="s">
        <v>117</v>
      </c>
      <c r="G60" s="205">
        <v>96.2</v>
      </c>
      <c r="H60" s="22">
        <v>507.8</v>
      </c>
      <c r="I60" s="22">
        <f>SUM(H60/G61*100)</f>
        <v>36.46940534329216</v>
      </c>
    </row>
    <row r="61" spans="1:9" ht="28.5">
      <c r="A61" s="223" t="s">
        <v>123</v>
      </c>
      <c r="B61" s="224"/>
      <c r="C61" s="225" t="s">
        <v>427</v>
      </c>
      <c r="D61" s="225" t="s">
        <v>119</v>
      </c>
      <c r="E61" s="225" t="s">
        <v>124</v>
      </c>
      <c r="F61" s="279"/>
      <c r="G61" s="197">
        <f>SUM(G62:G63)</f>
        <v>1392.3999999999999</v>
      </c>
      <c r="H61" s="22">
        <v>41.9</v>
      </c>
      <c r="I61" s="22">
        <f>SUM(H61/G64*100)</f>
        <v>44.669509594882726</v>
      </c>
    </row>
    <row r="62" spans="1:9" ht="28.5">
      <c r="A62" s="223" t="s">
        <v>470</v>
      </c>
      <c r="B62" s="224"/>
      <c r="C62" s="225" t="s">
        <v>427</v>
      </c>
      <c r="D62" s="225" t="s">
        <v>119</v>
      </c>
      <c r="E62" s="225" t="s">
        <v>124</v>
      </c>
      <c r="F62" s="279" t="s">
        <v>471</v>
      </c>
      <c r="G62" s="197">
        <v>1368.8</v>
      </c>
      <c r="H62" s="22"/>
      <c r="I62" s="22"/>
    </row>
    <row r="63" spans="1:9" ht="15">
      <c r="A63" s="223" t="s">
        <v>475</v>
      </c>
      <c r="B63" s="224"/>
      <c r="C63" s="225" t="s">
        <v>427</v>
      </c>
      <c r="D63" s="225" t="s">
        <v>119</v>
      </c>
      <c r="E63" s="225" t="s">
        <v>124</v>
      </c>
      <c r="F63" s="279" t="s">
        <v>117</v>
      </c>
      <c r="G63" s="205">
        <v>23.6</v>
      </c>
      <c r="H63" s="22"/>
      <c r="I63" s="22">
        <f>SUM(H63/G66*100)</f>
        <v>0</v>
      </c>
    </row>
    <row r="64" spans="1:9" s="128" customFormat="1" ht="42.75">
      <c r="A64" s="223" t="s">
        <v>351</v>
      </c>
      <c r="B64" s="224"/>
      <c r="C64" s="225" t="s">
        <v>427</v>
      </c>
      <c r="D64" s="225" t="s">
        <v>119</v>
      </c>
      <c r="E64" s="225" t="s">
        <v>352</v>
      </c>
      <c r="F64" s="279"/>
      <c r="G64" s="197">
        <f>SUM(G65:G66)</f>
        <v>93.8</v>
      </c>
      <c r="H64" s="22"/>
      <c r="I64" s="22">
        <f>SUM(H64/G69*100)</f>
        <v>0</v>
      </c>
    </row>
    <row r="65" spans="1:9" s="128" customFormat="1" ht="28.5">
      <c r="A65" s="223" t="s">
        <v>470</v>
      </c>
      <c r="B65" s="224"/>
      <c r="C65" s="225" t="s">
        <v>427</v>
      </c>
      <c r="D65" s="225" t="s">
        <v>119</v>
      </c>
      <c r="E65" s="225" t="s">
        <v>352</v>
      </c>
      <c r="F65" s="279" t="s">
        <v>471</v>
      </c>
      <c r="G65" s="197">
        <v>72.3</v>
      </c>
      <c r="H65" s="22"/>
      <c r="I65" s="22"/>
    </row>
    <row r="66" spans="1:9" s="128" customFormat="1" ht="15">
      <c r="A66" s="223" t="s">
        <v>475</v>
      </c>
      <c r="B66" s="224"/>
      <c r="C66" s="225" t="s">
        <v>427</v>
      </c>
      <c r="D66" s="225" t="s">
        <v>119</v>
      </c>
      <c r="E66" s="225" t="s">
        <v>352</v>
      </c>
      <c r="F66" s="279" t="s">
        <v>117</v>
      </c>
      <c r="G66" s="205">
        <v>21.5</v>
      </c>
      <c r="H66" s="22"/>
      <c r="I66" s="22"/>
    </row>
    <row r="67" spans="1:9" s="128" customFormat="1" ht="28.5">
      <c r="A67" s="183" t="s">
        <v>60</v>
      </c>
      <c r="B67" s="232"/>
      <c r="C67" s="228" t="s">
        <v>427</v>
      </c>
      <c r="D67" s="228" t="s">
        <v>119</v>
      </c>
      <c r="E67" s="228" t="s">
        <v>61</v>
      </c>
      <c r="F67" s="280"/>
      <c r="G67" s="197">
        <f>SUM(G68:G69)</f>
        <v>179.2</v>
      </c>
      <c r="H67" s="22"/>
      <c r="I67" s="22"/>
    </row>
    <row r="68" spans="1:9" s="134" customFormat="1" ht="28.5">
      <c r="A68" s="223" t="s">
        <v>470</v>
      </c>
      <c r="B68" s="224"/>
      <c r="C68" s="225" t="s">
        <v>427</v>
      </c>
      <c r="D68" s="225" t="s">
        <v>119</v>
      </c>
      <c r="E68" s="228" t="s">
        <v>61</v>
      </c>
      <c r="F68" s="279" t="s">
        <v>471</v>
      </c>
      <c r="G68" s="197">
        <v>140</v>
      </c>
      <c r="H68" s="22" t="e">
        <f>SUM(#REF!)</f>
        <v>#REF!</v>
      </c>
      <c r="I68" s="22" t="e">
        <f>SUM(H68/G73*100)</f>
        <v>#REF!</v>
      </c>
    </row>
    <row r="69" spans="1:9" s="134" customFormat="1" ht="15">
      <c r="A69" s="223" t="s">
        <v>475</v>
      </c>
      <c r="B69" s="224"/>
      <c r="C69" s="225" t="s">
        <v>427</v>
      </c>
      <c r="D69" s="225" t="s">
        <v>119</v>
      </c>
      <c r="E69" s="228" t="s">
        <v>61</v>
      </c>
      <c r="F69" s="279" t="s">
        <v>117</v>
      </c>
      <c r="G69" s="205">
        <v>39.2</v>
      </c>
      <c r="H69" s="22" t="e">
        <f>SUM(#REF!)</f>
        <v>#REF!</v>
      </c>
      <c r="I69" s="22" t="e">
        <f>SUM(H69/#REF!*100)</f>
        <v>#REF!</v>
      </c>
    </row>
    <row r="70" spans="1:9" s="134" customFormat="1" ht="28.5">
      <c r="A70" s="183" t="s">
        <v>143</v>
      </c>
      <c r="B70" s="232"/>
      <c r="C70" s="228" t="s">
        <v>427</v>
      </c>
      <c r="D70" s="228" t="s">
        <v>119</v>
      </c>
      <c r="E70" s="228" t="s">
        <v>144</v>
      </c>
      <c r="F70" s="280"/>
      <c r="G70" s="197">
        <f>SUM(G71:G72)</f>
        <v>357.70000000000005</v>
      </c>
      <c r="H70" s="22"/>
      <c r="I70" s="22"/>
    </row>
    <row r="71" spans="1:9" s="134" customFormat="1" ht="28.5">
      <c r="A71" s="223" t="s">
        <v>470</v>
      </c>
      <c r="B71" s="224"/>
      <c r="C71" s="225" t="s">
        <v>427</v>
      </c>
      <c r="D71" s="225" t="s">
        <v>119</v>
      </c>
      <c r="E71" s="228" t="s">
        <v>144</v>
      </c>
      <c r="F71" s="279" t="s">
        <v>471</v>
      </c>
      <c r="G71" s="197">
        <v>288.8</v>
      </c>
      <c r="H71" s="22"/>
      <c r="I71" s="22"/>
    </row>
    <row r="72" spans="1:9" s="134" customFormat="1" ht="15">
      <c r="A72" s="223" t="s">
        <v>475</v>
      </c>
      <c r="B72" s="224"/>
      <c r="C72" s="225" t="s">
        <v>427</v>
      </c>
      <c r="D72" s="225" t="s">
        <v>119</v>
      </c>
      <c r="E72" s="228" t="s">
        <v>144</v>
      </c>
      <c r="F72" s="279" t="s">
        <v>117</v>
      </c>
      <c r="G72" s="205">
        <v>68.9</v>
      </c>
      <c r="H72" s="22"/>
      <c r="I72" s="22"/>
    </row>
    <row r="73" spans="1:9" s="134" customFormat="1" ht="28.5">
      <c r="A73" s="223" t="s">
        <v>353</v>
      </c>
      <c r="B73" s="224"/>
      <c r="C73" s="225" t="s">
        <v>105</v>
      </c>
      <c r="D73" s="225" t="s">
        <v>119</v>
      </c>
      <c r="E73" s="225" t="s">
        <v>354</v>
      </c>
      <c r="F73" s="280"/>
      <c r="G73" s="197">
        <f>SUM(G74)</f>
        <v>1286.5</v>
      </c>
      <c r="H73" s="22">
        <v>155.9</v>
      </c>
      <c r="I73" s="22" t="e">
        <f>SUM(H73/#REF!*100)</f>
        <v>#REF!</v>
      </c>
    </row>
    <row r="74" spans="1:9" s="134" customFormat="1" ht="27.75" customHeight="1">
      <c r="A74" s="223" t="s">
        <v>470</v>
      </c>
      <c r="B74" s="224"/>
      <c r="C74" s="225" t="s">
        <v>427</v>
      </c>
      <c r="D74" s="225" t="s">
        <v>119</v>
      </c>
      <c r="E74" s="225" t="s">
        <v>354</v>
      </c>
      <c r="F74" s="279" t="s">
        <v>471</v>
      </c>
      <c r="G74" s="197">
        <v>1286.5</v>
      </c>
      <c r="H74" s="22" t="e">
        <f>SUM(#REF!)</f>
        <v>#REF!</v>
      </c>
      <c r="I74" s="22" t="e">
        <f>SUM(H74/G75*100)</f>
        <v>#REF!</v>
      </c>
    </row>
    <row r="75" spans="1:9" ht="15" hidden="1">
      <c r="A75" s="223" t="s">
        <v>127</v>
      </c>
      <c r="B75" s="224"/>
      <c r="C75" s="225" t="s">
        <v>427</v>
      </c>
      <c r="D75" s="225" t="s">
        <v>128</v>
      </c>
      <c r="E75" s="225"/>
      <c r="F75" s="280"/>
      <c r="G75" s="197">
        <f>SUM(G76)</f>
        <v>0</v>
      </c>
      <c r="H75" s="22"/>
      <c r="I75" s="22" t="e">
        <f>SUM(H75/#REF!*100)</f>
        <v>#REF!</v>
      </c>
    </row>
    <row r="76" spans="1:9" ht="28.5" hidden="1">
      <c r="A76" s="187" t="s">
        <v>230</v>
      </c>
      <c r="B76" s="224"/>
      <c r="C76" s="225" t="s">
        <v>427</v>
      </c>
      <c r="D76" s="225" t="s">
        <v>128</v>
      </c>
      <c r="E76" s="225" t="s">
        <v>357</v>
      </c>
      <c r="F76" s="280"/>
      <c r="G76" s="197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223" t="s">
        <v>100</v>
      </c>
      <c r="B77" s="224"/>
      <c r="C77" s="225" t="s">
        <v>427</v>
      </c>
      <c r="D77" s="225" t="s">
        <v>128</v>
      </c>
      <c r="E77" s="225" t="s">
        <v>357</v>
      </c>
      <c r="F77" s="279" t="s">
        <v>101</v>
      </c>
      <c r="G77" s="197"/>
      <c r="H77" s="22" t="e">
        <f>SUM(#REF!+#REF!)</f>
        <v>#REF!</v>
      </c>
      <c r="I77" s="22" t="e">
        <f>SUM(H77/#REF!*100)</f>
        <v>#REF!</v>
      </c>
    </row>
    <row r="78" spans="1:9" ht="15">
      <c r="A78" s="183" t="s">
        <v>364</v>
      </c>
      <c r="B78" s="224"/>
      <c r="C78" s="225" t="s">
        <v>427</v>
      </c>
      <c r="D78" s="225" t="s">
        <v>114</v>
      </c>
      <c r="E78" s="225"/>
      <c r="F78" s="279"/>
      <c r="G78" s="197">
        <f>SUM(G79)</f>
        <v>7169.3</v>
      </c>
      <c r="H78" s="22"/>
      <c r="I78" s="22"/>
    </row>
    <row r="79" spans="1:9" ht="28.5">
      <c r="A79" s="223" t="s">
        <v>365</v>
      </c>
      <c r="B79" s="224"/>
      <c r="C79" s="225" t="s">
        <v>427</v>
      </c>
      <c r="D79" s="225" t="s">
        <v>114</v>
      </c>
      <c r="E79" s="225" t="s">
        <v>606</v>
      </c>
      <c r="F79" s="279"/>
      <c r="G79" s="197">
        <f>SUM(G80)</f>
        <v>7169.3</v>
      </c>
      <c r="H79" s="22"/>
      <c r="I79" s="22"/>
    </row>
    <row r="80" spans="1:9" ht="15">
      <c r="A80" s="183" t="s">
        <v>476</v>
      </c>
      <c r="B80" s="224"/>
      <c r="C80" s="225" t="s">
        <v>427</v>
      </c>
      <c r="D80" s="225" t="s">
        <v>114</v>
      </c>
      <c r="E80" s="225" t="s">
        <v>606</v>
      </c>
      <c r="F80" s="279" t="s">
        <v>166</v>
      </c>
      <c r="G80" s="197">
        <v>7169.3</v>
      </c>
      <c r="H80" s="22"/>
      <c r="I80" s="22"/>
    </row>
    <row r="81" spans="1:9" ht="15">
      <c r="A81" s="223" t="s">
        <v>109</v>
      </c>
      <c r="B81" s="224"/>
      <c r="C81" s="225" t="s">
        <v>427</v>
      </c>
      <c r="D81" s="225" t="s">
        <v>218</v>
      </c>
      <c r="E81" s="225"/>
      <c r="F81" s="280"/>
      <c r="G81" s="197">
        <f>SUM(G82+G94)+G102</f>
        <v>37630</v>
      </c>
      <c r="H81" s="22">
        <f>SUM(H82)</f>
        <v>836.4</v>
      </c>
      <c r="I81" s="22">
        <f>SUM(H81/G85*100)</f>
        <v>1193.1526390870185</v>
      </c>
    </row>
    <row r="82" spans="1:9" ht="28.5">
      <c r="A82" s="183" t="s">
        <v>472</v>
      </c>
      <c r="B82" s="283"/>
      <c r="C82" s="256" t="s">
        <v>427</v>
      </c>
      <c r="D82" s="256" t="s">
        <v>218</v>
      </c>
      <c r="E82" s="256" t="s">
        <v>473</v>
      </c>
      <c r="F82" s="284"/>
      <c r="G82" s="207">
        <f>G83+G86+G88+G91</f>
        <v>34716.2</v>
      </c>
      <c r="H82" s="22">
        <f>SUM(H83)</f>
        <v>836.4</v>
      </c>
      <c r="I82" s="22" t="e">
        <f>SUM(H82/#REF!*100)</f>
        <v>#REF!</v>
      </c>
    </row>
    <row r="83" spans="1:9" ht="15">
      <c r="A83" s="183" t="s">
        <v>463</v>
      </c>
      <c r="B83" s="257"/>
      <c r="C83" s="256" t="s">
        <v>427</v>
      </c>
      <c r="D83" s="256" t="s">
        <v>218</v>
      </c>
      <c r="E83" s="256" t="s">
        <v>474</v>
      </c>
      <c r="F83" s="285"/>
      <c r="G83" s="207">
        <f>G84+G85</f>
        <v>3724.7999999999997</v>
      </c>
      <c r="H83" s="22">
        <v>836.4</v>
      </c>
      <c r="I83" s="22" t="e">
        <f>SUM(H83/#REF!*100)</f>
        <v>#REF!</v>
      </c>
    </row>
    <row r="84" spans="1:9" ht="15">
      <c r="A84" s="183" t="s">
        <v>475</v>
      </c>
      <c r="B84" s="257"/>
      <c r="C84" s="256" t="s">
        <v>427</v>
      </c>
      <c r="D84" s="256" t="s">
        <v>218</v>
      </c>
      <c r="E84" s="256" t="s">
        <v>474</v>
      </c>
      <c r="F84" s="285" t="s">
        <v>117</v>
      </c>
      <c r="G84" s="207">
        <v>3654.7</v>
      </c>
      <c r="H84" s="22" t="e">
        <f>SUM(#REF!)</f>
        <v>#REF!</v>
      </c>
      <c r="I84" s="22" t="e">
        <f>SUM(H84/G86*100)</f>
        <v>#REF!</v>
      </c>
    </row>
    <row r="85" spans="1:9" ht="15">
      <c r="A85" s="183" t="s">
        <v>476</v>
      </c>
      <c r="B85" s="257"/>
      <c r="C85" s="256" t="s">
        <v>427</v>
      </c>
      <c r="D85" s="256" t="s">
        <v>218</v>
      </c>
      <c r="E85" s="256" t="s">
        <v>474</v>
      </c>
      <c r="F85" s="285" t="s">
        <v>166</v>
      </c>
      <c r="G85" s="207">
        <v>70.1</v>
      </c>
      <c r="H85" s="22" t="e">
        <f>SUM(#REF!)</f>
        <v>#REF!</v>
      </c>
      <c r="I85" s="22" t="e">
        <f>SUM(H85/#REF!*100)</f>
        <v>#REF!</v>
      </c>
    </row>
    <row r="86" spans="1:9" ht="28.5">
      <c r="A86" s="183" t="s">
        <v>464</v>
      </c>
      <c r="B86" s="257"/>
      <c r="C86" s="256" t="s">
        <v>427</v>
      </c>
      <c r="D86" s="256" t="s">
        <v>218</v>
      </c>
      <c r="E86" s="256" t="s">
        <v>477</v>
      </c>
      <c r="F86" s="285"/>
      <c r="G86" s="207">
        <f>SUM(G87)</f>
        <v>10641.5</v>
      </c>
      <c r="H86" s="22"/>
      <c r="I86" s="22"/>
    </row>
    <row r="87" spans="1:9" ht="15">
      <c r="A87" s="183" t="s">
        <v>475</v>
      </c>
      <c r="B87" s="257"/>
      <c r="C87" s="256" t="s">
        <v>427</v>
      </c>
      <c r="D87" s="256" t="s">
        <v>218</v>
      </c>
      <c r="E87" s="256" t="s">
        <v>477</v>
      </c>
      <c r="F87" s="285" t="s">
        <v>117</v>
      </c>
      <c r="G87" s="207">
        <f>9741.5+900</f>
        <v>10641.5</v>
      </c>
      <c r="H87" s="22"/>
      <c r="I87" s="22"/>
    </row>
    <row r="88" spans="1:9" ht="28.5">
      <c r="A88" s="183" t="s">
        <v>494</v>
      </c>
      <c r="B88" s="257"/>
      <c r="C88" s="256" t="s">
        <v>427</v>
      </c>
      <c r="D88" s="256" t="s">
        <v>218</v>
      </c>
      <c r="E88" s="256" t="s">
        <v>495</v>
      </c>
      <c r="F88" s="285"/>
      <c r="G88" s="207">
        <f>SUM(G89:G90)</f>
        <v>8017.5</v>
      </c>
      <c r="H88" s="22" t="e">
        <f>SUM(H89)</f>
        <v>#REF!</v>
      </c>
      <c r="I88" s="22" t="e">
        <f>SUM(H88/G92*100)</f>
        <v>#REF!</v>
      </c>
    </row>
    <row r="89" spans="1:9" ht="15">
      <c r="A89" s="183" t="s">
        <v>475</v>
      </c>
      <c r="B89" s="257"/>
      <c r="C89" s="256" t="s">
        <v>427</v>
      </c>
      <c r="D89" s="256" t="s">
        <v>218</v>
      </c>
      <c r="E89" s="256" t="s">
        <v>495</v>
      </c>
      <c r="F89" s="285" t="s">
        <v>117</v>
      </c>
      <c r="G89" s="207">
        <v>7967.5</v>
      </c>
      <c r="H89" s="22" t="e">
        <f>SUM(#REF!)</f>
        <v>#REF!</v>
      </c>
      <c r="I89" s="22" t="e">
        <f>SUM(H89/#REF!*100)</f>
        <v>#REF!</v>
      </c>
    </row>
    <row r="90" spans="1:9" ht="15">
      <c r="A90" s="183" t="s">
        <v>476</v>
      </c>
      <c r="B90" s="257"/>
      <c r="C90" s="256" t="s">
        <v>427</v>
      </c>
      <c r="D90" s="256" t="s">
        <v>218</v>
      </c>
      <c r="E90" s="256" t="s">
        <v>495</v>
      </c>
      <c r="F90" s="285" t="s">
        <v>166</v>
      </c>
      <c r="G90" s="207">
        <v>50</v>
      </c>
      <c r="H90" s="22"/>
      <c r="I90" s="22"/>
    </row>
    <row r="91" spans="1:9" ht="28.5">
      <c r="A91" s="183" t="s">
        <v>478</v>
      </c>
      <c r="B91" s="257"/>
      <c r="C91" s="256" t="s">
        <v>427</v>
      </c>
      <c r="D91" s="256" t="s">
        <v>218</v>
      </c>
      <c r="E91" s="256" t="s">
        <v>479</v>
      </c>
      <c r="F91" s="285"/>
      <c r="G91" s="207">
        <f>G92+G93</f>
        <v>12332.400000000001</v>
      </c>
      <c r="H91" s="22" t="e">
        <f>SUM(#REF!)</f>
        <v>#REF!</v>
      </c>
      <c r="I91" s="22" t="e">
        <f>SUM(H91/#REF!*100)</f>
        <v>#REF!</v>
      </c>
    </row>
    <row r="92" spans="1:9" ht="15">
      <c r="A92" s="183" t="s">
        <v>475</v>
      </c>
      <c r="B92" s="257"/>
      <c r="C92" s="256" t="s">
        <v>427</v>
      </c>
      <c r="D92" s="256" t="s">
        <v>218</v>
      </c>
      <c r="E92" s="256" t="s">
        <v>479</v>
      </c>
      <c r="F92" s="285" t="s">
        <v>117</v>
      </c>
      <c r="G92" s="207">
        <v>9718.7</v>
      </c>
      <c r="H92" s="22" t="e">
        <f>SUM(#REF!)</f>
        <v>#REF!</v>
      </c>
      <c r="I92" s="22" t="e">
        <f>SUM(H92/#REF!*100)</f>
        <v>#REF!</v>
      </c>
    </row>
    <row r="93" spans="1:9" ht="15">
      <c r="A93" s="183" t="s">
        <v>476</v>
      </c>
      <c r="B93" s="257"/>
      <c r="C93" s="256" t="s">
        <v>427</v>
      </c>
      <c r="D93" s="256" t="s">
        <v>218</v>
      </c>
      <c r="E93" s="256" t="s">
        <v>479</v>
      </c>
      <c r="F93" s="285" t="s">
        <v>166</v>
      </c>
      <c r="G93" s="207">
        <v>2613.7</v>
      </c>
      <c r="H93" s="22">
        <v>1317.4</v>
      </c>
      <c r="I93" s="22" t="e">
        <f>SUM(H93/#REF!*100)</f>
        <v>#REF!</v>
      </c>
    </row>
    <row r="94" spans="1:9" ht="28.5">
      <c r="A94" s="183" t="s">
        <v>564</v>
      </c>
      <c r="B94" s="257"/>
      <c r="C94" s="256" t="s">
        <v>427</v>
      </c>
      <c r="D94" s="256" t="s">
        <v>218</v>
      </c>
      <c r="E94" s="256" t="s">
        <v>133</v>
      </c>
      <c r="F94" s="285"/>
      <c r="G94" s="207">
        <f>G95</f>
        <v>2813.8</v>
      </c>
      <c r="H94" s="22"/>
      <c r="I94" s="22"/>
    </row>
    <row r="95" spans="1:9" ht="15">
      <c r="A95" s="183" t="s">
        <v>15</v>
      </c>
      <c r="B95" s="257"/>
      <c r="C95" s="256" t="s">
        <v>427</v>
      </c>
      <c r="D95" s="256" t="s">
        <v>218</v>
      </c>
      <c r="E95" s="256" t="s">
        <v>188</v>
      </c>
      <c r="F95" s="285"/>
      <c r="G95" s="207">
        <f>G96+G98</f>
        <v>2813.8</v>
      </c>
      <c r="H95" s="22"/>
      <c r="I95" s="22"/>
    </row>
    <row r="96" spans="1:9" ht="28.5">
      <c r="A96" s="183" t="s">
        <v>594</v>
      </c>
      <c r="B96" s="257"/>
      <c r="C96" s="256" t="s">
        <v>427</v>
      </c>
      <c r="D96" s="256" t="s">
        <v>218</v>
      </c>
      <c r="E96" s="256" t="s">
        <v>190</v>
      </c>
      <c r="F96" s="285"/>
      <c r="G96" s="207">
        <f>SUM(G97)</f>
        <v>2380.3</v>
      </c>
      <c r="H96" s="22"/>
      <c r="I96" s="22"/>
    </row>
    <row r="97" spans="1:9" ht="28.5">
      <c r="A97" s="183" t="s">
        <v>496</v>
      </c>
      <c r="B97" s="257"/>
      <c r="C97" s="256" t="s">
        <v>427</v>
      </c>
      <c r="D97" s="256" t="s">
        <v>218</v>
      </c>
      <c r="E97" s="256" t="s">
        <v>190</v>
      </c>
      <c r="F97" s="285" t="s">
        <v>487</v>
      </c>
      <c r="G97" s="207">
        <v>2380.3</v>
      </c>
      <c r="H97" s="22"/>
      <c r="I97" s="22"/>
    </row>
    <row r="98" spans="1:9" ht="15">
      <c r="A98" s="223" t="s">
        <v>153</v>
      </c>
      <c r="B98" s="257"/>
      <c r="C98" s="256" t="s">
        <v>427</v>
      </c>
      <c r="D98" s="256" t="s">
        <v>218</v>
      </c>
      <c r="E98" s="256" t="s">
        <v>381</v>
      </c>
      <c r="F98" s="285"/>
      <c r="G98" s="207">
        <f>SUM(G99)</f>
        <v>433.5</v>
      </c>
      <c r="H98" s="22"/>
      <c r="I98" s="22"/>
    </row>
    <row r="99" spans="1:9" ht="28.5">
      <c r="A99" s="183" t="s">
        <v>140</v>
      </c>
      <c r="B99" s="257"/>
      <c r="C99" s="256" t="s">
        <v>427</v>
      </c>
      <c r="D99" s="256" t="s">
        <v>218</v>
      </c>
      <c r="E99" s="256" t="s">
        <v>382</v>
      </c>
      <c r="F99" s="285"/>
      <c r="G99" s="207">
        <f>SUM(G100)</f>
        <v>433.5</v>
      </c>
      <c r="H99" s="22"/>
      <c r="I99" s="22"/>
    </row>
    <row r="100" spans="1:9" ht="30.75" customHeight="1">
      <c r="A100" s="183" t="s">
        <v>496</v>
      </c>
      <c r="B100" s="257"/>
      <c r="C100" s="256" t="s">
        <v>427</v>
      </c>
      <c r="D100" s="256" t="s">
        <v>218</v>
      </c>
      <c r="E100" s="256" t="s">
        <v>382</v>
      </c>
      <c r="F100" s="285" t="s">
        <v>487</v>
      </c>
      <c r="G100" s="207">
        <v>433.5</v>
      </c>
      <c r="H100" s="22">
        <f>SUM(H101)</f>
        <v>0</v>
      </c>
      <c r="I100" s="22">
        <f>SUM(H100/G109*100)</f>
        <v>0</v>
      </c>
    </row>
    <row r="101" spans="1:9" ht="28.5" hidden="1">
      <c r="A101" s="183" t="s">
        <v>140</v>
      </c>
      <c r="B101" s="257"/>
      <c r="C101" s="256" t="s">
        <v>427</v>
      </c>
      <c r="D101" s="256" t="s">
        <v>218</v>
      </c>
      <c r="E101" s="256" t="s">
        <v>382</v>
      </c>
      <c r="F101" s="285"/>
      <c r="G101" s="207"/>
      <c r="H101" s="22">
        <f>SUM(H105:H106)</f>
        <v>0</v>
      </c>
      <c r="I101" s="22" t="e">
        <f>SUM(H101/#REF!*100)</f>
        <v>#REF!</v>
      </c>
    </row>
    <row r="102" spans="1:9" ht="20.25" customHeight="1">
      <c r="A102" s="233" t="s">
        <v>524</v>
      </c>
      <c r="B102" s="257"/>
      <c r="C102" s="256" t="s">
        <v>427</v>
      </c>
      <c r="D102" s="256" t="s">
        <v>218</v>
      </c>
      <c r="E102" s="256" t="s">
        <v>126</v>
      </c>
      <c r="F102" s="285"/>
      <c r="G102" s="207">
        <f>SUM(G103)</f>
        <v>100</v>
      </c>
      <c r="H102" s="22"/>
      <c r="I102" s="22"/>
    </row>
    <row r="103" spans="1:9" ht="28.5">
      <c r="A103" s="183" t="s">
        <v>607</v>
      </c>
      <c r="B103" s="257"/>
      <c r="C103" s="256" t="s">
        <v>427</v>
      </c>
      <c r="D103" s="256" t="s">
        <v>218</v>
      </c>
      <c r="E103" s="256" t="s">
        <v>608</v>
      </c>
      <c r="F103" s="285"/>
      <c r="G103" s="207">
        <f>SUM(G104)</f>
        <v>100</v>
      </c>
      <c r="H103" s="22"/>
      <c r="I103" s="22"/>
    </row>
    <row r="104" spans="1:9" ht="15">
      <c r="A104" s="183" t="s">
        <v>475</v>
      </c>
      <c r="B104" s="257"/>
      <c r="C104" s="256" t="s">
        <v>427</v>
      </c>
      <c r="D104" s="256" t="s">
        <v>218</v>
      </c>
      <c r="E104" s="256" t="s">
        <v>608</v>
      </c>
      <c r="F104" s="285" t="s">
        <v>117</v>
      </c>
      <c r="G104" s="207">
        <v>100</v>
      </c>
      <c r="H104" s="22"/>
      <c r="I104" s="22"/>
    </row>
    <row r="105" spans="1:9" ht="15">
      <c r="A105" s="183" t="s">
        <v>135</v>
      </c>
      <c r="B105" s="257"/>
      <c r="C105" s="256" t="s">
        <v>103</v>
      </c>
      <c r="D105" s="256"/>
      <c r="E105" s="256"/>
      <c r="F105" s="285"/>
      <c r="G105" s="207">
        <f>SUM(G112)+G106</f>
        <v>21303.6</v>
      </c>
      <c r="H105" s="22"/>
      <c r="I105" s="22" t="e">
        <f>SUM(H105/#REF!*100)</f>
        <v>#REF!</v>
      </c>
    </row>
    <row r="106" spans="1:9" ht="15">
      <c r="A106" s="258" t="s">
        <v>59</v>
      </c>
      <c r="B106" s="257"/>
      <c r="C106" s="256" t="s">
        <v>103</v>
      </c>
      <c r="D106" s="256" t="s">
        <v>119</v>
      </c>
      <c r="E106" s="256"/>
      <c r="F106" s="285"/>
      <c r="G106" s="207">
        <f>SUM(G108)</f>
        <v>5304.4</v>
      </c>
      <c r="H106" s="22"/>
      <c r="I106" s="22">
        <f>SUM(H106/G110*100)</f>
        <v>0</v>
      </c>
    </row>
    <row r="107" spans="1:9" ht="15">
      <c r="A107" s="183" t="s">
        <v>376</v>
      </c>
      <c r="B107" s="257"/>
      <c r="C107" s="256" t="s">
        <v>103</v>
      </c>
      <c r="D107" s="256" t="s">
        <v>119</v>
      </c>
      <c r="E107" s="256" t="s">
        <v>377</v>
      </c>
      <c r="F107" s="285"/>
      <c r="G107" s="207">
        <f>SUM(G108)</f>
        <v>5304.4</v>
      </c>
      <c r="H107" s="22" t="e">
        <f>SUM(H110)+H109+#REF!</f>
        <v>#REF!</v>
      </c>
      <c r="I107" s="22" t="e">
        <f>SUM(H107/#REF!*100)</f>
        <v>#REF!</v>
      </c>
    </row>
    <row r="108" spans="1:9" s="128" customFormat="1" ht="28.5">
      <c r="A108" s="183" t="s">
        <v>575</v>
      </c>
      <c r="B108" s="257"/>
      <c r="C108" s="256" t="s">
        <v>103</v>
      </c>
      <c r="D108" s="256" t="s">
        <v>119</v>
      </c>
      <c r="E108" s="256" t="s">
        <v>500</v>
      </c>
      <c r="F108" s="285"/>
      <c r="G108" s="207">
        <f>G109+G110+G111</f>
        <v>5304.4</v>
      </c>
      <c r="H108" s="22" t="e">
        <f>SUM(#REF!)</f>
        <v>#REF!</v>
      </c>
      <c r="I108" s="22" t="e">
        <f>SUM(H108/#REF!*100)</f>
        <v>#REF!</v>
      </c>
    </row>
    <row r="109" spans="1:9" s="128" customFormat="1" ht="28.5">
      <c r="A109" s="183" t="s">
        <v>470</v>
      </c>
      <c r="B109" s="257"/>
      <c r="C109" s="256" t="s">
        <v>103</v>
      </c>
      <c r="D109" s="256" t="s">
        <v>119</v>
      </c>
      <c r="E109" s="256" t="s">
        <v>500</v>
      </c>
      <c r="F109" s="285" t="s">
        <v>471</v>
      </c>
      <c r="G109" s="207">
        <v>3843.6</v>
      </c>
      <c r="H109" s="22"/>
      <c r="I109" s="22"/>
    </row>
    <row r="110" spans="1:9" ht="15">
      <c r="A110" s="183" t="s">
        <v>475</v>
      </c>
      <c r="B110" s="257"/>
      <c r="C110" s="256" t="s">
        <v>103</v>
      </c>
      <c r="D110" s="256" t="s">
        <v>119</v>
      </c>
      <c r="E110" s="256" t="s">
        <v>500</v>
      </c>
      <c r="F110" s="285" t="s">
        <v>117</v>
      </c>
      <c r="G110" s="207">
        <v>1362.8</v>
      </c>
      <c r="H110" s="22" t="e">
        <f>SUM(#REF!+H115+H118+H121)+#REF!</f>
        <v>#REF!</v>
      </c>
      <c r="I110" s="22" t="e">
        <f>SUM(H110/G112*100)</f>
        <v>#REF!</v>
      </c>
    </row>
    <row r="111" spans="1:9" ht="15">
      <c r="A111" s="183" t="s">
        <v>476</v>
      </c>
      <c r="B111" s="257"/>
      <c r="C111" s="256" t="s">
        <v>103</v>
      </c>
      <c r="D111" s="256" t="s">
        <v>119</v>
      </c>
      <c r="E111" s="256" t="s">
        <v>500</v>
      </c>
      <c r="F111" s="285" t="s">
        <v>166</v>
      </c>
      <c r="G111" s="207">
        <v>98</v>
      </c>
      <c r="H111" s="22"/>
      <c r="I111" s="22">
        <f>SUM(H111/G115*100)</f>
        <v>0</v>
      </c>
    </row>
    <row r="112" spans="1:9" ht="28.5">
      <c r="A112" s="151" t="s">
        <v>278</v>
      </c>
      <c r="B112" s="259"/>
      <c r="C112" s="260" t="s">
        <v>103</v>
      </c>
      <c r="D112" s="260" t="s">
        <v>279</v>
      </c>
      <c r="E112" s="260"/>
      <c r="F112" s="286"/>
      <c r="G112" s="208">
        <f>G122+G127+G113+G132</f>
        <v>15999.2</v>
      </c>
      <c r="H112" s="22">
        <v>438.8</v>
      </c>
      <c r="I112" s="22" t="e">
        <f aca="true" t="shared" si="2" ref="I112:I117">SUM(H112/G118*100)</f>
        <v>#DIV/0!</v>
      </c>
    </row>
    <row r="113" spans="1:9" ht="28.5">
      <c r="A113" s="183" t="s">
        <v>565</v>
      </c>
      <c r="B113" s="257"/>
      <c r="C113" s="256" t="s">
        <v>103</v>
      </c>
      <c r="D113" s="256" t="s">
        <v>279</v>
      </c>
      <c r="E113" s="256" t="s">
        <v>501</v>
      </c>
      <c r="F113" s="285"/>
      <c r="G113" s="207">
        <f>SUM(G114)</f>
        <v>12499.1</v>
      </c>
      <c r="H113" s="22">
        <f>SUM(H114)</f>
        <v>9825.3</v>
      </c>
      <c r="I113" s="22">
        <f t="shared" si="2"/>
        <v>404.8498083975441</v>
      </c>
    </row>
    <row r="114" spans="1:9" ht="28.5">
      <c r="A114" s="183" t="s">
        <v>56</v>
      </c>
      <c r="B114" s="257"/>
      <c r="C114" s="256" t="s">
        <v>103</v>
      </c>
      <c r="D114" s="256" t="s">
        <v>279</v>
      </c>
      <c r="E114" s="256" t="s">
        <v>502</v>
      </c>
      <c r="F114" s="285"/>
      <c r="G114" s="207">
        <f>G115+G119+G121</f>
        <v>12499.1</v>
      </c>
      <c r="H114" s="22">
        <v>9825.3</v>
      </c>
      <c r="I114" s="22" t="e">
        <f t="shared" si="2"/>
        <v>#DIV/0!</v>
      </c>
    </row>
    <row r="115" spans="1:9" ht="28.5">
      <c r="A115" s="183" t="s">
        <v>470</v>
      </c>
      <c r="B115" s="257"/>
      <c r="C115" s="256" t="s">
        <v>103</v>
      </c>
      <c r="D115" s="256" t="s">
        <v>279</v>
      </c>
      <c r="E115" s="256" t="s">
        <v>502</v>
      </c>
      <c r="F115" s="285" t="s">
        <v>471</v>
      </c>
      <c r="G115" s="207">
        <v>9858.5</v>
      </c>
      <c r="H115" s="22">
        <f>SUM(H116)</f>
        <v>227.3</v>
      </c>
      <c r="I115" s="22">
        <f t="shared" si="2"/>
        <v>106.36406176883482</v>
      </c>
    </row>
    <row r="116" spans="1:9" ht="15" hidden="1">
      <c r="A116" s="183" t="s">
        <v>503</v>
      </c>
      <c r="B116" s="257"/>
      <c r="C116" s="256" t="s">
        <v>103</v>
      </c>
      <c r="D116" s="256" t="s">
        <v>279</v>
      </c>
      <c r="E116" s="256" t="s">
        <v>502</v>
      </c>
      <c r="F116" s="285" t="s">
        <v>504</v>
      </c>
      <c r="G116" s="207"/>
      <c r="H116" s="22">
        <f>SUM(H117)</f>
        <v>227.3</v>
      </c>
      <c r="I116" s="22">
        <f t="shared" si="2"/>
        <v>6.685097497132437</v>
      </c>
    </row>
    <row r="117" spans="1:9" ht="28.5" hidden="1">
      <c r="A117" s="183" t="s">
        <v>505</v>
      </c>
      <c r="B117" s="261"/>
      <c r="C117" s="256" t="s">
        <v>103</v>
      </c>
      <c r="D117" s="256" t="s">
        <v>279</v>
      </c>
      <c r="E117" s="256" t="s">
        <v>502</v>
      </c>
      <c r="F117" s="285" t="s">
        <v>506</v>
      </c>
      <c r="G117" s="207"/>
      <c r="H117" s="22">
        <v>227.3</v>
      </c>
      <c r="I117" s="22">
        <f t="shared" si="2"/>
        <v>16.234554674666096</v>
      </c>
    </row>
    <row r="118" spans="1:9" ht="28.5" hidden="1">
      <c r="A118" s="183" t="s">
        <v>507</v>
      </c>
      <c r="B118" s="261"/>
      <c r="C118" s="256" t="s">
        <v>103</v>
      </c>
      <c r="D118" s="256" t="s">
        <v>279</v>
      </c>
      <c r="E118" s="256" t="s">
        <v>502</v>
      </c>
      <c r="F118" s="285" t="s">
        <v>508</v>
      </c>
      <c r="G118" s="207"/>
      <c r="H118" s="22">
        <f>SUM(H119)</f>
        <v>5387.8</v>
      </c>
      <c r="I118" s="22" t="e">
        <f>SUM(H118/#REF!*100)</f>
        <v>#REF!</v>
      </c>
    </row>
    <row r="119" spans="1:9" ht="15">
      <c r="A119" s="183" t="s">
        <v>475</v>
      </c>
      <c r="B119" s="261"/>
      <c r="C119" s="256" t="s">
        <v>103</v>
      </c>
      <c r="D119" s="256" t="s">
        <v>279</v>
      </c>
      <c r="E119" s="256" t="s">
        <v>502</v>
      </c>
      <c r="F119" s="285" t="s">
        <v>117</v>
      </c>
      <c r="G119" s="207">
        <v>2426.9</v>
      </c>
      <c r="H119" s="22">
        <f>SUM(H120)</f>
        <v>5387.8</v>
      </c>
      <c r="I119" s="22" t="e">
        <f>SUM(H119/#REF!*100)</f>
        <v>#REF!</v>
      </c>
    </row>
    <row r="120" spans="1:9" ht="15" hidden="1">
      <c r="A120" s="183" t="s">
        <v>490</v>
      </c>
      <c r="B120" s="261"/>
      <c r="C120" s="256" t="s">
        <v>103</v>
      </c>
      <c r="D120" s="256" t="s">
        <v>279</v>
      </c>
      <c r="E120" s="256" t="s">
        <v>502</v>
      </c>
      <c r="F120" s="285" t="s">
        <v>491</v>
      </c>
      <c r="G120" s="207"/>
      <c r="H120" s="22">
        <v>5387.8</v>
      </c>
      <c r="I120" s="22" t="e">
        <f>SUM(H120/#REF!*100)</f>
        <v>#REF!</v>
      </c>
    </row>
    <row r="121" spans="1:9" ht="15">
      <c r="A121" s="299" t="s">
        <v>476</v>
      </c>
      <c r="B121" s="287"/>
      <c r="C121" s="262" t="s">
        <v>103</v>
      </c>
      <c r="D121" s="262" t="s">
        <v>279</v>
      </c>
      <c r="E121" s="262" t="s">
        <v>502</v>
      </c>
      <c r="F121" s="288" t="s">
        <v>166</v>
      </c>
      <c r="G121" s="269">
        <v>213.7</v>
      </c>
      <c r="H121" s="22">
        <f>SUM(H123)</f>
        <v>0</v>
      </c>
      <c r="I121" s="22">
        <f>SUM(H121/G125*100)</f>
        <v>0</v>
      </c>
    </row>
    <row r="122" spans="1:9" ht="28.5">
      <c r="A122" s="183" t="s">
        <v>566</v>
      </c>
      <c r="B122" s="257"/>
      <c r="C122" s="256" t="s">
        <v>103</v>
      </c>
      <c r="D122" s="256" t="s">
        <v>279</v>
      </c>
      <c r="E122" s="256" t="s">
        <v>509</v>
      </c>
      <c r="F122" s="285"/>
      <c r="G122" s="207">
        <f>SUM(G124+G126)</f>
        <v>3400.1</v>
      </c>
      <c r="H122" s="22">
        <f>SUM(H123)</f>
        <v>0</v>
      </c>
      <c r="I122" s="22">
        <f>SUM(H122/G126*100)</f>
        <v>0</v>
      </c>
    </row>
    <row r="123" spans="1:9" ht="28.5">
      <c r="A123" s="183" t="s">
        <v>567</v>
      </c>
      <c r="B123" s="257"/>
      <c r="C123" s="256" t="s">
        <v>103</v>
      </c>
      <c r="D123" s="256" t="s">
        <v>279</v>
      </c>
      <c r="E123" s="256" t="s">
        <v>510</v>
      </c>
      <c r="F123" s="285"/>
      <c r="G123" s="207">
        <f>SUM(G124)</f>
        <v>1400.1</v>
      </c>
      <c r="H123" s="22"/>
      <c r="I123" s="22" t="e">
        <f>SUM(H123/G127*100)</f>
        <v>#DIV/0!</v>
      </c>
    </row>
    <row r="124" spans="1:9" ht="15">
      <c r="A124" s="183" t="s">
        <v>475</v>
      </c>
      <c r="B124" s="257"/>
      <c r="C124" s="256" t="s">
        <v>103</v>
      </c>
      <c r="D124" s="256" t="s">
        <v>279</v>
      </c>
      <c r="E124" s="256" t="s">
        <v>510</v>
      </c>
      <c r="F124" s="285" t="s">
        <v>117</v>
      </c>
      <c r="G124" s="207">
        <v>1400.1</v>
      </c>
      <c r="H124" s="22"/>
      <c r="I124" s="22"/>
    </row>
    <row r="125" spans="1:9" ht="28.5">
      <c r="A125" s="183" t="s">
        <v>0</v>
      </c>
      <c r="B125" s="257"/>
      <c r="C125" s="256" t="s">
        <v>103</v>
      </c>
      <c r="D125" s="256" t="s">
        <v>279</v>
      </c>
      <c r="E125" s="256" t="s">
        <v>511</v>
      </c>
      <c r="F125" s="285"/>
      <c r="G125" s="207">
        <f>SUM(G126)</f>
        <v>2000</v>
      </c>
      <c r="H125" s="22"/>
      <c r="I125" s="22" t="e">
        <f>SUM(H125/G131*100)</f>
        <v>#DIV/0!</v>
      </c>
    </row>
    <row r="126" spans="1:9" s="128" customFormat="1" ht="15">
      <c r="A126" s="183" t="s">
        <v>475</v>
      </c>
      <c r="B126" s="257"/>
      <c r="C126" s="256" t="s">
        <v>103</v>
      </c>
      <c r="D126" s="256" t="s">
        <v>279</v>
      </c>
      <c r="E126" s="256" t="s">
        <v>511</v>
      </c>
      <c r="F126" s="285" t="s">
        <v>117</v>
      </c>
      <c r="G126" s="207">
        <v>2000</v>
      </c>
      <c r="H126" s="22" t="e">
        <f>SUM(H127+H130+H136+#REF!)</f>
        <v>#REF!</v>
      </c>
      <c r="I126" s="22" t="e">
        <f>SUM(H126/#REF!*100)</f>
        <v>#REF!</v>
      </c>
    </row>
    <row r="127" spans="1:9" ht="15" hidden="1">
      <c r="A127" s="183" t="s">
        <v>1</v>
      </c>
      <c r="B127" s="232"/>
      <c r="C127" s="228" t="s">
        <v>103</v>
      </c>
      <c r="D127" s="228" t="s">
        <v>279</v>
      </c>
      <c r="E127" s="228" t="s">
        <v>512</v>
      </c>
      <c r="F127" s="280"/>
      <c r="G127" s="207"/>
      <c r="H127" s="22"/>
      <c r="I127" s="22"/>
    </row>
    <row r="128" spans="1:9" ht="28.5" hidden="1">
      <c r="A128" s="183" t="s">
        <v>2</v>
      </c>
      <c r="B128" s="232"/>
      <c r="C128" s="228" t="s">
        <v>103</v>
      </c>
      <c r="D128" s="228" t="s">
        <v>279</v>
      </c>
      <c r="E128" s="228" t="s">
        <v>513</v>
      </c>
      <c r="F128" s="280"/>
      <c r="G128" s="207"/>
      <c r="H128" s="22"/>
      <c r="I128" s="22"/>
    </row>
    <row r="129" spans="1:9" ht="15" hidden="1">
      <c r="A129" s="183" t="s">
        <v>475</v>
      </c>
      <c r="B129" s="232"/>
      <c r="C129" s="228" t="s">
        <v>103</v>
      </c>
      <c r="D129" s="228" t="s">
        <v>279</v>
      </c>
      <c r="E129" s="228" t="s">
        <v>513</v>
      </c>
      <c r="F129" s="280" t="s">
        <v>117</v>
      </c>
      <c r="G129" s="207"/>
      <c r="H129" s="22"/>
      <c r="I129" s="22"/>
    </row>
    <row r="130" spans="1:9" ht="15" hidden="1">
      <c r="A130" s="183" t="s">
        <v>490</v>
      </c>
      <c r="B130" s="232"/>
      <c r="C130" s="228" t="s">
        <v>103</v>
      </c>
      <c r="D130" s="228" t="s">
        <v>279</v>
      </c>
      <c r="E130" s="228" t="s">
        <v>513</v>
      </c>
      <c r="F130" s="280" t="s">
        <v>491</v>
      </c>
      <c r="G130" s="207"/>
      <c r="H130" s="22"/>
      <c r="I130" s="22"/>
    </row>
    <row r="131" spans="1:9" ht="28.5" hidden="1">
      <c r="A131" s="183" t="s">
        <v>492</v>
      </c>
      <c r="B131" s="232"/>
      <c r="C131" s="228" t="s">
        <v>103</v>
      </c>
      <c r="D131" s="228" t="s">
        <v>279</v>
      </c>
      <c r="E131" s="228" t="s">
        <v>513</v>
      </c>
      <c r="F131" s="280" t="s">
        <v>493</v>
      </c>
      <c r="G131" s="207"/>
      <c r="H131" s="22"/>
      <c r="I131" s="22"/>
    </row>
    <row r="132" spans="1:9" ht="15">
      <c r="A132" s="234" t="s">
        <v>524</v>
      </c>
      <c r="B132" s="232"/>
      <c r="C132" s="235" t="s">
        <v>103</v>
      </c>
      <c r="D132" s="235" t="s">
        <v>279</v>
      </c>
      <c r="E132" s="228" t="s">
        <v>126</v>
      </c>
      <c r="F132" s="289"/>
      <c r="G132" s="209">
        <f>SUM(G133)</f>
        <v>100</v>
      </c>
      <c r="H132" s="22"/>
      <c r="I132" s="22"/>
    </row>
    <row r="133" spans="1:9" ht="28.5">
      <c r="A133" s="183" t="s">
        <v>609</v>
      </c>
      <c r="B133" s="224"/>
      <c r="C133" s="235" t="s">
        <v>103</v>
      </c>
      <c r="D133" s="235" t="s">
        <v>279</v>
      </c>
      <c r="E133" s="228" t="s">
        <v>610</v>
      </c>
      <c r="F133" s="280"/>
      <c r="G133" s="197">
        <f>SUM(G134)</f>
        <v>100</v>
      </c>
      <c r="H133" s="22"/>
      <c r="I133" s="22"/>
    </row>
    <row r="134" spans="1:9" ht="14.25" customHeight="1">
      <c r="A134" s="183" t="s">
        <v>475</v>
      </c>
      <c r="B134" s="224"/>
      <c r="C134" s="235" t="s">
        <v>103</v>
      </c>
      <c r="D134" s="235" t="s">
        <v>279</v>
      </c>
      <c r="E134" s="228" t="s">
        <v>610</v>
      </c>
      <c r="F134" s="280" t="s">
        <v>117</v>
      </c>
      <c r="G134" s="197">
        <v>100</v>
      </c>
      <c r="H134" s="22"/>
      <c r="I134" s="22"/>
    </row>
    <row r="135" spans="1:9" ht="28.5" hidden="1">
      <c r="A135" s="183" t="s">
        <v>193</v>
      </c>
      <c r="B135" s="224"/>
      <c r="C135" s="235" t="s">
        <v>103</v>
      </c>
      <c r="D135" s="235" t="s">
        <v>279</v>
      </c>
      <c r="E135" s="228" t="s">
        <v>145</v>
      </c>
      <c r="F135" s="280"/>
      <c r="G135" s="197">
        <f>SUM(G136)</f>
        <v>0</v>
      </c>
      <c r="H135" s="22"/>
      <c r="I135" s="22"/>
    </row>
    <row r="136" spans="1:9" ht="15" hidden="1">
      <c r="A136" s="223" t="s">
        <v>100</v>
      </c>
      <c r="B136" s="224"/>
      <c r="C136" s="235" t="s">
        <v>103</v>
      </c>
      <c r="D136" s="235" t="s">
        <v>279</v>
      </c>
      <c r="E136" s="228" t="s">
        <v>145</v>
      </c>
      <c r="F136" s="280" t="s">
        <v>101</v>
      </c>
      <c r="G136" s="197"/>
      <c r="H136" s="22"/>
      <c r="I136" s="22"/>
    </row>
    <row r="137" spans="1:9" s="128" customFormat="1" ht="15">
      <c r="A137" s="183" t="s">
        <v>118</v>
      </c>
      <c r="B137" s="257"/>
      <c r="C137" s="256" t="s">
        <v>119</v>
      </c>
      <c r="D137" s="256"/>
      <c r="E137" s="256"/>
      <c r="F137" s="285"/>
      <c r="G137" s="207">
        <f>G138+G156+G150</f>
        <v>74775.70000000001</v>
      </c>
      <c r="H137" s="22">
        <f>SUM(H138+H139)</f>
        <v>30706.4</v>
      </c>
      <c r="I137" s="22" t="e">
        <f>SUM(H137/G143*100)</f>
        <v>#DIV/0!</v>
      </c>
    </row>
    <row r="138" spans="1:9" ht="15">
      <c r="A138" s="183" t="s">
        <v>120</v>
      </c>
      <c r="B138" s="257"/>
      <c r="C138" s="256" t="s">
        <v>119</v>
      </c>
      <c r="D138" s="256" t="s">
        <v>121</v>
      </c>
      <c r="E138" s="256"/>
      <c r="F138" s="285"/>
      <c r="G138" s="207">
        <f>G139</f>
        <v>28401.9</v>
      </c>
      <c r="H138" s="22">
        <v>30706.4</v>
      </c>
      <c r="I138" s="22">
        <f>SUM(H138/G144*100)</f>
        <v>189.33530644962389</v>
      </c>
    </row>
    <row r="139" spans="1:9" ht="15">
      <c r="A139" s="183" t="s">
        <v>514</v>
      </c>
      <c r="B139" s="257"/>
      <c r="C139" s="256" t="s">
        <v>119</v>
      </c>
      <c r="D139" s="256" t="s">
        <v>121</v>
      </c>
      <c r="E139" s="256" t="s">
        <v>515</v>
      </c>
      <c r="F139" s="285"/>
      <c r="G139" s="207">
        <f>G140+G144</f>
        <v>28401.9</v>
      </c>
      <c r="H139" s="22">
        <f>SUM(H140)</f>
        <v>0</v>
      </c>
      <c r="I139" s="22">
        <f>SUM(H139/G145*100)</f>
        <v>0</v>
      </c>
    </row>
    <row r="140" spans="1:9" ht="15">
      <c r="A140" s="183" t="s">
        <v>516</v>
      </c>
      <c r="B140" s="257"/>
      <c r="C140" s="256" t="s">
        <v>119</v>
      </c>
      <c r="D140" s="256" t="s">
        <v>121</v>
      </c>
      <c r="E140" s="256" t="s">
        <v>517</v>
      </c>
      <c r="F140" s="285"/>
      <c r="G140" s="207">
        <f>G141</f>
        <v>12183.9</v>
      </c>
      <c r="H140" s="22"/>
      <c r="I140" s="22">
        <f>SUM(H140/G146*100)</f>
        <v>0</v>
      </c>
    </row>
    <row r="141" spans="1:9" ht="15">
      <c r="A141" s="183" t="s">
        <v>6</v>
      </c>
      <c r="B141" s="257"/>
      <c r="C141" s="256" t="s">
        <v>119</v>
      </c>
      <c r="D141" s="256" t="s">
        <v>121</v>
      </c>
      <c r="E141" s="256" t="s">
        <v>518</v>
      </c>
      <c r="F141" s="285"/>
      <c r="G141" s="207">
        <f>SUM(G142)</f>
        <v>12183.9</v>
      </c>
      <c r="H141" s="22"/>
      <c r="I141" s="22"/>
    </row>
    <row r="142" spans="1:9" s="135" customFormat="1" ht="15">
      <c r="A142" s="183" t="s">
        <v>476</v>
      </c>
      <c r="B142" s="257"/>
      <c r="C142" s="256" t="s">
        <v>119</v>
      </c>
      <c r="D142" s="256" t="s">
        <v>121</v>
      </c>
      <c r="E142" s="256" t="s">
        <v>518</v>
      </c>
      <c r="F142" s="285" t="s">
        <v>166</v>
      </c>
      <c r="G142" s="207">
        <v>12183.9</v>
      </c>
      <c r="H142" s="118"/>
      <c r="I142" s="118"/>
    </row>
    <row r="143" spans="1:9" ht="28.5" hidden="1">
      <c r="A143" s="183" t="s">
        <v>519</v>
      </c>
      <c r="B143" s="257"/>
      <c r="C143" s="256" t="s">
        <v>119</v>
      </c>
      <c r="D143" s="256" t="s">
        <v>121</v>
      </c>
      <c r="E143" s="256" t="s">
        <v>518</v>
      </c>
      <c r="F143" s="285" t="s">
        <v>192</v>
      </c>
      <c r="G143" s="207"/>
      <c r="H143" s="22"/>
      <c r="I143" s="22"/>
    </row>
    <row r="144" spans="1:9" ht="15">
      <c r="A144" s="183" t="s">
        <v>122</v>
      </c>
      <c r="B144" s="257"/>
      <c r="C144" s="256" t="s">
        <v>119</v>
      </c>
      <c r="D144" s="256" t="s">
        <v>121</v>
      </c>
      <c r="E144" s="256" t="s">
        <v>383</v>
      </c>
      <c r="F144" s="285"/>
      <c r="G144" s="207">
        <f>G145</f>
        <v>16218</v>
      </c>
      <c r="H144" s="22"/>
      <c r="I144" s="22"/>
    </row>
    <row r="145" spans="1:9" ht="15">
      <c r="A145" s="183" t="s">
        <v>15</v>
      </c>
      <c r="B145" s="257"/>
      <c r="C145" s="256" t="s">
        <v>119</v>
      </c>
      <c r="D145" s="256" t="s">
        <v>121</v>
      </c>
      <c r="E145" s="256" t="s">
        <v>76</v>
      </c>
      <c r="F145" s="285"/>
      <c r="G145" s="207">
        <f>SUM(G146)</f>
        <v>16218</v>
      </c>
      <c r="H145" s="22"/>
      <c r="I145" s="22"/>
    </row>
    <row r="146" spans="1:9" ht="28.5">
      <c r="A146" s="183" t="s">
        <v>189</v>
      </c>
      <c r="B146" s="257"/>
      <c r="C146" s="256" t="s">
        <v>119</v>
      </c>
      <c r="D146" s="256" t="s">
        <v>121</v>
      </c>
      <c r="E146" s="256" t="s">
        <v>77</v>
      </c>
      <c r="F146" s="285"/>
      <c r="G146" s="207">
        <f>SUM(G147)</f>
        <v>16218</v>
      </c>
      <c r="H146" s="22"/>
      <c r="I146" s="22"/>
    </row>
    <row r="147" spans="1:9" ht="28.5">
      <c r="A147" s="183" t="s">
        <v>496</v>
      </c>
      <c r="B147" s="257"/>
      <c r="C147" s="256" t="s">
        <v>119</v>
      </c>
      <c r="D147" s="256" t="s">
        <v>121</v>
      </c>
      <c r="E147" s="256" t="s">
        <v>77</v>
      </c>
      <c r="F147" s="285" t="s">
        <v>487</v>
      </c>
      <c r="G147" s="207">
        <v>16218</v>
      </c>
      <c r="H147" s="22"/>
      <c r="I147" s="22"/>
    </row>
    <row r="148" spans="1:9" ht="15" hidden="1">
      <c r="A148" s="183" t="s">
        <v>497</v>
      </c>
      <c r="B148" s="257"/>
      <c r="C148" s="256" t="s">
        <v>119</v>
      </c>
      <c r="D148" s="256" t="s">
        <v>121</v>
      </c>
      <c r="E148" s="256" t="s">
        <v>77</v>
      </c>
      <c r="F148" s="285" t="s">
        <v>498</v>
      </c>
      <c r="G148" s="207"/>
      <c r="H148" s="22"/>
      <c r="I148" s="22"/>
    </row>
    <row r="149" spans="1:9" ht="42.75" hidden="1">
      <c r="A149" s="151" t="s">
        <v>499</v>
      </c>
      <c r="B149" s="257"/>
      <c r="C149" s="256" t="s">
        <v>119</v>
      </c>
      <c r="D149" s="256" t="s">
        <v>121</v>
      </c>
      <c r="E149" s="256" t="s">
        <v>77</v>
      </c>
      <c r="F149" s="285" t="s">
        <v>58</v>
      </c>
      <c r="G149" s="207"/>
      <c r="H149" s="22" t="e">
        <f>SUM(H153+H155+H166+#REF!)</f>
        <v>#REF!</v>
      </c>
      <c r="I149" s="22" t="e">
        <f>SUM(H149/G155*100)</f>
        <v>#REF!</v>
      </c>
    </row>
    <row r="150" spans="1:9" s="128" customFormat="1" ht="15">
      <c r="A150" s="183" t="s">
        <v>142</v>
      </c>
      <c r="B150" s="257"/>
      <c r="C150" s="256" t="s">
        <v>119</v>
      </c>
      <c r="D150" s="256" t="s">
        <v>279</v>
      </c>
      <c r="E150" s="256"/>
      <c r="F150" s="285"/>
      <c r="G150" s="207">
        <f>G151</f>
        <v>36369.4</v>
      </c>
      <c r="H150" s="22">
        <f>SUM(H152)</f>
        <v>0</v>
      </c>
      <c r="I150" s="22">
        <f>SUM(H150/G156*100)</f>
        <v>0</v>
      </c>
    </row>
    <row r="151" spans="1:9" s="128" customFormat="1" ht="28.5">
      <c r="A151" s="183" t="s">
        <v>38</v>
      </c>
      <c r="B151" s="257"/>
      <c r="C151" s="256" t="s">
        <v>119</v>
      </c>
      <c r="D151" s="256" t="s">
        <v>279</v>
      </c>
      <c r="E151" s="256" t="s">
        <v>39</v>
      </c>
      <c r="F151" s="285"/>
      <c r="G151" s="207">
        <f>G152</f>
        <v>36369.4</v>
      </c>
      <c r="H151" s="22"/>
      <c r="I151" s="22"/>
    </row>
    <row r="152" spans="1:9" s="136" customFormat="1" ht="15">
      <c r="A152" s="183" t="s">
        <v>475</v>
      </c>
      <c r="B152" s="257"/>
      <c r="C152" s="256" t="s">
        <v>119</v>
      </c>
      <c r="D152" s="256" t="s">
        <v>279</v>
      </c>
      <c r="E152" s="256" t="s">
        <v>39</v>
      </c>
      <c r="F152" s="285" t="s">
        <v>117</v>
      </c>
      <c r="G152" s="207">
        <v>36369.4</v>
      </c>
      <c r="H152" s="22"/>
      <c r="I152" s="22">
        <f aca="true" t="shared" si="3" ref="I152:I157">SUM(H152/G162*100)</f>
        <v>0</v>
      </c>
    </row>
    <row r="153" spans="1:9" s="130" customFormat="1" ht="15" hidden="1">
      <c r="A153" s="183" t="s">
        <v>490</v>
      </c>
      <c r="B153" s="257"/>
      <c r="C153" s="256" t="s">
        <v>119</v>
      </c>
      <c r="D153" s="256" t="s">
        <v>279</v>
      </c>
      <c r="E153" s="256" t="s">
        <v>39</v>
      </c>
      <c r="F153" s="285" t="s">
        <v>491</v>
      </c>
      <c r="G153" s="207"/>
      <c r="H153" s="22">
        <f>SUM(H154)</f>
        <v>0</v>
      </c>
      <c r="I153" s="22" t="e">
        <f t="shared" si="3"/>
        <v>#DIV/0!</v>
      </c>
    </row>
    <row r="154" spans="1:9" s="130" customFormat="1" ht="28.5" hidden="1">
      <c r="A154" s="183" t="s">
        <v>492</v>
      </c>
      <c r="B154" s="257"/>
      <c r="C154" s="256" t="s">
        <v>119</v>
      </c>
      <c r="D154" s="256" t="s">
        <v>279</v>
      </c>
      <c r="E154" s="256" t="s">
        <v>39</v>
      </c>
      <c r="F154" s="285" t="s">
        <v>493</v>
      </c>
      <c r="G154" s="207"/>
      <c r="H154" s="22">
        <f>5050-2000-3050</f>
        <v>0</v>
      </c>
      <c r="I154" s="22" t="e">
        <f t="shared" si="3"/>
        <v>#DIV/0!</v>
      </c>
    </row>
    <row r="155" spans="1:9" s="130" customFormat="1" ht="28.5" hidden="1">
      <c r="A155" s="183" t="s">
        <v>520</v>
      </c>
      <c r="B155" s="257"/>
      <c r="C155" s="256" t="s">
        <v>119</v>
      </c>
      <c r="D155" s="256" t="s">
        <v>279</v>
      </c>
      <c r="E155" s="256" t="s">
        <v>39</v>
      </c>
      <c r="F155" s="285" t="s">
        <v>493</v>
      </c>
      <c r="G155" s="207"/>
      <c r="H155" s="22">
        <f>SUM(H156)</f>
        <v>200</v>
      </c>
      <c r="I155" s="22" t="e">
        <f t="shared" si="3"/>
        <v>#DIV/0!</v>
      </c>
    </row>
    <row r="156" spans="1:9" s="130" customFormat="1" ht="15">
      <c r="A156" s="183" t="s">
        <v>384</v>
      </c>
      <c r="B156" s="257"/>
      <c r="C156" s="256" t="s">
        <v>119</v>
      </c>
      <c r="D156" s="256" t="s">
        <v>374</v>
      </c>
      <c r="E156" s="256"/>
      <c r="F156" s="285"/>
      <c r="G156" s="207">
        <f>SUM(G157,G171)</f>
        <v>10004.400000000001</v>
      </c>
      <c r="H156" s="22">
        <f>SUM(H157)</f>
        <v>200</v>
      </c>
      <c r="I156" s="22">
        <f t="shared" si="3"/>
        <v>5.511463844797178</v>
      </c>
    </row>
    <row r="157" spans="1:9" s="130" customFormat="1" ht="15">
      <c r="A157" s="183" t="s">
        <v>514</v>
      </c>
      <c r="B157" s="257"/>
      <c r="C157" s="256" t="s">
        <v>119</v>
      </c>
      <c r="D157" s="256" t="s">
        <v>374</v>
      </c>
      <c r="E157" s="256" t="s">
        <v>515</v>
      </c>
      <c r="F157" s="285"/>
      <c r="G157" s="207">
        <f>SUM(G162)+G158</f>
        <v>4350.900000000001</v>
      </c>
      <c r="H157" s="22">
        <v>200</v>
      </c>
      <c r="I157" s="22">
        <f t="shared" si="3"/>
        <v>5.511463844797178</v>
      </c>
    </row>
    <row r="158" spans="1:9" s="130" customFormat="1" ht="15">
      <c r="A158" s="183" t="s">
        <v>732</v>
      </c>
      <c r="B158" s="257"/>
      <c r="C158" s="256" t="s">
        <v>119</v>
      </c>
      <c r="D158" s="256" t="s">
        <v>374</v>
      </c>
      <c r="E158" s="256" t="s">
        <v>733</v>
      </c>
      <c r="F158" s="285"/>
      <c r="G158" s="207">
        <f>SUM(G159)</f>
        <v>722.1</v>
      </c>
      <c r="H158" s="22"/>
      <c r="I158" s="22"/>
    </row>
    <row r="159" spans="1:9" s="130" customFormat="1" ht="15">
      <c r="A159" s="183" t="s">
        <v>15</v>
      </c>
      <c r="B159" s="257"/>
      <c r="C159" s="256" t="s">
        <v>119</v>
      </c>
      <c r="D159" s="256" t="s">
        <v>374</v>
      </c>
      <c r="E159" s="256" t="s">
        <v>734</v>
      </c>
      <c r="F159" s="285"/>
      <c r="G159" s="207">
        <f>SUM(G160)</f>
        <v>722.1</v>
      </c>
      <c r="H159" s="22"/>
      <c r="I159" s="22"/>
    </row>
    <row r="160" spans="1:9" s="130" customFormat="1" ht="28.5">
      <c r="A160" s="183" t="s">
        <v>189</v>
      </c>
      <c r="B160" s="257"/>
      <c r="C160" s="256" t="s">
        <v>119</v>
      </c>
      <c r="D160" s="256" t="s">
        <v>374</v>
      </c>
      <c r="E160" s="256" t="s">
        <v>735</v>
      </c>
      <c r="F160" s="285"/>
      <c r="G160" s="207">
        <f>SUM(G161)</f>
        <v>722.1</v>
      </c>
      <c r="H160" s="22"/>
      <c r="I160" s="22"/>
    </row>
    <row r="161" spans="1:9" s="130" customFormat="1" ht="28.5">
      <c r="A161" s="183" t="s">
        <v>496</v>
      </c>
      <c r="B161" s="257"/>
      <c r="C161" s="256" t="s">
        <v>119</v>
      </c>
      <c r="D161" s="256" t="s">
        <v>374</v>
      </c>
      <c r="E161" s="256" t="s">
        <v>735</v>
      </c>
      <c r="F161" s="285" t="s">
        <v>487</v>
      </c>
      <c r="G161" s="207">
        <v>722.1</v>
      </c>
      <c r="H161" s="22"/>
      <c r="I161" s="22"/>
    </row>
    <row r="162" spans="1:9" s="130" customFormat="1" ht="15">
      <c r="A162" s="183" t="s">
        <v>389</v>
      </c>
      <c r="B162" s="257"/>
      <c r="C162" s="256" t="s">
        <v>119</v>
      </c>
      <c r="D162" s="256" t="s">
        <v>374</v>
      </c>
      <c r="E162" s="256" t="s">
        <v>521</v>
      </c>
      <c r="F162" s="285"/>
      <c r="G162" s="207">
        <f>SUM(G163,G167)</f>
        <v>3628.8</v>
      </c>
      <c r="H162" s="22"/>
      <c r="I162" s="22"/>
    </row>
    <row r="163" spans="1:9" s="130" customFormat="1" ht="15" hidden="1">
      <c r="A163" s="183" t="s">
        <v>526</v>
      </c>
      <c r="B163" s="257"/>
      <c r="C163" s="256" t="s">
        <v>119</v>
      </c>
      <c r="D163" s="256" t="s">
        <v>374</v>
      </c>
      <c r="E163" s="228" t="s">
        <v>522</v>
      </c>
      <c r="F163" s="285"/>
      <c r="G163" s="207">
        <f>SUM(G164)</f>
        <v>0</v>
      </c>
      <c r="H163" s="22"/>
      <c r="I163" s="22"/>
    </row>
    <row r="164" spans="1:9" s="137" customFormat="1" ht="15" hidden="1">
      <c r="A164" s="183" t="s">
        <v>475</v>
      </c>
      <c r="B164" s="257"/>
      <c r="C164" s="256" t="s">
        <v>119</v>
      </c>
      <c r="D164" s="256" t="s">
        <v>374</v>
      </c>
      <c r="E164" s="228" t="s">
        <v>522</v>
      </c>
      <c r="F164" s="285" t="s">
        <v>117</v>
      </c>
      <c r="G164" s="207"/>
      <c r="H164" s="22">
        <f>SUM(H165)</f>
        <v>0</v>
      </c>
      <c r="I164" s="22" t="e">
        <f>SUM(H164/G170*100)</f>
        <v>#DIV/0!</v>
      </c>
    </row>
    <row r="165" spans="1:9" s="130" customFormat="1" ht="15" hidden="1">
      <c r="A165" s="183" t="s">
        <v>490</v>
      </c>
      <c r="B165" s="257"/>
      <c r="C165" s="256" t="s">
        <v>119</v>
      </c>
      <c r="D165" s="256" t="s">
        <v>374</v>
      </c>
      <c r="E165" s="228" t="s">
        <v>522</v>
      </c>
      <c r="F165" s="285" t="s">
        <v>491</v>
      </c>
      <c r="G165" s="207"/>
      <c r="H165" s="22"/>
      <c r="I165" s="22">
        <f>SUM(H165/G171*100)</f>
        <v>0</v>
      </c>
    </row>
    <row r="166" spans="1:9" s="130" customFormat="1" ht="15">
      <c r="A166" s="183" t="s">
        <v>15</v>
      </c>
      <c r="B166" s="257"/>
      <c r="C166" s="256" t="s">
        <v>119</v>
      </c>
      <c r="D166" s="256" t="s">
        <v>374</v>
      </c>
      <c r="E166" s="256" t="s">
        <v>527</v>
      </c>
      <c r="F166" s="285"/>
      <c r="G166" s="207">
        <f>SUM(G167)</f>
        <v>3628.8</v>
      </c>
      <c r="H166" s="22">
        <f>SUM(H167)</f>
        <v>0</v>
      </c>
      <c r="I166" s="22">
        <f>SUM(H166/G172*100)</f>
        <v>0</v>
      </c>
    </row>
    <row r="167" spans="1:9" s="130" customFormat="1" ht="28.5">
      <c r="A167" s="183" t="s">
        <v>189</v>
      </c>
      <c r="B167" s="257"/>
      <c r="C167" s="256" t="s">
        <v>119</v>
      </c>
      <c r="D167" s="256" t="s">
        <v>374</v>
      </c>
      <c r="E167" s="256" t="s">
        <v>523</v>
      </c>
      <c r="F167" s="285"/>
      <c r="G167" s="207">
        <f>G168</f>
        <v>3628.8</v>
      </c>
      <c r="H167" s="22">
        <f>SUM(H168:H173)</f>
        <v>0</v>
      </c>
      <c r="I167" s="22">
        <f>SUM(H167/G173*100)</f>
        <v>0</v>
      </c>
    </row>
    <row r="168" spans="1:9" s="130" customFormat="1" ht="28.5">
      <c r="A168" s="183" t="s">
        <v>496</v>
      </c>
      <c r="B168" s="257"/>
      <c r="C168" s="256" t="s">
        <v>119</v>
      </c>
      <c r="D168" s="256" t="s">
        <v>374</v>
      </c>
      <c r="E168" s="256" t="s">
        <v>523</v>
      </c>
      <c r="F168" s="285" t="s">
        <v>487</v>
      </c>
      <c r="G168" s="207">
        <v>3628.8</v>
      </c>
      <c r="H168" s="22"/>
      <c r="I168" s="22" t="e">
        <f>SUM(H168/#REF!*100)</f>
        <v>#REF!</v>
      </c>
    </row>
    <row r="169" spans="1:9" s="130" customFormat="1" ht="15" hidden="1">
      <c r="A169" s="183" t="s">
        <v>497</v>
      </c>
      <c r="B169" s="257"/>
      <c r="C169" s="256" t="s">
        <v>119</v>
      </c>
      <c r="D169" s="256" t="s">
        <v>374</v>
      </c>
      <c r="E169" s="256" t="s">
        <v>523</v>
      </c>
      <c r="F169" s="285" t="s">
        <v>498</v>
      </c>
      <c r="G169" s="207"/>
      <c r="H169" s="22"/>
      <c r="I169" s="22"/>
    </row>
    <row r="170" spans="1:9" s="138" customFormat="1" ht="42.75" hidden="1">
      <c r="A170" s="151" t="s">
        <v>499</v>
      </c>
      <c r="B170" s="259"/>
      <c r="C170" s="260" t="s">
        <v>119</v>
      </c>
      <c r="D170" s="260" t="s">
        <v>374</v>
      </c>
      <c r="E170" s="260" t="s">
        <v>523</v>
      </c>
      <c r="F170" s="286" t="s">
        <v>58</v>
      </c>
      <c r="G170" s="208"/>
      <c r="H170" s="119"/>
      <c r="I170" s="119"/>
    </row>
    <row r="171" spans="1:9" s="139" customFormat="1" ht="15">
      <c r="A171" s="233" t="s">
        <v>524</v>
      </c>
      <c r="B171" s="259"/>
      <c r="C171" s="260" t="s">
        <v>119</v>
      </c>
      <c r="D171" s="260" t="s">
        <v>374</v>
      </c>
      <c r="E171" s="260" t="s">
        <v>126</v>
      </c>
      <c r="F171" s="286"/>
      <c r="G171" s="208">
        <f>G172</f>
        <v>5653.5</v>
      </c>
      <c r="H171" s="119"/>
      <c r="I171" s="119"/>
    </row>
    <row r="172" spans="1:9" s="140" customFormat="1" ht="28.5">
      <c r="A172" s="233" t="s">
        <v>525</v>
      </c>
      <c r="B172" s="259"/>
      <c r="C172" s="260" t="s">
        <v>119</v>
      </c>
      <c r="D172" s="260" t="s">
        <v>374</v>
      </c>
      <c r="E172" s="260" t="s">
        <v>54</v>
      </c>
      <c r="F172" s="286"/>
      <c r="G172" s="208">
        <f>SUM(G173)</f>
        <v>5653.5</v>
      </c>
      <c r="H172" s="119"/>
      <c r="I172" s="119" t="e">
        <f>SUM(H172/#REF!*100)</f>
        <v>#REF!</v>
      </c>
    </row>
    <row r="173" spans="1:9" s="138" customFormat="1" ht="28.5">
      <c r="A173" s="151" t="s">
        <v>496</v>
      </c>
      <c r="B173" s="259"/>
      <c r="C173" s="260" t="s">
        <v>119</v>
      </c>
      <c r="D173" s="260" t="s">
        <v>374</v>
      </c>
      <c r="E173" s="260" t="s">
        <v>54</v>
      </c>
      <c r="F173" s="286" t="s">
        <v>487</v>
      </c>
      <c r="G173" s="208">
        <v>5653.5</v>
      </c>
      <c r="H173" s="119"/>
      <c r="I173" s="119" t="e">
        <f>SUM(H173/#REF!*100)</f>
        <v>#REF!</v>
      </c>
    </row>
    <row r="174" spans="1:9" s="128" customFormat="1" ht="15">
      <c r="A174" s="183" t="s">
        <v>390</v>
      </c>
      <c r="B174" s="232"/>
      <c r="C174" s="228" t="s">
        <v>128</v>
      </c>
      <c r="D174" s="228"/>
      <c r="E174" s="228"/>
      <c r="F174" s="281"/>
      <c r="G174" s="210">
        <f>SUM(G228+G233+G245)</f>
        <v>87096.6</v>
      </c>
      <c r="H174" s="22">
        <f>SUM(H175)</f>
        <v>0</v>
      </c>
      <c r="I174" s="22" t="e">
        <f aca="true" t="shared" si="4" ref="I174:I208">SUM(H174/G180*100)</f>
        <v>#DIV/0!</v>
      </c>
    </row>
    <row r="175" spans="1:9" s="128" customFormat="1" ht="15" hidden="1">
      <c r="A175" s="223" t="s">
        <v>391</v>
      </c>
      <c r="B175" s="224"/>
      <c r="C175" s="225" t="s">
        <v>128</v>
      </c>
      <c r="D175" s="225" t="s">
        <v>427</v>
      </c>
      <c r="E175" s="225"/>
      <c r="F175" s="279"/>
      <c r="G175" s="197"/>
      <c r="H175" s="22"/>
      <c r="I175" s="22" t="e">
        <f t="shared" si="4"/>
        <v>#DIV/0!</v>
      </c>
    </row>
    <row r="176" spans="1:9" s="128" customFormat="1" ht="28.5" hidden="1">
      <c r="A176" s="183" t="s">
        <v>392</v>
      </c>
      <c r="B176" s="224"/>
      <c r="C176" s="225" t="s">
        <v>128</v>
      </c>
      <c r="D176" s="225" t="s">
        <v>427</v>
      </c>
      <c r="E176" s="225" t="s">
        <v>393</v>
      </c>
      <c r="F176" s="279"/>
      <c r="G176" s="197">
        <f>SUM(G177+G184)</f>
        <v>0</v>
      </c>
      <c r="H176" s="22">
        <f>SUM(H177)</f>
        <v>4761.6</v>
      </c>
      <c r="I176" s="22" t="e">
        <f t="shared" si="4"/>
        <v>#DIV/0!</v>
      </c>
    </row>
    <row r="177" spans="1:9" s="128" customFormat="1" ht="57" hidden="1">
      <c r="A177" s="183" t="s">
        <v>394</v>
      </c>
      <c r="B177" s="224"/>
      <c r="C177" s="225" t="s">
        <v>128</v>
      </c>
      <c r="D177" s="225" t="s">
        <v>427</v>
      </c>
      <c r="E177" s="225" t="s">
        <v>395</v>
      </c>
      <c r="F177" s="279"/>
      <c r="G177" s="197">
        <f>SUM(G178+G180+G182)</f>
        <v>0</v>
      </c>
      <c r="H177" s="22">
        <v>4761.6</v>
      </c>
      <c r="I177" s="22" t="e">
        <f t="shared" si="4"/>
        <v>#DIV/0!</v>
      </c>
    </row>
    <row r="178" spans="1:9" s="128" customFormat="1" ht="42.75" hidden="1">
      <c r="A178" s="183" t="s">
        <v>28</v>
      </c>
      <c r="B178" s="224"/>
      <c r="C178" s="225" t="s">
        <v>128</v>
      </c>
      <c r="D178" s="225" t="s">
        <v>427</v>
      </c>
      <c r="E178" s="225" t="s">
        <v>29</v>
      </c>
      <c r="F178" s="279"/>
      <c r="G178" s="197">
        <f>SUM(G179)</f>
        <v>0</v>
      </c>
      <c r="H178" s="22">
        <f>SUM(H179)+H185+H188</f>
        <v>5205.8</v>
      </c>
      <c r="I178" s="22" t="e">
        <f t="shared" si="4"/>
        <v>#DIV/0!</v>
      </c>
    </row>
    <row r="179" spans="1:9" s="128" customFormat="1" ht="15" hidden="1">
      <c r="A179" s="223" t="s">
        <v>7</v>
      </c>
      <c r="B179" s="224"/>
      <c r="C179" s="225" t="s">
        <v>128</v>
      </c>
      <c r="D179" s="225" t="s">
        <v>427</v>
      </c>
      <c r="E179" s="225" t="s">
        <v>29</v>
      </c>
      <c r="F179" s="279" t="s">
        <v>8</v>
      </c>
      <c r="G179" s="197"/>
      <c r="H179" s="22">
        <f>SUM(H180+H181)</f>
        <v>1562</v>
      </c>
      <c r="I179" s="22" t="e">
        <f t="shared" si="4"/>
        <v>#DIV/0!</v>
      </c>
    </row>
    <row r="180" spans="1:9" s="128" customFormat="1" ht="57" hidden="1">
      <c r="A180" s="183" t="s">
        <v>30</v>
      </c>
      <c r="B180" s="224"/>
      <c r="C180" s="225" t="s">
        <v>128</v>
      </c>
      <c r="D180" s="225" t="s">
        <v>427</v>
      </c>
      <c r="E180" s="225" t="s">
        <v>31</v>
      </c>
      <c r="F180" s="279"/>
      <c r="G180" s="197">
        <f>SUM(G181)</f>
        <v>0</v>
      </c>
      <c r="H180" s="22">
        <v>233.9</v>
      </c>
      <c r="I180" s="22" t="e">
        <f t="shared" si="4"/>
        <v>#DIV/0!</v>
      </c>
    </row>
    <row r="181" spans="1:9" s="128" customFormat="1" ht="15" hidden="1">
      <c r="A181" s="236" t="s">
        <v>131</v>
      </c>
      <c r="B181" s="224"/>
      <c r="C181" s="225" t="s">
        <v>128</v>
      </c>
      <c r="D181" s="225" t="s">
        <v>427</v>
      </c>
      <c r="E181" s="225" t="s">
        <v>31</v>
      </c>
      <c r="F181" s="279" t="s">
        <v>132</v>
      </c>
      <c r="G181" s="197"/>
      <c r="H181" s="22">
        <v>1328.1</v>
      </c>
      <c r="I181" s="22" t="e">
        <f t="shared" si="4"/>
        <v>#DIV/0!</v>
      </c>
    </row>
    <row r="182" spans="1:9" s="128" customFormat="1" ht="71.25" hidden="1">
      <c r="A182" s="183" t="s">
        <v>235</v>
      </c>
      <c r="B182" s="224"/>
      <c r="C182" s="225" t="s">
        <v>128</v>
      </c>
      <c r="D182" s="225" t="s">
        <v>427</v>
      </c>
      <c r="E182" s="225" t="s">
        <v>136</v>
      </c>
      <c r="F182" s="279"/>
      <c r="G182" s="197">
        <f>SUM(G183)</f>
        <v>0</v>
      </c>
      <c r="H182" s="22">
        <f>SUM(H183)</f>
        <v>0</v>
      </c>
      <c r="I182" s="22" t="e">
        <f t="shared" si="4"/>
        <v>#DIV/0!</v>
      </c>
    </row>
    <row r="183" spans="1:9" s="128" customFormat="1" ht="15" hidden="1">
      <c r="A183" s="236" t="s">
        <v>131</v>
      </c>
      <c r="B183" s="224"/>
      <c r="C183" s="225" t="s">
        <v>128</v>
      </c>
      <c r="D183" s="225" t="s">
        <v>427</v>
      </c>
      <c r="E183" s="225" t="s">
        <v>136</v>
      </c>
      <c r="F183" s="279" t="s">
        <v>132</v>
      </c>
      <c r="G183" s="197"/>
      <c r="H183" s="22">
        <f>SUM(H184)</f>
        <v>0</v>
      </c>
      <c r="I183" s="22" t="e">
        <f t="shared" si="4"/>
        <v>#DIV/0!</v>
      </c>
    </row>
    <row r="184" spans="1:9" s="128" customFormat="1" ht="42.75" hidden="1">
      <c r="A184" s="183" t="s">
        <v>396</v>
      </c>
      <c r="B184" s="224"/>
      <c r="C184" s="225" t="s">
        <v>128</v>
      </c>
      <c r="D184" s="225" t="s">
        <v>427</v>
      </c>
      <c r="E184" s="225" t="s">
        <v>397</v>
      </c>
      <c r="F184" s="279"/>
      <c r="G184" s="197">
        <f>SUM(G185)+G191+G194</f>
        <v>0</v>
      </c>
      <c r="H184" s="22"/>
      <c r="I184" s="22" t="e">
        <f t="shared" si="4"/>
        <v>#DIV/0!</v>
      </c>
    </row>
    <row r="185" spans="1:9" s="128" customFormat="1" ht="28.5" hidden="1">
      <c r="A185" s="183" t="s">
        <v>398</v>
      </c>
      <c r="B185" s="224"/>
      <c r="C185" s="225" t="s">
        <v>128</v>
      </c>
      <c r="D185" s="225" t="s">
        <v>427</v>
      </c>
      <c r="E185" s="225" t="s">
        <v>399</v>
      </c>
      <c r="F185" s="279"/>
      <c r="G185" s="197">
        <f>SUM(G186+G187)</f>
        <v>0</v>
      </c>
      <c r="H185" s="22">
        <f>SUM(H186+H187)</f>
        <v>1821.9</v>
      </c>
      <c r="I185" s="22" t="e">
        <f t="shared" si="4"/>
        <v>#DIV/0!</v>
      </c>
    </row>
    <row r="186" spans="1:9" s="128" customFormat="1" ht="15" hidden="1">
      <c r="A186" s="183" t="s">
        <v>7</v>
      </c>
      <c r="B186" s="224"/>
      <c r="C186" s="225" t="s">
        <v>128</v>
      </c>
      <c r="D186" s="225" t="s">
        <v>427</v>
      </c>
      <c r="E186" s="225" t="s">
        <v>399</v>
      </c>
      <c r="F186" s="279" t="s">
        <v>8</v>
      </c>
      <c r="G186" s="197"/>
      <c r="H186" s="22"/>
      <c r="I186" s="22" t="e">
        <f t="shared" si="4"/>
        <v>#DIV/0!</v>
      </c>
    </row>
    <row r="187" spans="1:9" s="128" customFormat="1" ht="28.5" hidden="1">
      <c r="A187" s="183" t="s">
        <v>400</v>
      </c>
      <c r="B187" s="224"/>
      <c r="C187" s="225" t="s">
        <v>128</v>
      </c>
      <c r="D187" s="225" t="s">
        <v>427</v>
      </c>
      <c r="E187" s="225" t="s">
        <v>399</v>
      </c>
      <c r="F187" s="279" t="s">
        <v>401</v>
      </c>
      <c r="G187" s="197"/>
      <c r="H187" s="22">
        <v>1821.9</v>
      </c>
      <c r="I187" s="22" t="e">
        <f t="shared" si="4"/>
        <v>#DIV/0!</v>
      </c>
    </row>
    <row r="188" spans="1:9" s="128" customFormat="1" ht="28.5" hidden="1">
      <c r="A188" s="183" t="s">
        <v>229</v>
      </c>
      <c r="B188" s="224"/>
      <c r="C188" s="225" t="s">
        <v>128</v>
      </c>
      <c r="D188" s="225" t="s">
        <v>427</v>
      </c>
      <c r="E188" s="225" t="s">
        <v>388</v>
      </c>
      <c r="F188" s="279"/>
      <c r="G188" s="197">
        <f>SUM(G189)</f>
        <v>0</v>
      </c>
      <c r="H188" s="22">
        <f>SUM(H189)</f>
        <v>1821.9</v>
      </c>
      <c r="I188" s="22" t="e">
        <f t="shared" si="4"/>
        <v>#DIV/0!</v>
      </c>
    </row>
    <row r="189" spans="1:9" s="128" customFormat="1" ht="28.5" hidden="1">
      <c r="A189" s="183" t="s">
        <v>129</v>
      </c>
      <c r="B189" s="224"/>
      <c r="C189" s="225" t="s">
        <v>128</v>
      </c>
      <c r="D189" s="225" t="s">
        <v>427</v>
      </c>
      <c r="E189" s="225" t="s">
        <v>130</v>
      </c>
      <c r="F189" s="279"/>
      <c r="G189" s="197">
        <f>SUM(G190)</f>
        <v>0</v>
      </c>
      <c r="H189" s="22">
        <v>1821.9</v>
      </c>
      <c r="I189" s="22" t="e">
        <f t="shared" si="4"/>
        <v>#DIV/0!</v>
      </c>
    </row>
    <row r="190" spans="1:9" s="128" customFormat="1" ht="15" hidden="1">
      <c r="A190" s="183" t="s">
        <v>131</v>
      </c>
      <c r="B190" s="224"/>
      <c r="C190" s="225" t="s">
        <v>128</v>
      </c>
      <c r="D190" s="225" t="s">
        <v>427</v>
      </c>
      <c r="E190" s="225" t="s">
        <v>130</v>
      </c>
      <c r="F190" s="279" t="s">
        <v>132</v>
      </c>
      <c r="G190" s="197"/>
      <c r="H190" s="22">
        <f>SUM(H191+H193)</f>
        <v>0</v>
      </c>
      <c r="I190" s="22" t="e">
        <f t="shared" si="4"/>
        <v>#DIV/0!</v>
      </c>
    </row>
    <row r="191" spans="1:9" s="128" customFormat="1" ht="28.5" hidden="1">
      <c r="A191" s="183" t="s">
        <v>402</v>
      </c>
      <c r="B191" s="224"/>
      <c r="C191" s="225" t="s">
        <v>128</v>
      </c>
      <c r="D191" s="225" t="s">
        <v>427</v>
      </c>
      <c r="E191" s="225" t="s">
        <v>403</v>
      </c>
      <c r="F191" s="279"/>
      <c r="G191" s="197">
        <f>SUM(G192+G193)</f>
        <v>0</v>
      </c>
      <c r="H191" s="22">
        <f>SUM(H192)</f>
        <v>0</v>
      </c>
      <c r="I191" s="22" t="e">
        <f t="shared" si="4"/>
        <v>#DIV/0!</v>
      </c>
    </row>
    <row r="192" spans="1:9" s="128" customFormat="1" ht="42.75" hidden="1">
      <c r="A192" s="223" t="s">
        <v>16</v>
      </c>
      <c r="B192" s="224"/>
      <c r="C192" s="225" t="s">
        <v>128</v>
      </c>
      <c r="D192" s="225" t="s">
        <v>427</v>
      </c>
      <c r="E192" s="225" t="s">
        <v>403</v>
      </c>
      <c r="F192" s="279" t="s">
        <v>58</v>
      </c>
      <c r="G192" s="197"/>
      <c r="H192" s="22"/>
      <c r="I192" s="22" t="e">
        <f t="shared" si="4"/>
        <v>#DIV/0!</v>
      </c>
    </row>
    <row r="193" spans="1:9" s="128" customFormat="1" ht="15" hidden="1">
      <c r="A193" s="236" t="s">
        <v>131</v>
      </c>
      <c r="B193" s="224"/>
      <c r="C193" s="225" t="s">
        <v>128</v>
      </c>
      <c r="D193" s="225" t="s">
        <v>427</v>
      </c>
      <c r="E193" s="225" t="s">
        <v>403</v>
      </c>
      <c r="F193" s="279" t="s">
        <v>132</v>
      </c>
      <c r="G193" s="197"/>
      <c r="H193" s="22">
        <f>SUM(H194)</f>
        <v>0</v>
      </c>
      <c r="I193" s="22" t="e">
        <f t="shared" si="4"/>
        <v>#DIV/0!</v>
      </c>
    </row>
    <row r="194" spans="1:9" s="128" customFormat="1" ht="42.75" hidden="1">
      <c r="A194" s="183" t="s">
        <v>406</v>
      </c>
      <c r="B194" s="224"/>
      <c r="C194" s="225" t="s">
        <v>128</v>
      </c>
      <c r="D194" s="225" t="s">
        <v>427</v>
      </c>
      <c r="E194" s="225" t="s">
        <v>407</v>
      </c>
      <c r="F194" s="279"/>
      <c r="G194" s="197">
        <f>SUM(G195)</f>
        <v>0</v>
      </c>
      <c r="H194" s="22"/>
      <c r="I194" s="22" t="e">
        <f t="shared" si="4"/>
        <v>#DIV/0!</v>
      </c>
    </row>
    <row r="195" spans="1:9" s="128" customFormat="1" ht="15" hidden="1">
      <c r="A195" s="236" t="s">
        <v>131</v>
      </c>
      <c r="B195" s="224"/>
      <c r="C195" s="225" t="s">
        <v>128</v>
      </c>
      <c r="D195" s="225" t="s">
        <v>427</v>
      </c>
      <c r="E195" s="225" t="s">
        <v>407</v>
      </c>
      <c r="F195" s="279" t="s">
        <v>132</v>
      </c>
      <c r="G195" s="197"/>
      <c r="H195" s="108">
        <f>SUM(H199)+H204+H196</f>
        <v>0</v>
      </c>
      <c r="I195" s="22" t="e">
        <f t="shared" si="4"/>
        <v>#DIV/0!</v>
      </c>
    </row>
    <row r="196" spans="1:9" s="128" customFormat="1" ht="15" hidden="1">
      <c r="A196" s="223" t="s">
        <v>408</v>
      </c>
      <c r="B196" s="224"/>
      <c r="C196" s="225" t="s">
        <v>128</v>
      </c>
      <c r="D196" s="225" t="s">
        <v>427</v>
      </c>
      <c r="E196" s="225" t="s">
        <v>409</v>
      </c>
      <c r="F196" s="279"/>
      <c r="G196" s="197">
        <f>SUM(G197+G199)</f>
        <v>0</v>
      </c>
      <c r="H196" s="108">
        <f>SUM(H197)</f>
        <v>0</v>
      </c>
      <c r="I196" s="22" t="e">
        <f t="shared" si="4"/>
        <v>#DIV/0!</v>
      </c>
    </row>
    <row r="197" spans="1:9" s="128" customFormat="1" ht="42.75" hidden="1">
      <c r="A197" s="187" t="s">
        <v>410</v>
      </c>
      <c r="B197" s="224"/>
      <c r="C197" s="225" t="s">
        <v>128</v>
      </c>
      <c r="D197" s="225" t="s">
        <v>427</v>
      </c>
      <c r="E197" s="225" t="s">
        <v>411</v>
      </c>
      <c r="F197" s="279"/>
      <c r="G197" s="197">
        <f>SUM(G198)</f>
        <v>0</v>
      </c>
      <c r="H197" s="108"/>
      <c r="I197" s="22" t="e">
        <f t="shared" si="4"/>
        <v>#DIV/0!</v>
      </c>
    </row>
    <row r="198" spans="1:9" s="128" customFormat="1" ht="15" hidden="1">
      <c r="A198" s="223" t="s">
        <v>7</v>
      </c>
      <c r="B198" s="224"/>
      <c r="C198" s="225" t="s">
        <v>128</v>
      </c>
      <c r="D198" s="225" t="s">
        <v>427</v>
      </c>
      <c r="E198" s="225" t="s">
        <v>411</v>
      </c>
      <c r="F198" s="279" t="s">
        <v>8</v>
      </c>
      <c r="G198" s="197"/>
      <c r="H198" s="108"/>
      <c r="I198" s="22" t="e">
        <f t="shared" si="4"/>
        <v>#DIV/0!</v>
      </c>
    </row>
    <row r="199" spans="1:9" s="128" customFormat="1" ht="28.5" hidden="1">
      <c r="A199" s="187" t="s">
        <v>412</v>
      </c>
      <c r="B199" s="232"/>
      <c r="C199" s="225" t="s">
        <v>128</v>
      </c>
      <c r="D199" s="225" t="s">
        <v>427</v>
      </c>
      <c r="E199" s="225" t="s">
        <v>413</v>
      </c>
      <c r="F199" s="280"/>
      <c r="G199" s="197">
        <f>SUM(G200)</f>
        <v>0</v>
      </c>
      <c r="H199" s="108">
        <f>SUM(H200+H202)</f>
        <v>0</v>
      </c>
      <c r="I199" s="22" t="e">
        <f t="shared" si="4"/>
        <v>#DIV/0!</v>
      </c>
    </row>
    <row r="200" spans="1:9" s="128" customFormat="1" ht="15" hidden="1">
      <c r="A200" s="223" t="s">
        <v>100</v>
      </c>
      <c r="B200" s="237"/>
      <c r="C200" s="225" t="s">
        <v>128</v>
      </c>
      <c r="D200" s="225" t="s">
        <v>427</v>
      </c>
      <c r="E200" s="225" t="s">
        <v>413</v>
      </c>
      <c r="F200" s="279" t="s">
        <v>101</v>
      </c>
      <c r="G200" s="197"/>
      <c r="H200" s="108">
        <f>SUM(H201)</f>
        <v>0</v>
      </c>
      <c r="I200" s="22" t="e">
        <f t="shared" si="4"/>
        <v>#DIV/0!</v>
      </c>
    </row>
    <row r="201" spans="1:9" s="128" customFormat="1" ht="15" hidden="1">
      <c r="A201" s="187" t="s">
        <v>3</v>
      </c>
      <c r="B201" s="224"/>
      <c r="C201" s="225" t="s">
        <v>128</v>
      </c>
      <c r="D201" s="225" t="s">
        <v>427</v>
      </c>
      <c r="E201" s="225" t="s">
        <v>4</v>
      </c>
      <c r="F201" s="279"/>
      <c r="G201" s="197">
        <f>SUM(G205)+G210+G202</f>
        <v>0</v>
      </c>
      <c r="H201" s="22"/>
      <c r="I201" s="22" t="e">
        <f t="shared" si="4"/>
        <v>#DIV/0!</v>
      </c>
    </row>
    <row r="202" spans="1:9" s="128" customFormat="1" ht="28.5" hidden="1">
      <c r="A202" s="187" t="s">
        <v>414</v>
      </c>
      <c r="B202" s="224"/>
      <c r="C202" s="225" t="s">
        <v>128</v>
      </c>
      <c r="D202" s="225" t="s">
        <v>427</v>
      </c>
      <c r="E202" s="225" t="s">
        <v>415</v>
      </c>
      <c r="F202" s="279"/>
      <c r="G202" s="197">
        <f>SUM(G203)</f>
        <v>0</v>
      </c>
      <c r="H202" s="22">
        <f>SUM(H203)</f>
        <v>0</v>
      </c>
      <c r="I202" s="22" t="e">
        <f t="shared" si="4"/>
        <v>#DIV/0!</v>
      </c>
    </row>
    <row r="203" spans="1:9" s="128" customFormat="1" ht="15" hidden="1">
      <c r="A203" s="187" t="s">
        <v>131</v>
      </c>
      <c r="B203" s="224"/>
      <c r="C203" s="225" t="s">
        <v>128</v>
      </c>
      <c r="D203" s="225" t="s">
        <v>427</v>
      </c>
      <c r="E203" s="225" t="s">
        <v>415</v>
      </c>
      <c r="F203" s="279" t="s">
        <v>132</v>
      </c>
      <c r="G203" s="197"/>
      <c r="H203" s="22"/>
      <c r="I203" s="22" t="e">
        <f t="shared" si="4"/>
        <v>#DIV/0!</v>
      </c>
    </row>
    <row r="204" spans="1:9" s="128" customFormat="1" ht="15" hidden="1">
      <c r="A204" s="187"/>
      <c r="B204" s="224"/>
      <c r="C204" s="225"/>
      <c r="D204" s="225"/>
      <c r="E204" s="225"/>
      <c r="F204" s="279"/>
      <c r="G204" s="197"/>
      <c r="H204" s="22"/>
      <c r="I204" s="22" t="e">
        <f t="shared" si="4"/>
        <v>#DIV/0!</v>
      </c>
    </row>
    <row r="205" spans="1:9" s="128" customFormat="1" ht="28.5" hidden="1">
      <c r="A205" s="223" t="s">
        <v>416</v>
      </c>
      <c r="B205" s="224"/>
      <c r="C205" s="225" t="s">
        <v>128</v>
      </c>
      <c r="D205" s="225" t="s">
        <v>427</v>
      </c>
      <c r="E205" s="225" t="s">
        <v>417</v>
      </c>
      <c r="F205" s="279"/>
      <c r="G205" s="197">
        <f>SUM(G206+G208)</f>
        <v>0</v>
      </c>
      <c r="H205" s="22">
        <f>SUM(H206)</f>
        <v>0</v>
      </c>
      <c r="I205" s="22" t="e">
        <f t="shared" si="4"/>
        <v>#DIV/0!</v>
      </c>
    </row>
    <row r="206" spans="1:9" s="128" customFormat="1" ht="28.5" hidden="1">
      <c r="A206" s="187" t="s">
        <v>418</v>
      </c>
      <c r="B206" s="224"/>
      <c r="C206" s="225" t="s">
        <v>128</v>
      </c>
      <c r="D206" s="225" t="s">
        <v>427</v>
      </c>
      <c r="E206" s="225" t="s">
        <v>419</v>
      </c>
      <c r="F206" s="279"/>
      <c r="G206" s="197">
        <f>SUM(G207)</f>
        <v>0</v>
      </c>
      <c r="H206" s="22"/>
      <c r="I206" s="22" t="e">
        <f t="shared" si="4"/>
        <v>#DIV/0!</v>
      </c>
    </row>
    <row r="207" spans="1:9" s="128" customFormat="1" ht="15" hidden="1">
      <c r="A207" s="183" t="s">
        <v>131</v>
      </c>
      <c r="B207" s="224"/>
      <c r="C207" s="225" t="s">
        <v>128</v>
      </c>
      <c r="D207" s="225" t="s">
        <v>427</v>
      </c>
      <c r="E207" s="225" t="s">
        <v>419</v>
      </c>
      <c r="F207" s="279" t="s">
        <v>132</v>
      </c>
      <c r="G207" s="197"/>
      <c r="H207" s="22">
        <f>SUM(H208)</f>
        <v>0</v>
      </c>
      <c r="I207" s="22" t="e">
        <f t="shared" si="4"/>
        <v>#DIV/0!</v>
      </c>
    </row>
    <row r="208" spans="1:9" s="128" customFormat="1" ht="15" hidden="1">
      <c r="A208" s="183" t="s">
        <v>420</v>
      </c>
      <c r="B208" s="224"/>
      <c r="C208" s="225" t="s">
        <v>128</v>
      </c>
      <c r="D208" s="225" t="s">
        <v>427</v>
      </c>
      <c r="E208" s="225" t="s">
        <v>421</v>
      </c>
      <c r="F208" s="279"/>
      <c r="G208" s="197">
        <f>SUM(G209)</f>
        <v>0</v>
      </c>
      <c r="H208" s="22"/>
      <c r="I208" s="22" t="e">
        <f t="shared" si="4"/>
        <v>#DIV/0!</v>
      </c>
    </row>
    <row r="209" spans="1:9" s="128" customFormat="1" ht="15" hidden="1">
      <c r="A209" s="223" t="s">
        <v>100</v>
      </c>
      <c r="B209" s="237"/>
      <c r="C209" s="225" t="s">
        <v>128</v>
      </c>
      <c r="D209" s="225" t="s">
        <v>427</v>
      </c>
      <c r="E209" s="225" t="s">
        <v>421</v>
      </c>
      <c r="F209" s="279" t="s">
        <v>101</v>
      </c>
      <c r="G209" s="197"/>
      <c r="H209" s="22"/>
      <c r="I209" s="22"/>
    </row>
    <row r="210" spans="1:9" s="128" customFormat="1" ht="28.5" hidden="1">
      <c r="A210" s="223" t="s">
        <v>422</v>
      </c>
      <c r="B210" s="237"/>
      <c r="C210" s="225" t="s">
        <v>128</v>
      </c>
      <c r="D210" s="225" t="s">
        <v>427</v>
      </c>
      <c r="E210" s="225" t="s">
        <v>423</v>
      </c>
      <c r="F210" s="279"/>
      <c r="G210" s="197"/>
      <c r="H210" s="22"/>
      <c r="I210" s="22"/>
    </row>
    <row r="211" spans="1:9" s="128" customFormat="1" ht="28.5" hidden="1">
      <c r="A211" s="223" t="s">
        <v>44</v>
      </c>
      <c r="B211" s="237"/>
      <c r="C211" s="225" t="s">
        <v>128</v>
      </c>
      <c r="D211" s="225" t="s">
        <v>427</v>
      </c>
      <c r="E211" s="225" t="s">
        <v>45</v>
      </c>
      <c r="F211" s="279"/>
      <c r="G211" s="197">
        <f>SUM(G212)</f>
        <v>0</v>
      </c>
      <c r="H211" s="22"/>
      <c r="I211" s="22"/>
    </row>
    <row r="212" spans="1:9" s="128" customFormat="1" ht="15" hidden="1">
      <c r="A212" s="223" t="s">
        <v>7</v>
      </c>
      <c r="B212" s="237"/>
      <c r="C212" s="225" t="s">
        <v>128</v>
      </c>
      <c r="D212" s="225" t="s">
        <v>427</v>
      </c>
      <c r="E212" s="225" t="s">
        <v>45</v>
      </c>
      <c r="F212" s="279" t="s">
        <v>8</v>
      </c>
      <c r="G212" s="197"/>
      <c r="H212" s="22">
        <f>SUM(H213+H216)+H220</f>
        <v>278.1</v>
      </c>
      <c r="I212" s="22" t="e">
        <f aca="true" t="shared" si="5" ref="I212:I217">SUM(H212/G218*100)</f>
        <v>#DIV/0!</v>
      </c>
    </row>
    <row r="213" spans="1:9" s="128" customFormat="1" ht="28.5" hidden="1">
      <c r="A213" s="223" t="s">
        <v>46</v>
      </c>
      <c r="B213" s="237"/>
      <c r="C213" s="225" t="s">
        <v>128</v>
      </c>
      <c r="D213" s="225" t="s">
        <v>427</v>
      </c>
      <c r="E213" s="225" t="s">
        <v>47</v>
      </c>
      <c r="F213" s="279"/>
      <c r="G213" s="197">
        <f>SUM(G214)</f>
        <v>0</v>
      </c>
      <c r="H213" s="22">
        <f>SUM(H214:H215)</f>
        <v>0</v>
      </c>
      <c r="I213" s="22" t="e">
        <f t="shared" si="5"/>
        <v>#DIV/0!</v>
      </c>
    </row>
    <row r="214" spans="1:9" s="128" customFormat="1" ht="15" hidden="1">
      <c r="A214" s="223" t="s">
        <v>7</v>
      </c>
      <c r="B214" s="237"/>
      <c r="C214" s="225" t="s">
        <v>128</v>
      </c>
      <c r="D214" s="225" t="s">
        <v>427</v>
      </c>
      <c r="E214" s="225" t="s">
        <v>47</v>
      </c>
      <c r="F214" s="279" t="s">
        <v>8</v>
      </c>
      <c r="G214" s="197"/>
      <c r="H214" s="22"/>
      <c r="I214" s="22" t="e">
        <f t="shared" si="5"/>
        <v>#DIV/0!</v>
      </c>
    </row>
    <row r="215" spans="1:9" s="136" customFormat="1" ht="15" hidden="1">
      <c r="A215" s="223" t="s">
        <v>408</v>
      </c>
      <c r="B215" s="237"/>
      <c r="C215" s="225" t="s">
        <v>128</v>
      </c>
      <c r="D215" s="225" t="s">
        <v>427</v>
      </c>
      <c r="E215" s="225" t="s">
        <v>409</v>
      </c>
      <c r="F215" s="279"/>
      <c r="G215" s="197">
        <f>SUM(G216)</f>
        <v>0</v>
      </c>
      <c r="H215" s="22"/>
      <c r="I215" s="22" t="e">
        <f t="shared" si="5"/>
        <v>#DIV/0!</v>
      </c>
    </row>
    <row r="216" spans="1:9" s="136" customFormat="1" ht="28.5" hidden="1">
      <c r="A216" s="223" t="s">
        <v>268</v>
      </c>
      <c r="B216" s="237"/>
      <c r="C216" s="225" t="s">
        <v>128</v>
      </c>
      <c r="D216" s="225" t="s">
        <v>427</v>
      </c>
      <c r="E216" s="225" t="s">
        <v>413</v>
      </c>
      <c r="F216" s="279"/>
      <c r="G216" s="197">
        <f>SUM(G217)</f>
        <v>0</v>
      </c>
      <c r="H216" s="22">
        <f>SUM(H217)</f>
        <v>167.7</v>
      </c>
      <c r="I216" s="22" t="e">
        <f t="shared" si="5"/>
        <v>#DIV/0!</v>
      </c>
    </row>
    <row r="217" spans="1:9" ht="15" hidden="1">
      <c r="A217" s="223" t="s">
        <v>100</v>
      </c>
      <c r="B217" s="237"/>
      <c r="C217" s="225" t="s">
        <v>128</v>
      </c>
      <c r="D217" s="225" t="s">
        <v>427</v>
      </c>
      <c r="E217" s="225" t="s">
        <v>413</v>
      </c>
      <c r="F217" s="279" t="s">
        <v>101</v>
      </c>
      <c r="G217" s="197"/>
      <c r="H217" s="22">
        <f>SUM(H219)</f>
        <v>167.7</v>
      </c>
      <c r="I217" s="22" t="e">
        <f t="shared" si="5"/>
        <v>#DIV/0!</v>
      </c>
    </row>
    <row r="218" spans="1:9" ht="15" hidden="1">
      <c r="A218" s="236" t="s">
        <v>125</v>
      </c>
      <c r="B218" s="224"/>
      <c r="C218" s="225" t="s">
        <v>128</v>
      </c>
      <c r="D218" s="225" t="s">
        <v>427</v>
      </c>
      <c r="E218" s="225" t="s">
        <v>126</v>
      </c>
      <c r="F218" s="279"/>
      <c r="G218" s="197">
        <f>SUM(G219+G222)+G226</f>
        <v>0</v>
      </c>
      <c r="H218" s="22"/>
      <c r="I218" s="22"/>
    </row>
    <row r="219" spans="1:9" s="128" customFormat="1" ht="42.75" hidden="1">
      <c r="A219" s="236" t="s">
        <v>469</v>
      </c>
      <c r="B219" s="224"/>
      <c r="C219" s="225" t="s">
        <v>128</v>
      </c>
      <c r="D219" s="225" t="s">
        <v>427</v>
      </c>
      <c r="E219" s="225" t="s">
        <v>277</v>
      </c>
      <c r="F219" s="279"/>
      <c r="G219" s="205">
        <f>SUM(G220)</f>
        <v>0</v>
      </c>
      <c r="H219" s="22">
        <v>167.7</v>
      </c>
      <c r="I219" s="22" t="e">
        <f aca="true" t="shared" si="6" ref="I219:I226">SUM(H219/G225*100)</f>
        <v>#DIV/0!</v>
      </c>
    </row>
    <row r="220" spans="1:9" s="128" customFormat="1" ht="15" hidden="1">
      <c r="A220" s="183" t="s">
        <v>7</v>
      </c>
      <c r="B220" s="224"/>
      <c r="C220" s="225" t="s">
        <v>128</v>
      </c>
      <c r="D220" s="225" t="s">
        <v>427</v>
      </c>
      <c r="E220" s="225" t="s">
        <v>277</v>
      </c>
      <c r="F220" s="279" t="s">
        <v>8</v>
      </c>
      <c r="G220" s="205"/>
      <c r="H220" s="22">
        <f>SUM(H221)</f>
        <v>110.4</v>
      </c>
      <c r="I220" s="22" t="e">
        <f t="shared" si="6"/>
        <v>#DIV/0!</v>
      </c>
    </row>
    <row r="221" spans="1:9" s="128" customFormat="1" ht="15" hidden="1">
      <c r="A221" s="236" t="s">
        <v>48</v>
      </c>
      <c r="B221" s="224"/>
      <c r="C221" s="225" t="s">
        <v>128</v>
      </c>
      <c r="D221" s="225" t="s">
        <v>427</v>
      </c>
      <c r="E221" s="225" t="s">
        <v>49</v>
      </c>
      <c r="F221" s="279" t="s">
        <v>101</v>
      </c>
      <c r="G221" s="197"/>
      <c r="H221" s="22">
        <v>110.4</v>
      </c>
      <c r="I221" s="22" t="e">
        <f t="shared" si="6"/>
        <v>#DIV/0!</v>
      </c>
    </row>
    <row r="222" spans="1:9" ht="15" hidden="1">
      <c r="A222" s="236" t="s">
        <v>131</v>
      </c>
      <c r="B222" s="224"/>
      <c r="C222" s="225" t="s">
        <v>128</v>
      </c>
      <c r="D222" s="225" t="s">
        <v>427</v>
      </c>
      <c r="E222" s="225" t="s">
        <v>126</v>
      </c>
      <c r="F222" s="279" t="s">
        <v>132</v>
      </c>
      <c r="G222" s="197">
        <f>SUM(G223)</f>
        <v>0</v>
      </c>
      <c r="H222" s="22" t="e">
        <f>SUM(H229+#REF!)+H223+#REF!+H226</f>
        <v>#REF!</v>
      </c>
      <c r="I222" s="22" t="e">
        <f t="shared" si="6"/>
        <v>#REF!</v>
      </c>
    </row>
    <row r="223" spans="1:9" ht="28.5" hidden="1">
      <c r="A223" s="183" t="s">
        <v>50</v>
      </c>
      <c r="B223" s="224"/>
      <c r="C223" s="225" t="s">
        <v>128</v>
      </c>
      <c r="D223" s="225" t="s">
        <v>427</v>
      </c>
      <c r="E223" s="225" t="s">
        <v>51</v>
      </c>
      <c r="F223" s="279" t="s">
        <v>132</v>
      </c>
      <c r="G223" s="197">
        <f>SUM(G225)</f>
        <v>0</v>
      </c>
      <c r="H223" s="22">
        <f>SUM(H224)</f>
        <v>0</v>
      </c>
      <c r="I223" s="22">
        <f t="shared" si="6"/>
        <v>0</v>
      </c>
    </row>
    <row r="224" spans="1:9" ht="28.5" hidden="1">
      <c r="A224" s="183" t="s">
        <v>66</v>
      </c>
      <c r="B224" s="224"/>
      <c r="C224" s="225"/>
      <c r="D224" s="225"/>
      <c r="E224" s="225"/>
      <c r="F224" s="279"/>
      <c r="G224" s="197"/>
      <c r="H224" s="22">
        <f>SUM(H225)</f>
        <v>0</v>
      </c>
      <c r="I224" s="22">
        <f t="shared" si="6"/>
        <v>0</v>
      </c>
    </row>
    <row r="225" spans="1:9" ht="28.5" hidden="1">
      <c r="A225" s="187" t="s">
        <v>418</v>
      </c>
      <c r="B225" s="224"/>
      <c r="C225" s="225" t="s">
        <v>128</v>
      </c>
      <c r="D225" s="225" t="s">
        <v>427</v>
      </c>
      <c r="E225" s="225" t="s">
        <v>52</v>
      </c>
      <c r="F225" s="279" t="s">
        <v>132</v>
      </c>
      <c r="G225" s="197"/>
      <c r="H225" s="22"/>
      <c r="I225" s="22">
        <f t="shared" si="6"/>
        <v>0</v>
      </c>
    </row>
    <row r="226" spans="1:9" ht="28.5" hidden="1">
      <c r="A226" s="223" t="s">
        <v>53</v>
      </c>
      <c r="B226" s="224"/>
      <c r="C226" s="225" t="s">
        <v>128</v>
      </c>
      <c r="D226" s="225" t="s">
        <v>427</v>
      </c>
      <c r="E226" s="225" t="s">
        <v>54</v>
      </c>
      <c r="F226" s="279"/>
      <c r="G226" s="197">
        <f>SUM(G227)</f>
        <v>0</v>
      </c>
      <c r="H226" s="22">
        <f>SUM(H227)</f>
        <v>9483.6</v>
      </c>
      <c r="I226" s="22">
        <f t="shared" si="6"/>
        <v>9483.6</v>
      </c>
    </row>
    <row r="227" spans="1:9" ht="15" hidden="1">
      <c r="A227" s="236" t="s">
        <v>131</v>
      </c>
      <c r="B227" s="224"/>
      <c r="C227" s="225" t="s">
        <v>128</v>
      </c>
      <c r="D227" s="225" t="s">
        <v>427</v>
      </c>
      <c r="E227" s="225" t="s">
        <v>54</v>
      </c>
      <c r="F227" s="279" t="s">
        <v>132</v>
      </c>
      <c r="G227" s="197"/>
      <c r="H227" s="22">
        <f>SUM(H228)</f>
        <v>9483.6</v>
      </c>
      <c r="I227" s="22" t="e">
        <f>SUM(H227/#REF!*100)</f>
        <v>#REF!</v>
      </c>
    </row>
    <row r="228" spans="1:9" ht="15">
      <c r="A228" s="183" t="s">
        <v>55</v>
      </c>
      <c r="B228" s="257"/>
      <c r="C228" s="256" t="s">
        <v>128</v>
      </c>
      <c r="D228" s="256" t="s">
        <v>429</v>
      </c>
      <c r="E228" s="256"/>
      <c r="F228" s="285"/>
      <c r="G228" s="207">
        <f>G229</f>
        <v>4688.4</v>
      </c>
      <c r="H228" s="22">
        <v>9483.6</v>
      </c>
      <c r="I228" s="22">
        <f>SUM(H228/G233*100)</f>
        <v>15.733233793704118</v>
      </c>
    </row>
    <row r="229" spans="1:9" ht="15">
      <c r="A229" s="183" t="s">
        <v>274</v>
      </c>
      <c r="B229" s="257"/>
      <c r="C229" s="256" t="s">
        <v>128</v>
      </c>
      <c r="D229" s="256" t="s">
        <v>429</v>
      </c>
      <c r="E229" s="256" t="s">
        <v>528</v>
      </c>
      <c r="F229" s="285"/>
      <c r="G229" s="207">
        <f>G230</f>
        <v>4688.4</v>
      </c>
      <c r="H229" s="22" t="e">
        <f>SUM(H230+H232+H233)</f>
        <v>#REF!</v>
      </c>
      <c r="I229" s="22" t="e">
        <f>SUM(H229/#REF!*100)</f>
        <v>#REF!</v>
      </c>
    </row>
    <row r="230" spans="1:9" ht="15">
      <c r="A230" s="183" t="s">
        <v>41</v>
      </c>
      <c r="B230" s="257"/>
      <c r="C230" s="256" t="s">
        <v>128</v>
      </c>
      <c r="D230" s="256" t="s">
        <v>429</v>
      </c>
      <c r="E230" s="256" t="s">
        <v>529</v>
      </c>
      <c r="F230" s="285"/>
      <c r="G230" s="207">
        <f>SUM(G231)+G232</f>
        <v>4688.4</v>
      </c>
      <c r="H230" s="22">
        <f>SUM(H231)</f>
        <v>0</v>
      </c>
      <c r="I230" s="22" t="e">
        <f>SUM(H230/#REF!*100)</f>
        <v>#REF!</v>
      </c>
    </row>
    <row r="231" spans="1:9" ht="15">
      <c r="A231" s="183" t="s">
        <v>475</v>
      </c>
      <c r="B231" s="257"/>
      <c r="C231" s="256" t="s">
        <v>128</v>
      </c>
      <c r="D231" s="256" t="s">
        <v>429</v>
      </c>
      <c r="E231" s="256" t="s">
        <v>529</v>
      </c>
      <c r="F231" s="285" t="s">
        <v>117</v>
      </c>
      <c r="G231" s="207">
        <v>4588.4</v>
      </c>
      <c r="H231" s="22"/>
      <c r="I231" s="22" t="e">
        <f>SUM(H231/#REF!*100)</f>
        <v>#REF!</v>
      </c>
    </row>
    <row r="232" spans="1:9" ht="33.75" customHeight="1">
      <c r="A232" s="183" t="s">
        <v>534</v>
      </c>
      <c r="B232" s="257"/>
      <c r="C232" s="256" t="s">
        <v>128</v>
      </c>
      <c r="D232" s="256" t="s">
        <v>429</v>
      </c>
      <c r="E232" s="256" t="s">
        <v>529</v>
      </c>
      <c r="F232" s="285" t="s">
        <v>535</v>
      </c>
      <c r="G232" s="207">
        <v>100</v>
      </c>
      <c r="H232" s="22" t="e">
        <f>SUM(#REF!)</f>
        <v>#REF!</v>
      </c>
      <c r="I232" s="22" t="e">
        <f>SUM(H232/#REF!*100)</f>
        <v>#REF!</v>
      </c>
    </row>
    <row r="233" spans="1:9" ht="15">
      <c r="A233" s="183" t="s">
        <v>43</v>
      </c>
      <c r="B233" s="257"/>
      <c r="C233" s="256" t="s">
        <v>128</v>
      </c>
      <c r="D233" s="256" t="s">
        <v>103</v>
      </c>
      <c r="E233" s="256"/>
      <c r="F233" s="285"/>
      <c r="G233" s="207">
        <f>G234</f>
        <v>60277.5</v>
      </c>
      <c r="H233" s="22" t="e">
        <f>SUM(#REF!)</f>
        <v>#REF!</v>
      </c>
      <c r="I233" s="22" t="e">
        <f>SUM(H233/G234*100)</f>
        <v>#REF!</v>
      </c>
    </row>
    <row r="234" spans="1:9" s="141" customFormat="1" ht="15">
      <c r="A234" s="183" t="s">
        <v>43</v>
      </c>
      <c r="B234" s="232"/>
      <c r="C234" s="256" t="s">
        <v>128</v>
      </c>
      <c r="D234" s="256" t="s">
        <v>103</v>
      </c>
      <c r="E234" s="228" t="s">
        <v>71</v>
      </c>
      <c r="F234" s="280"/>
      <c r="G234" s="207">
        <f>G235+G239+G243</f>
        <v>60277.5</v>
      </c>
      <c r="H234" s="22" t="e">
        <f>SUM(H237+#REF!)+H235</f>
        <v>#REF!</v>
      </c>
      <c r="I234" s="22" t="e">
        <f>SUM(H234/G240*100)</f>
        <v>#REF!</v>
      </c>
    </row>
    <row r="235" spans="1:9" s="142" customFormat="1" ht="15.75">
      <c r="A235" s="234" t="s">
        <v>72</v>
      </c>
      <c r="B235" s="232"/>
      <c r="C235" s="256" t="s">
        <v>128</v>
      </c>
      <c r="D235" s="256" t="s">
        <v>103</v>
      </c>
      <c r="E235" s="228" t="s">
        <v>73</v>
      </c>
      <c r="F235" s="280"/>
      <c r="G235" s="207">
        <f>SUM(G236)</f>
        <v>35934.1</v>
      </c>
      <c r="H235" s="22">
        <f>SUM(H236)</f>
        <v>0</v>
      </c>
      <c r="I235" s="22" t="e">
        <f>SUM(H235/G241*100)</f>
        <v>#DIV/0!</v>
      </c>
    </row>
    <row r="236" spans="1:9" s="142" customFormat="1" ht="15.75">
      <c r="A236" s="183" t="s">
        <v>475</v>
      </c>
      <c r="B236" s="232"/>
      <c r="C236" s="256" t="s">
        <v>128</v>
      </c>
      <c r="D236" s="256" t="s">
        <v>103</v>
      </c>
      <c r="E236" s="228" t="s">
        <v>73</v>
      </c>
      <c r="F236" s="280" t="s">
        <v>117</v>
      </c>
      <c r="G236" s="207">
        <f>41934.1-6000</f>
        <v>35934.1</v>
      </c>
      <c r="H236" s="22"/>
      <c r="I236" s="22" t="e">
        <f>SUM(H236/G242*100)</f>
        <v>#DIV/0!</v>
      </c>
    </row>
    <row r="237" spans="1:9" s="142" customFormat="1" ht="15.75" hidden="1">
      <c r="A237" s="183" t="s">
        <v>490</v>
      </c>
      <c r="B237" s="232"/>
      <c r="C237" s="256" t="s">
        <v>128</v>
      </c>
      <c r="D237" s="256" t="s">
        <v>103</v>
      </c>
      <c r="E237" s="228" t="s">
        <v>73</v>
      </c>
      <c r="F237" s="280" t="s">
        <v>491</v>
      </c>
      <c r="G237" s="207"/>
      <c r="H237" s="22" t="e">
        <f>SUM(H238+H245+H250+H253)+H248</f>
        <v>#REF!</v>
      </c>
      <c r="I237" s="22" t="e">
        <f>SUM(H237/G245*100)</f>
        <v>#REF!</v>
      </c>
    </row>
    <row r="238" spans="1:9" s="142" customFormat="1" ht="28.5" hidden="1">
      <c r="A238" s="183" t="s">
        <v>492</v>
      </c>
      <c r="B238" s="232"/>
      <c r="C238" s="256" t="s">
        <v>128</v>
      </c>
      <c r="D238" s="256" t="s">
        <v>103</v>
      </c>
      <c r="E238" s="228" t="s">
        <v>73</v>
      </c>
      <c r="F238" s="280" t="s">
        <v>493</v>
      </c>
      <c r="G238" s="207"/>
      <c r="H238" s="22">
        <f>SUM(H240:H241)</f>
        <v>20816.7</v>
      </c>
      <c r="I238" s="22">
        <f>SUM(H238/G246*100)</f>
        <v>94.06254659816454</v>
      </c>
    </row>
    <row r="239" spans="1:9" s="142" customFormat="1" ht="28.5">
      <c r="A239" s="183" t="s">
        <v>570</v>
      </c>
      <c r="B239" s="232"/>
      <c r="C239" s="256" t="s">
        <v>128</v>
      </c>
      <c r="D239" s="256" t="s">
        <v>103</v>
      </c>
      <c r="E239" s="228" t="s">
        <v>40</v>
      </c>
      <c r="F239" s="280"/>
      <c r="G239" s="207">
        <f>G240</f>
        <v>24145</v>
      </c>
      <c r="H239" s="22"/>
      <c r="I239" s="22"/>
    </row>
    <row r="240" spans="1:9" s="142" customFormat="1" ht="15.75">
      <c r="A240" s="183" t="s">
        <v>475</v>
      </c>
      <c r="B240" s="232"/>
      <c r="C240" s="256" t="s">
        <v>128</v>
      </c>
      <c r="D240" s="256" t="s">
        <v>103</v>
      </c>
      <c r="E240" s="228" t="s">
        <v>40</v>
      </c>
      <c r="F240" s="280" t="s">
        <v>117</v>
      </c>
      <c r="G240" s="207">
        <f>21145+3000</f>
        <v>24145</v>
      </c>
      <c r="H240" s="22">
        <v>20816.7</v>
      </c>
      <c r="I240" s="22" t="e">
        <f>SUM(H240/G248*100)</f>
        <v>#DIV/0!</v>
      </c>
    </row>
    <row r="241" spans="1:9" s="142" customFormat="1" ht="15.75" hidden="1">
      <c r="A241" s="183" t="s">
        <v>490</v>
      </c>
      <c r="B241" s="232"/>
      <c r="C241" s="256" t="s">
        <v>128</v>
      </c>
      <c r="D241" s="256" t="s">
        <v>103</v>
      </c>
      <c r="E241" s="228" t="s">
        <v>40</v>
      </c>
      <c r="F241" s="280" t="s">
        <v>491</v>
      </c>
      <c r="G241" s="207"/>
      <c r="H241" s="22">
        <f>SUM(H242)</f>
        <v>0</v>
      </c>
      <c r="I241" s="22" t="e">
        <f>SUM(H241/G249*100)</f>
        <v>#DIV/0!</v>
      </c>
    </row>
    <row r="242" spans="1:9" s="142" customFormat="1" ht="28.5" hidden="1">
      <c r="A242" s="183" t="s">
        <v>492</v>
      </c>
      <c r="B242" s="232"/>
      <c r="C242" s="256" t="s">
        <v>128</v>
      </c>
      <c r="D242" s="256" t="s">
        <v>103</v>
      </c>
      <c r="E242" s="228" t="s">
        <v>40</v>
      </c>
      <c r="F242" s="280" t="s">
        <v>493</v>
      </c>
      <c r="G242" s="207"/>
      <c r="H242" s="22"/>
      <c r="I242" s="22" t="e">
        <f>SUM(H242/G250*100)</f>
        <v>#DIV/0!</v>
      </c>
    </row>
    <row r="243" spans="1:9" s="142" customFormat="1" ht="42.75">
      <c r="A243" s="151" t="s">
        <v>568</v>
      </c>
      <c r="B243" s="259"/>
      <c r="C243" s="260" t="s">
        <v>128</v>
      </c>
      <c r="D243" s="260" t="s">
        <v>103</v>
      </c>
      <c r="E243" s="235" t="s">
        <v>569</v>
      </c>
      <c r="F243" s="286"/>
      <c r="G243" s="208">
        <f>SUM(G244)</f>
        <v>198.4</v>
      </c>
      <c r="H243" s="22"/>
      <c r="I243" s="22"/>
    </row>
    <row r="244" spans="1:9" s="142" customFormat="1" ht="15.75">
      <c r="A244" s="183" t="s">
        <v>475</v>
      </c>
      <c r="B244" s="232"/>
      <c r="C244" s="256" t="s">
        <v>128</v>
      </c>
      <c r="D244" s="256" t="s">
        <v>103</v>
      </c>
      <c r="E244" s="235" t="s">
        <v>569</v>
      </c>
      <c r="F244" s="280" t="s">
        <v>117</v>
      </c>
      <c r="G244" s="207">
        <v>198.4</v>
      </c>
      <c r="H244" s="22"/>
      <c r="I244" s="22"/>
    </row>
    <row r="245" spans="1:9" s="142" customFormat="1" ht="15.75">
      <c r="A245" s="183" t="s">
        <v>64</v>
      </c>
      <c r="B245" s="232"/>
      <c r="C245" s="256" t="s">
        <v>128</v>
      </c>
      <c r="D245" s="256" t="s">
        <v>128</v>
      </c>
      <c r="E245" s="228"/>
      <c r="F245" s="280"/>
      <c r="G245" s="207">
        <f>G246</f>
        <v>22130.7</v>
      </c>
      <c r="H245" s="22">
        <f>SUM(H247)</f>
        <v>43097.5</v>
      </c>
      <c r="I245" s="22">
        <f>SUM(H245/G251*100)</f>
        <v>251.58049583496296</v>
      </c>
    </row>
    <row r="246" spans="1:9" s="128" customFormat="1" ht="15">
      <c r="A246" s="183" t="s">
        <v>524</v>
      </c>
      <c r="B246" s="232"/>
      <c r="C246" s="256" t="s">
        <v>128</v>
      </c>
      <c r="D246" s="256" t="s">
        <v>128</v>
      </c>
      <c r="E246" s="228" t="s">
        <v>126</v>
      </c>
      <c r="F246" s="280"/>
      <c r="G246" s="207">
        <f>G247+G249+G251+G253</f>
        <v>22130.7</v>
      </c>
      <c r="H246" s="22"/>
      <c r="I246" s="22"/>
    </row>
    <row r="247" spans="1:9" s="142" customFormat="1" ht="28.5">
      <c r="A247" s="234" t="s">
        <v>530</v>
      </c>
      <c r="B247" s="232"/>
      <c r="C247" s="256" t="s">
        <v>128</v>
      </c>
      <c r="D247" s="256" t="s">
        <v>128</v>
      </c>
      <c r="E247" s="228" t="s">
        <v>13</v>
      </c>
      <c r="F247" s="280"/>
      <c r="G247" s="207">
        <f>G248</f>
        <v>0</v>
      </c>
      <c r="H247" s="22">
        <v>43097.5</v>
      </c>
      <c r="I247" s="22">
        <f>SUM(H247/G253*100)</f>
        <v>861.95</v>
      </c>
    </row>
    <row r="248" spans="1:9" ht="28.5">
      <c r="A248" s="183" t="s">
        <v>496</v>
      </c>
      <c r="B248" s="232"/>
      <c r="C248" s="256" t="s">
        <v>128</v>
      </c>
      <c r="D248" s="256" t="s">
        <v>128</v>
      </c>
      <c r="E248" s="228" t="s">
        <v>13</v>
      </c>
      <c r="F248" s="280" t="s">
        <v>487</v>
      </c>
      <c r="G248" s="207"/>
      <c r="H248" s="22">
        <f>SUM(H249)</f>
        <v>482.9</v>
      </c>
      <c r="I248" s="22">
        <f>SUM(H248/G254*100)</f>
        <v>9.658</v>
      </c>
    </row>
    <row r="249" spans="1:9" ht="28.5">
      <c r="A249" s="234" t="s">
        <v>531</v>
      </c>
      <c r="B249" s="232"/>
      <c r="C249" s="256" t="s">
        <v>532</v>
      </c>
      <c r="D249" s="256" t="s">
        <v>128</v>
      </c>
      <c r="E249" s="228" t="s">
        <v>14</v>
      </c>
      <c r="F249" s="280"/>
      <c r="G249" s="207">
        <f>G250</f>
        <v>0</v>
      </c>
      <c r="H249" s="22">
        <v>482.9</v>
      </c>
      <c r="I249" s="22" t="e">
        <f>SUM(H249/#REF!*100)</f>
        <v>#REF!</v>
      </c>
    </row>
    <row r="250" spans="1:9" ht="28.5">
      <c r="A250" s="183" t="s">
        <v>534</v>
      </c>
      <c r="B250" s="232"/>
      <c r="C250" s="256" t="s">
        <v>532</v>
      </c>
      <c r="D250" s="256" t="s">
        <v>128</v>
      </c>
      <c r="E250" s="228" t="s">
        <v>14</v>
      </c>
      <c r="F250" s="280" t="s">
        <v>535</v>
      </c>
      <c r="G250" s="207"/>
      <c r="H250" s="22">
        <f>SUM(H252)</f>
        <v>489.8</v>
      </c>
      <c r="I250" s="22" t="e">
        <f>SUM(H250/#REF!*100)</f>
        <v>#REF!</v>
      </c>
    </row>
    <row r="251" spans="1:9" ht="42.75">
      <c r="A251" s="183" t="s">
        <v>533</v>
      </c>
      <c r="B251" s="232"/>
      <c r="C251" s="256" t="s">
        <v>128</v>
      </c>
      <c r="D251" s="256" t="s">
        <v>128</v>
      </c>
      <c r="E251" s="228" t="s">
        <v>42</v>
      </c>
      <c r="F251" s="280"/>
      <c r="G251" s="207">
        <f>G252</f>
        <v>17130.7</v>
      </c>
      <c r="H251" s="22"/>
      <c r="I251" s="22"/>
    </row>
    <row r="252" spans="1:9" s="141" customFormat="1" ht="28.5">
      <c r="A252" s="183" t="s">
        <v>534</v>
      </c>
      <c r="B252" s="232"/>
      <c r="C252" s="256" t="s">
        <v>128</v>
      </c>
      <c r="D252" s="256" t="s">
        <v>128</v>
      </c>
      <c r="E252" s="228" t="s">
        <v>42</v>
      </c>
      <c r="F252" s="280" t="s">
        <v>535</v>
      </c>
      <c r="G252" s="207">
        <v>17130.7</v>
      </c>
      <c r="H252" s="22">
        <v>489.8</v>
      </c>
      <c r="I252" s="22" t="e">
        <f>SUM(H252/#REF!*100)</f>
        <v>#REF!</v>
      </c>
    </row>
    <row r="253" spans="1:9" s="141" customFormat="1" ht="28.5">
      <c r="A253" s="234" t="s">
        <v>525</v>
      </c>
      <c r="B253" s="232"/>
      <c r="C253" s="256" t="s">
        <v>128</v>
      </c>
      <c r="D253" s="256" t="s">
        <v>128</v>
      </c>
      <c r="E253" s="228" t="s">
        <v>54</v>
      </c>
      <c r="F253" s="280"/>
      <c r="G253" s="207">
        <f>G254</f>
        <v>5000</v>
      </c>
      <c r="H253" s="22" t="e">
        <f>SUM(#REF!)</f>
        <v>#REF!</v>
      </c>
      <c r="I253" s="22" t="e">
        <f>SUM(H253/#REF!*100)</f>
        <v>#REF!</v>
      </c>
    </row>
    <row r="254" spans="1:9" s="141" customFormat="1" ht="27.75" customHeight="1">
      <c r="A254" s="183" t="s">
        <v>534</v>
      </c>
      <c r="B254" s="232"/>
      <c r="C254" s="256" t="s">
        <v>128</v>
      </c>
      <c r="D254" s="256" t="s">
        <v>128</v>
      </c>
      <c r="E254" s="228" t="s">
        <v>54</v>
      </c>
      <c r="F254" s="280" t="s">
        <v>535</v>
      </c>
      <c r="G254" s="207">
        <v>5000</v>
      </c>
      <c r="H254" s="22"/>
      <c r="I254" s="22"/>
    </row>
    <row r="255" spans="1:9" ht="15" hidden="1">
      <c r="A255" s="236" t="s">
        <v>131</v>
      </c>
      <c r="B255" s="224"/>
      <c r="C255" s="228" t="s">
        <v>128</v>
      </c>
      <c r="D255" s="228" t="s">
        <v>128</v>
      </c>
      <c r="E255" s="225" t="s">
        <v>54</v>
      </c>
      <c r="F255" s="280" t="s">
        <v>132</v>
      </c>
      <c r="G255" s="197"/>
      <c r="H255" s="22" t="e">
        <f>SUM(H256+H260)</f>
        <v>#REF!</v>
      </c>
      <c r="I255" s="22" t="e">
        <f>SUM(H255/G262*100)</f>
        <v>#REF!</v>
      </c>
    </row>
    <row r="256" spans="1:9" ht="15">
      <c r="A256" s="223" t="s">
        <v>67</v>
      </c>
      <c r="B256" s="224"/>
      <c r="C256" s="225" t="s">
        <v>359</v>
      </c>
      <c r="D256" s="225"/>
      <c r="E256" s="225"/>
      <c r="F256" s="279"/>
      <c r="G256" s="197">
        <f>SUM(G258)+G263</f>
        <v>5897</v>
      </c>
      <c r="H256" s="22">
        <f>SUM(H258)</f>
        <v>0</v>
      </c>
      <c r="I256" s="22">
        <f>SUM(H256/G263*100)</f>
        <v>0</v>
      </c>
    </row>
    <row r="257" spans="1:9" ht="15">
      <c r="A257" s="300" t="s">
        <v>598</v>
      </c>
      <c r="B257" s="224"/>
      <c r="C257" s="256" t="s">
        <v>359</v>
      </c>
      <c r="D257" s="256" t="s">
        <v>103</v>
      </c>
      <c r="E257" s="225"/>
      <c r="F257" s="279"/>
      <c r="G257" s="197">
        <f>SUM(G258)</f>
        <v>5352</v>
      </c>
      <c r="H257" s="22"/>
      <c r="I257" s="22"/>
    </row>
    <row r="258" spans="1:9" ht="15">
      <c r="A258" s="183" t="s">
        <v>68</v>
      </c>
      <c r="B258" s="257"/>
      <c r="C258" s="256" t="s">
        <v>359</v>
      </c>
      <c r="D258" s="256" t="s">
        <v>103</v>
      </c>
      <c r="E258" s="256" t="s">
        <v>536</v>
      </c>
      <c r="F258" s="285"/>
      <c r="G258" s="207">
        <f>SUM(G259)</f>
        <v>5352</v>
      </c>
      <c r="H258" s="22">
        <f>SUM(H259)</f>
        <v>0</v>
      </c>
      <c r="I258" s="22">
        <f>SUM(H258/G264*100)</f>
        <v>0</v>
      </c>
    </row>
    <row r="259" spans="1:9" ht="28.5">
      <c r="A259" s="183" t="s">
        <v>56</v>
      </c>
      <c r="B259" s="257"/>
      <c r="C259" s="256" t="s">
        <v>359</v>
      </c>
      <c r="D259" s="256" t="s">
        <v>103</v>
      </c>
      <c r="E259" s="256" t="s">
        <v>537</v>
      </c>
      <c r="F259" s="285"/>
      <c r="G259" s="207">
        <f>SUM(G260:G262)</f>
        <v>5352</v>
      </c>
      <c r="H259" s="22"/>
      <c r="I259" s="22">
        <f>SUM(H259/G265*100)</f>
        <v>0</v>
      </c>
    </row>
    <row r="260" spans="1:9" ht="28.5">
      <c r="A260" s="183" t="s">
        <v>470</v>
      </c>
      <c r="B260" s="257"/>
      <c r="C260" s="256" t="s">
        <v>359</v>
      </c>
      <c r="D260" s="256" t="s">
        <v>103</v>
      </c>
      <c r="E260" s="256" t="s">
        <v>537</v>
      </c>
      <c r="F260" s="285" t="s">
        <v>471</v>
      </c>
      <c r="G260" s="207">
        <v>4448.9</v>
      </c>
      <c r="H260" s="22" t="e">
        <f>SUM(H264+#REF!)</f>
        <v>#REF!</v>
      </c>
      <c r="I260" s="22" t="e">
        <f>SUM(H260/G266*100)</f>
        <v>#REF!</v>
      </c>
    </row>
    <row r="261" spans="1:9" ht="15">
      <c r="A261" s="183" t="s">
        <v>475</v>
      </c>
      <c r="B261" s="257"/>
      <c r="C261" s="256" t="s">
        <v>359</v>
      </c>
      <c r="D261" s="256" t="s">
        <v>103</v>
      </c>
      <c r="E261" s="256" t="s">
        <v>537</v>
      </c>
      <c r="F261" s="285" t="s">
        <v>117</v>
      </c>
      <c r="G261" s="207">
        <v>833.5</v>
      </c>
      <c r="H261" s="22"/>
      <c r="I261" s="22" t="e">
        <f>SUM(H261/#REF!*100)</f>
        <v>#REF!</v>
      </c>
    </row>
    <row r="262" spans="1:9" ht="15">
      <c r="A262" s="183" t="s">
        <v>476</v>
      </c>
      <c r="B262" s="257"/>
      <c r="C262" s="256" t="s">
        <v>359</v>
      </c>
      <c r="D262" s="256" t="s">
        <v>103</v>
      </c>
      <c r="E262" s="256" t="s">
        <v>537</v>
      </c>
      <c r="F262" s="285" t="s">
        <v>166</v>
      </c>
      <c r="G262" s="207">
        <v>69.6</v>
      </c>
      <c r="H262" s="143"/>
      <c r="I262" s="22" t="e">
        <f>SUM(H262/#REF!*100)</f>
        <v>#REF!</v>
      </c>
    </row>
    <row r="263" spans="1:9" ht="15">
      <c r="A263" s="183" t="s">
        <v>69</v>
      </c>
      <c r="B263" s="257"/>
      <c r="C263" s="256" t="s">
        <v>359</v>
      </c>
      <c r="D263" s="256" t="s">
        <v>128</v>
      </c>
      <c r="E263" s="263"/>
      <c r="F263" s="285"/>
      <c r="G263" s="207">
        <f>G265</f>
        <v>545</v>
      </c>
      <c r="H263" s="22"/>
      <c r="I263" s="22" t="e">
        <f>SUM(H263/#REF!*100)</f>
        <v>#REF!</v>
      </c>
    </row>
    <row r="264" spans="1:9" ht="15">
      <c r="A264" s="183" t="s">
        <v>524</v>
      </c>
      <c r="B264" s="257"/>
      <c r="C264" s="256" t="s">
        <v>359</v>
      </c>
      <c r="D264" s="256" t="s">
        <v>128</v>
      </c>
      <c r="E264" s="228" t="s">
        <v>126</v>
      </c>
      <c r="F264" s="285"/>
      <c r="G264" s="207">
        <f>SUM(G265)</f>
        <v>545</v>
      </c>
      <c r="H264" s="22">
        <f>SUM(H265:H266)</f>
        <v>0</v>
      </c>
      <c r="I264" s="22" t="e">
        <f>SUM(H264/#REF!*100)</f>
        <v>#REF!</v>
      </c>
    </row>
    <row r="265" spans="1:9" ht="15">
      <c r="A265" s="183" t="s">
        <v>602</v>
      </c>
      <c r="B265" s="261"/>
      <c r="C265" s="256" t="s">
        <v>359</v>
      </c>
      <c r="D265" s="256" t="s">
        <v>128</v>
      </c>
      <c r="E265" s="256" t="s">
        <v>70</v>
      </c>
      <c r="F265" s="285"/>
      <c r="G265" s="207">
        <f>G266</f>
        <v>545</v>
      </c>
      <c r="H265" s="22"/>
      <c r="I265" s="22" t="e">
        <f>SUM(H265/#REF!*100)</f>
        <v>#REF!</v>
      </c>
    </row>
    <row r="266" spans="1:9" ht="15">
      <c r="A266" s="183" t="s">
        <v>475</v>
      </c>
      <c r="B266" s="257"/>
      <c r="C266" s="256" t="s">
        <v>359</v>
      </c>
      <c r="D266" s="256" t="s">
        <v>128</v>
      </c>
      <c r="E266" s="256" t="s">
        <v>70</v>
      </c>
      <c r="F266" s="285" t="s">
        <v>117</v>
      </c>
      <c r="G266" s="207">
        <v>545</v>
      </c>
      <c r="H266" s="22"/>
      <c r="I266" s="22"/>
    </row>
    <row r="267" spans="1:9" ht="15">
      <c r="A267" s="183" t="s">
        <v>113</v>
      </c>
      <c r="B267" s="257"/>
      <c r="C267" s="256" t="s">
        <v>114</v>
      </c>
      <c r="D267" s="256"/>
      <c r="E267" s="256"/>
      <c r="F267" s="285"/>
      <c r="G267" s="207">
        <f>G268</f>
        <v>0</v>
      </c>
      <c r="H267" s="22">
        <f>SUM(H268)</f>
        <v>0</v>
      </c>
      <c r="I267" s="22" t="e">
        <f>SUM(H267/#REF!*100)</f>
        <v>#REF!</v>
      </c>
    </row>
    <row r="268" spans="1:9" ht="15">
      <c r="A268" s="183" t="s">
        <v>214</v>
      </c>
      <c r="B268" s="257"/>
      <c r="C268" s="256" t="s">
        <v>114</v>
      </c>
      <c r="D268" s="256" t="s">
        <v>279</v>
      </c>
      <c r="E268" s="256"/>
      <c r="F268" s="285"/>
      <c r="G268" s="207">
        <f>G270</f>
        <v>0</v>
      </c>
      <c r="H268" s="22"/>
      <c r="I268" s="22" t="e">
        <f>SUM(H268/#REF!*100)</f>
        <v>#REF!</v>
      </c>
    </row>
    <row r="269" spans="1:9" ht="15">
      <c r="A269" s="183" t="s">
        <v>524</v>
      </c>
      <c r="B269" s="257"/>
      <c r="C269" s="256" t="s">
        <v>114</v>
      </c>
      <c r="D269" s="256" t="s">
        <v>279</v>
      </c>
      <c r="E269" s="228" t="s">
        <v>126</v>
      </c>
      <c r="F269" s="285"/>
      <c r="G269" s="207">
        <f>SUM(G270)</f>
        <v>0</v>
      </c>
      <c r="H269" s="22"/>
      <c r="I269" s="22"/>
    </row>
    <row r="270" spans="1:9" ht="28.5">
      <c r="A270" s="234" t="s">
        <v>525</v>
      </c>
      <c r="B270" s="257"/>
      <c r="C270" s="256" t="s">
        <v>114</v>
      </c>
      <c r="D270" s="256" t="s">
        <v>279</v>
      </c>
      <c r="E270" s="256" t="s">
        <v>54</v>
      </c>
      <c r="F270" s="285"/>
      <c r="G270" s="207">
        <f>G271</f>
        <v>0</v>
      </c>
      <c r="H270" s="22"/>
      <c r="I270" s="22"/>
    </row>
    <row r="271" spans="1:9" s="128" customFormat="1" ht="28.5">
      <c r="A271" s="183" t="s">
        <v>540</v>
      </c>
      <c r="B271" s="257"/>
      <c r="C271" s="256" t="s">
        <v>114</v>
      </c>
      <c r="D271" s="256" t="s">
        <v>279</v>
      </c>
      <c r="E271" s="256" t="s">
        <v>538</v>
      </c>
      <c r="F271" s="285" t="s">
        <v>535</v>
      </c>
      <c r="G271" s="207"/>
      <c r="H271" s="22" t="e">
        <v>#REF!</v>
      </c>
      <c r="I271" s="22" t="e">
        <v>#REF!</v>
      </c>
    </row>
    <row r="272" spans="1:9" ht="15">
      <c r="A272" s="223" t="s">
        <v>173</v>
      </c>
      <c r="B272" s="224"/>
      <c r="C272" s="225" t="s">
        <v>5</v>
      </c>
      <c r="D272" s="225"/>
      <c r="E272" s="225"/>
      <c r="F272" s="279"/>
      <c r="G272" s="197">
        <f>SUM(G280)+G273</f>
        <v>32735.5</v>
      </c>
      <c r="H272" s="22" t="e">
        <f>SUM(#REF!)</f>
        <v>#REF!</v>
      </c>
      <c r="I272" s="22" t="e">
        <f>SUM(H272/#REF!*100)</f>
        <v>#REF!</v>
      </c>
    </row>
    <row r="273" spans="1:9" ht="15">
      <c r="A273" s="223" t="s">
        <v>25</v>
      </c>
      <c r="B273" s="224"/>
      <c r="C273" s="225" t="s">
        <v>5</v>
      </c>
      <c r="D273" s="225" t="s">
        <v>103</v>
      </c>
      <c r="E273" s="225"/>
      <c r="F273" s="279"/>
      <c r="G273" s="197">
        <f>SUM(G274)</f>
        <v>1100</v>
      </c>
      <c r="H273" s="22"/>
      <c r="I273" s="22"/>
    </row>
    <row r="274" spans="1:9" ht="15">
      <c r="A274" s="183" t="s">
        <v>524</v>
      </c>
      <c r="B274" s="224"/>
      <c r="C274" s="225" t="s">
        <v>5</v>
      </c>
      <c r="D274" s="225" t="s">
        <v>103</v>
      </c>
      <c r="E274" s="228" t="s">
        <v>126</v>
      </c>
      <c r="F274" s="279"/>
      <c r="G274" s="197">
        <f>SUM(G275)+G277</f>
        <v>1100</v>
      </c>
      <c r="H274" s="22"/>
      <c r="I274" s="22"/>
    </row>
    <row r="275" spans="1:9" ht="42.75">
      <c r="A275" s="183" t="s">
        <v>611</v>
      </c>
      <c r="B275" s="224"/>
      <c r="C275" s="225" t="s">
        <v>5</v>
      </c>
      <c r="D275" s="225" t="s">
        <v>103</v>
      </c>
      <c r="E275" s="228" t="s">
        <v>612</v>
      </c>
      <c r="F275" s="279"/>
      <c r="G275" s="197">
        <f>SUM(G276)</f>
        <v>100</v>
      </c>
      <c r="H275" s="22"/>
      <c r="I275" s="22"/>
    </row>
    <row r="276" spans="1:9" ht="15">
      <c r="A276" s="223" t="s">
        <v>480</v>
      </c>
      <c r="B276" s="224"/>
      <c r="C276" s="225" t="s">
        <v>5</v>
      </c>
      <c r="D276" s="225" t="s">
        <v>103</v>
      </c>
      <c r="E276" s="228" t="s">
        <v>612</v>
      </c>
      <c r="F276" s="279" t="s">
        <v>481</v>
      </c>
      <c r="G276" s="197">
        <v>100</v>
      </c>
      <c r="H276" s="22"/>
      <c r="I276" s="22"/>
    </row>
    <row r="277" spans="1:9" ht="28.5">
      <c r="A277" s="238" t="s">
        <v>616</v>
      </c>
      <c r="B277" s="239"/>
      <c r="C277" s="240" t="s">
        <v>5</v>
      </c>
      <c r="D277" s="240" t="s">
        <v>103</v>
      </c>
      <c r="E277" s="240" t="s">
        <v>613</v>
      </c>
      <c r="F277" s="290"/>
      <c r="G277" s="197">
        <f>SUM(G278)</f>
        <v>1000</v>
      </c>
      <c r="H277" s="22"/>
      <c r="I277" s="22"/>
    </row>
    <row r="278" spans="1:9" ht="28.5">
      <c r="A278" s="300" t="s">
        <v>614</v>
      </c>
      <c r="B278" s="241"/>
      <c r="C278" s="240" t="s">
        <v>5</v>
      </c>
      <c r="D278" s="240" t="s">
        <v>103</v>
      </c>
      <c r="E278" s="240" t="s">
        <v>615</v>
      </c>
      <c r="F278" s="290"/>
      <c r="G278" s="197">
        <f>SUM(G279)</f>
        <v>1000</v>
      </c>
      <c r="H278" s="22"/>
      <c r="I278" s="22"/>
    </row>
    <row r="279" spans="1:9" ht="15">
      <c r="A279" s="187" t="s">
        <v>480</v>
      </c>
      <c r="B279" s="242"/>
      <c r="C279" s="240" t="s">
        <v>5</v>
      </c>
      <c r="D279" s="240" t="s">
        <v>103</v>
      </c>
      <c r="E279" s="240" t="s">
        <v>615</v>
      </c>
      <c r="F279" s="291" t="s">
        <v>481</v>
      </c>
      <c r="G279" s="197">
        <v>1000</v>
      </c>
      <c r="H279" s="22"/>
      <c r="I279" s="22"/>
    </row>
    <row r="280" spans="1:9" s="128" customFormat="1" ht="15">
      <c r="A280" s="183" t="s">
        <v>154</v>
      </c>
      <c r="B280" s="257"/>
      <c r="C280" s="256" t="s">
        <v>5</v>
      </c>
      <c r="D280" s="256" t="s">
        <v>119</v>
      </c>
      <c r="E280" s="256"/>
      <c r="F280" s="285"/>
      <c r="G280" s="207">
        <f>SUM(G281)</f>
        <v>31635.5</v>
      </c>
      <c r="H280" s="22"/>
      <c r="I280" s="22">
        <f>SUM(H280/G286*100)</f>
        <v>0</v>
      </c>
    </row>
    <row r="281" spans="1:9" s="128" customFormat="1" ht="28.5">
      <c r="A281" s="223" t="s">
        <v>635</v>
      </c>
      <c r="B281" s="224"/>
      <c r="C281" s="256" t="s">
        <v>5</v>
      </c>
      <c r="D281" s="256" t="s">
        <v>119</v>
      </c>
      <c r="E281" s="225" t="s">
        <v>636</v>
      </c>
      <c r="F281" s="279"/>
      <c r="G281" s="207">
        <f>SUM(G286)</f>
        <v>31635.5</v>
      </c>
      <c r="H281" s="22"/>
      <c r="I281" s="22"/>
    </row>
    <row r="282" spans="1:9" ht="57" hidden="1">
      <c r="A282" s="183" t="s">
        <v>599</v>
      </c>
      <c r="B282" s="257"/>
      <c r="C282" s="256" t="s">
        <v>5</v>
      </c>
      <c r="D282" s="256" t="s">
        <v>119</v>
      </c>
      <c r="E282" s="256" t="s">
        <v>539</v>
      </c>
      <c r="F282" s="285"/>
      <c r="G282" s="207">
        <f>SUM(G283)</f>
        <v>0</v>
      </c>
      <c r="H282" s="22">
        <f>SUM(H283)</f>
        <v>5628.5</v>
      </c>
      <c r="I282" s="22" t="e">
        <f>SUM(H282/G288*100)</f>
        <v>#DIV/0!</v>
      </c>
    </row>
    <row r="283" spans="1:9" ht="28.5" hidden="1">
      <c r="A283" s="183" t="s">
        <v>540</v>
      </c>
      <c r="B283" s="257"/>
      <c r="C283" s="256" t="s">
        <v>5</v>
      </c>
      <c r="D283" s="256" t="s">
        <v>119</v>
      </c>
      <c r="E283" s="256" t="s">
        <v>539</v>
      </c>
      <c r="F283" s="285" t="s">
        <v>535</v>
      </c>
      <c r="G283" s="207"/>
      <c r="H283" s="22">
        <v>5628.5</v>
      </c>
      <c r="I283" s="22" t="e">
        <f>SUM(H283/G289*100)</f>
        <v>#DIV/0!</v>
      </c>
    </row>
    <row r="284" spans="1:9" s="128" customFormat="1" ht="15" hidden="1">
      <c r="A284" s="183" t="s">
        <v>65</v>
      </c>
      <c r="B284" s="257"/>
      <c r="C284" s="256" t="s">
        <v>5</v>
      </c>
      <c r="D284" s="256" t="s">
        <v>119</v>
      </c>
      <c r="E284" s="256" t="s">
        <v>539</v>
      </c>
      <c r="F284" s="285" t="s">
        <v>541</v>
      </c>
      <c r="G284" s="207"/>
      <c r="H284" s="22">
        <f>SUM(H285)</f>
        <v>0</v>
      </c>
      <c r="I284" s="22" t="e">
        <f>SUM(H284/#REF!*100)</f>
        <v>#REF!</v>
      </c>
    </row>
    <row r="285" spans="1:9" ht="28.5" hidden="1">
      <c r="A285" s="183" t="s">
        <v>542</v>
      </c>
      <c r="B285" s="257"/>
      <c r="C285" s="256" t="s">
        <v>5</v>
      </c>
      <c r="D285" s="256" t="s">
        <v>119</v>
      </c>
      <c r="E285" s="256" t="s">
        <v>539</v>
      </c>
      <c r="F285" s="285" t="s">
        <v>543</v>
      </c>
      <c r="G285" s="207"/>
      <c r="H285" s="22"/>
      <c r="I285" s="22" t="e">
        <f>SUM(H285/#REF!*100)</f>
        <v>#REF!</v>
      </c>
    </row>
    <row r="286" spans="1:9" ht="42.75">
      <c r="A286" s="183" t="s">
        <v>600</v>
      </c>
      <c r="B286" s="257"/>
      <c r="C286" s="256" t="s">
        <v>5</v>
      </c>
      <c r="D286" s="256" t="s">
        <v>119</v>
      </c>
      <c r="E286" s="225" t="s">
        <v>639</v>
      </c>
      <c r="F286" s="285"/>
      <c r="G286" s="207">
        <f>SUM(G287)</f>
        <v>31635.5</v>
      </c>
      <c r="H286" s="22" t="e">
        <f>SUM(H287)</f>
        <v>#REF!</v>
      </c>
      <c r="I286" s="22" t="e">
        <f>SUM(H286/#REF!*100)</f>
        <v>#REF!</v>
      </c>
    </row>
    <row r="287" spans="1:9" ht="27.75" customHeight="1">
      <c r="A287" s="183" t="s">
        <v>540</v>
      </c>
      <c r="B287" s="257"/>
      <c r="C287" s="256" t="s">
        <v>5</v>
      </c>
      <c r="D287" s="256" t="s">
        <v>119</v>
      </c>
      <c r="E287" s="225" t="s">
        <v>639</v>
      </c>
      <c r="F287" s="285" t="s">
        <v>535</v>
      </c>
      <c r="G287" s="207">
        <v>31635.5</v>
      </c>
      <c r="H287" s="22" t="e">
        <f>SUM(H288)+#REF!</f>
        <v>#REF!</v>
      </c>
      <c r="I287" s="22" t="e">
        <f>SUM(H287/#REF!*100)</f>
        <v>#REF!</v>
      </c>
    </row>
    <row r="288" spans="1:9" s="128" customFormat="1" ht="15" hidden="1">
      <c r="A288" s="183" t="s">
        <v>65</v>
      </c>
      <c r="B288" s="257"/>
      <c r="C288" s="256" t="s">
        <v>5</v>
      </c>
      <c r="D288" s="256" t="s">
        <v>119</v>
      </c>
      <c r="E288" s="256" t="s">
        <v>444</v>
      </c>
      <c r="F288" s="285" t="s">
        <v>541</v>
      </c>
      <c r="G288" s="207"/>
      <c r="H288" s="22" t="e">
        <f>SUM(H289+#REF!)</f>
        <v>#REF!</v>
      </c>
      <c r="I288" s="22" t="e">
        <f>SUM(H288/#REF!*100)</f>
        <v>#REF!</v>
      </c>
    </row>
    <row r="289" spans="1:9" ht="28.5" hidden="1">
      <c r="A289" s="183" t="s">
        <v>542</v>
      </c>
      <c r="B289" s="257"/>
      <c r="C289" s="256" t="s">
        <v>5</v>
      </c>
      <c r="D289" s="256" t="s">
        <v>119</v>
      </c>
      <c r="E289" s="256" t="s">
        <v>444</v>
      </c>
      <c r="F289" s="285" t="s">
        <v>543</v>
      </c>
      <c r="G289" s="207"/>
      <c r="H289" s="22"/>
      <c r="I289" s="22" t="e">
        <f>SUM(H289/#REF!*100)</f>
        <v>#REF!</v>
      </c>
    </row>
    <row r="290" spans="1:9" ht="15">
      <c r="A290" s="223" t="s">
        <v>225</v>
      </c>
      <c r="B290" s="224"/>
      <c r="C290" s="228" t="s">
        <v>385</v>
      </c>
      <c r="D290" s="228"/>
      <c r="E290" s="228"/>
      <c r="F290" s="280"/>
      <c r="G290" s="205">
        <f>SUM(G291)</f>
        <v>1500</v>
      </c>
      <c r="H290" s="22" t="e">
        <f>SUM(H291+H298+H309+#REF!)</f>
        <v>#REF!</v>
      </c>
      <c r="I290" s="22" t="e">
        <f>SUM(H290/G296*100)</f>
        <v>#REF!</v>
      </c>
    </row>
    <row r="291" spans="1:9" ht="15">
      <c r="A291" s="223" t="s">
        <v>221</v>
      </c>
      <c r="B291" s="224"/>
      <c r="C291" s="225" t="s">
        <v>385</v>
      </c>
      <c r="D291" s="225" t="s">
        <v>128</v>
      </c>
      <c r="E291" s="228"/>
      <c r="F291" s="280"/>
      <c r="G291" s="197">
        <f>SUM(G292)</f>
        <v>1500</v>
      </c>
      <c r="H291" s="22">
        <f>SUM(H292)</f>
        <v>9708.8</v>
      </c>
      <c r="I291" s="22">
        <f>SUM(H291/G297*100)</f>
        <v>51.97346937683014</v>
      </c>
    </row>
    <row r="292" spans="1:9" ht="15">
      <c r="A292" s="151" t="s">
        <v>125</v>
      </c>
      <c r="B292" s="232"/>
      <c r="C292" s="225" t="s">
        <v>385</v>
      </c>
      <c r="D292" s="225" t="s">
        <v>128</v>
      </c>
      <c r="E292" s="228" t="s">
        <v>126</v>
      </c>
      <c r="F292" s="280"/>
      <c r="G292" s="197">
        <f>SUM(G293)</f>
        <v>1500</v>
      </c>
      <c r="H292" s="22">
        <f>SUM(H293)</f>
        <v>9708.8</v>
      </c>
      <c r="I292" s="22">
        <f>SUM(H292/G298*100)</f>
        <v>51.97346937683014</v>
      </c>
    </row>
    <row r="293" spans="1:9" ht="28.5">
      <c r="A293" s="236" t="s">
        <v>742</v>
      </c>
      <c r="B293" s="224"/>
      <c r="C293" s="225" t="s">
        <v>385</v>
      </c>
      <c r="D293" s="225" t="s">
        <v>128</v>
      </c>
      <c r="E293" s="228" t="s">
        <v>54</v>
      </c>
      <c r="F293" s="280"/>
      <c r="G293" s="197">
        <f>SUM(G294)</f>
        <v>1500</v>
      </c>
      <c r="H293" s="22">
        <f>SUM(H294+H296)</f>
        <v>9708.8</v>
      </c>
      <c r="I293" s="22">
        <f>SUM(H293/G299*100)</f>
        <v>51.97346937683014</v>
      </c>
    </row>
    <row r="294" spans="1:9" s="144" customFormat="1" ht="28.5">
      <c r="A294" s="183" t="s">
        <v>540</v>
      </c>
      <c r="B294" s="224"/>
      <c r="C294" s="225" t="s">
        <v>385</v>
      </c>
      <c r="D294" s="225" t="s">
        <v>128</v>
      </c>
      <c r="E294" s="228" t="s">
        <v>54</v>
      </c>
      <c r="F294" s="280" t="s">
        <v>535</v>
      </c>
      <c r="G294" s="197">
        <v>1500</v>
      </c>
      <c r="H294" s="22">
        <v>122.5</v>
      </c>
      <c r="I294" s="22">
        <f>SUM(H294/G300*100)</f>
        <v>0.6560449859418931</v>
      </c>
    </row>
    <row r="295" spans="1:9" s="144" customFormat="1" ht="15">
      <c r="A295" s="229" t="s">
        <v>239</v>
      </c>
      <c r="B295" s="230" t="s">
        <v>240</v>
      </c>
      <c r="C295" s="231"/>
      <c r="D295" s="231"/>
      <c r="E295" s="231"/>
      <c r="F295" s="282"/>
      <c r="G295" s="206">
        <f>SUM(G296+G330+G336)+G319+G323</f>
        <v>87428.4</v>
      </c>
      <c r="H295" s="22"/>
      <c r="I295" s="22"/>
    </row>
    <row r="296" spans="1:9" s="144" customFormat="1" ht="15">
      <c r="A296" s="223" t="s">
        <v>426</v>
      </c>
      <c r="B296" s="224"/>
      <c r="C296" s="225" t="s">
        <v>427</v>
      </c>
      <c r="D296" s="225"/>
      <c r="E296" s="225"/>
      <c r="F296" s="279"/>
      <c r="G296" s="197">
        <f>SUM(G297+G304+G307)</f>
        <v>28192.6</v>
      </c>
      <c r="H296" s="22">
        <f>SUM(H297)</f>
        <v>9586.3</v>
      </c>
      <c r="I296" s="22" t="e">
        <f aca="true" t="shared" si="7" ref="I296:I305">SUM(H296/G302*100)</f>
        <v>#DIV/0!</v>
      </c>
    </row>
    <row r="297" spans="1:9" ht="28.5">
      <c r="A297" s="223" t="s">
        <v>358</v>
      </c>
      <c r="B297" s="224"/>
      <c r="C297" s="225" t="s">
        <v>427</v>
      </c>
      <c r="D297" s="225" t="s">
        <v>359</v>
      </c>
      <c r="E297" s="225"/>
      <c r="F297" s="279"/>
      <c r="G297" s="197">
        <f>SUM(G298)</f>
        <v>18680.3</v>
      </c>
      <c r="H297" s="22">
        <v>9586.3</v>
      </c>
      <c r="I297" s="22" t="e">
        <f t="shared" si="7"/>
        <v>#DIV/0!</v>
      </c>
    </row>
    <row r="298" spans="1:9" ht="28.5">
      <c r="A298" s="223" t="s">
        <v>96</v>
      </c>
      <c r="B298" s="224"/>
      <c r="C298" s="225" t="s">
        <v>427</v>
      </c>
      <c r="D298" s="225" t="s">
        <v>359</v>
      </c>
      <c r="E298" s="225" t="s">
        <v>97</v>
      </c>
      <c r="F298" s="279"/>
      <c r="G298" s="197">
        <f>SUM(G299)+G303</f>
        <v>18680.3</v>
      </c>
      <c r="H298" s="22" t="e">
        <f>SUM(H299)</f>
        <v>#REF!</v>
      </c>
      <c r="I298" s="22" t="e">
        <f t="shared" si="7"/>
        <v>#REF!</v>
      </c>
    </row>
    <row r="299" spans="1:9" ht="17.25" customHeight="1">
      <c r="A299" s="223" t="s">
        <v>104</v>
      </c>
      <c r="B299" s="224"/>
      <c r="C299" s="225" t="s">
        <v>427</v>
      </c>
      <c r="D299" s="225" t="s">
        <v>359</v>
      </c>
      <c r="E299" s="225" t="s">
        <v>106</v>
      </c>
      <c r="F299" s="279"/>
      <c r="G299" s="197">
        <f>SUM(G300+G301)</f>
        <v>18680.3</v>
      </c>
      <c r="H299" s="22" t="e">
        <f>SUM(#REF!)</f>
        <v>#REF!</v>
      </c>
      <c r="I299" s="22" t="e">
        <f t="shared" si="7"/>
        <v>#REF!</v>
      </c>
    </row>
    <row r="300" spans="1:9" ht="28.5">
      <c r="A300" s="223" t="s">
        <v>470</v>
      </c>
      <c r="B300" s="224"/>
      <c r="C300" s="225" t="s">
        <v>105</v>
      </c>
      <c r="D300" s="225" t="s">
        <v>359</v>
      </c>
      <c r="E300" s="225" t="s">
        <v>106</v>
      </c>
      <c r="F300" s="281" t="s">
        <v>471</v>
      </c>
      <c r="G300" s="197">
        <f>16981.1+1691.4</f>
        <v>18672.5</v>
      </c>
      <c r="H300" s="22" t="e">
        <f>SUM(#REF!)</f>
        <v>#REF!</v>
      </c>
      <c r="I300" s="22" t="e">
        <f t="shared" si="7"/>
        <v>#REF!</v>
      </c>
    </row>
    <row r="301" spans="1:9" s="130" customFormat="1" ht="18" customHeight="1">
      <c r="A301" s="223" t="s">
        <v>475</v>
      </c>
      <c r="B301" s="224"/>
      <c r="C301" s="225" t="s">
        <v>427</v>
      </c>
      <c r="D301" s="225" t="s">
        <v>359</v>
      </c>
      <c r="E301" s="225" t="s">
        <v>106</v>
      </c>
      <c r="F301" s="279" t="s">
        <v>117</v>
      </c>
      <c r="G301" s="205">
        <v>7.8</v>
      </c>
      <c r="H301" s="119" t="e">
        <f>SUM(H302+#REF!+H395+#REF!)</f>
        <v>#REF!</v>
      </c>
      <c r="I301" s="22" t="e">
        <f t="shared" si="7"/>
        <v>#REF!</v>
      </c>
    </row>
    <row r="302" spans="1:9" s="141" customFormat="1" ht="28.5" hidden="1">
      <c r="A302" s="223" t="s">
        <v>360</v>
      </c>
      <c r="B302" s="224"/>
      <c r="C302" s="225" t="s">
        <v>105</v>
      </c>
      <c r="D302" s="225" t="s">
        <v>359</v>
      </c>
      <c r="E302" s="225" t="s">
        <v>361</v>
      </c>
      <c r="F302" s="279"/>
      <c r="G302" s="197">
        <f>SUM(G303)</f>
        <v>0</v>
      </c>
      <c r="H302" s="22" t="e">
        <f>SUM(H305+H331)+H303</f>
        <v>#REF!</v>
      </c>
      <c r="I302" s="22" t="e">
        <f t="shared" si="7"/>
        <v>#REF!</v>
      </c>
    </row>
    <row r="303" spans="1:9" ht="28.5" hidden="1">
      <c r="A303" s="223" t="s">
        <v>470</v>
      </c>
      <c r="B303" s="224"/>
      <c r="C303" s="225" t="s">
        <v>105</v>
      </c>
      <c r="D303" s="225" t="s">
        <v>359</v>
      </c>
      <c r="E303" s="225" t="s">
        <v>361</v>
      </c>
      <c r="F303" s="281" t="s">
        <v>471</v>
      </c>
      <c r="G303" s="197"/>
      <c r="H303" s="22">
        <f>SUM(H304)</f>
        <v>5048</v>
      </c>
      <c r="I303" s="22">
        <f t="shared" si="7"/>
        <v>2464.84375</v>
      </c>
    </row>
    <row r="304" spans="1:9" ht="15">
      <c r="A304" s="223" t="s">
        <v>373</v>
      </c>
      <c r="B304" s="224"/>
      <c r="C304" s="225" t="s">
        <v>427</v>
      </c>
      <c r="D304" s="225" t="s">
        <v>385</v>
      </c>
      <c r="E304" s="225"/>
      <c r="F304" s="279"/>
      <c r="G304" s="197">
        <f>SUM(G305)</f>
        <v>4592</v>
      </c>
      <c r="H304" s="22">
        <v>5048</v>
      </c>
      <c r="I304" s="22">
        <f t="shared" si="7"/>
        <v>2598.044261451364</v>
      </c>
    </row>
    <row r="305" spans="1:9" ht="15">
      <c r="A305" s="223" t="s">
        <v>355</v>
      </c>
      <c r="B305" s="224"/>
      <c r="C305" s="225" t="s">
        <v>427</v>
      </c>
      <c r="D305" s="225" t="s">
        <v>385</v>
      </c>
      <c r="E305" s="225" t="s">
        <v>482</v>
      </c>
      <c r="F305" s="279"/>
      <c r="G305" s="197">
        <f>SUM(G306)</f>
        <v>4592</v>
      </c>
      <c r="H305" s="22" t="e">
        <f>SUM(H306)+#REF!+H330</f>
        <v>#REF!</v>
      </c>
      <c r="I305" s="22" t="e">
        <f t="shared" si="7"/>
        <v>#REF!</v>
      </c>
    </row>
    <row r="306" spans="1:9" ht="15">
      <c r="A306" s="223" t="s">
        <v>476</v>
      </c>
      <c r="B306" s="224"/>
      <c r="C306" s="225" t="s">
        <v>427</v>
      </c>
      <c r="D306" s="225" t="s">
        <v>385</v>
      </c>
      <c r="E306" s="225" t="s">
        <v>482</v>
      </c>
      <c r="F306" s="279" t="s">
        <v>166</v>
      </c>
      <c r="G306" s="197">
        <v>4592</v>
      </c>
      <c r="H306" s="22"/>
      <c r="I306" s="22"/>
    </row>
    <row r="307" spans="1:9" ht="15">
      <c r="A307" s="223" t="s">
        <v>109</v>
      </c>
      <c r="B307" s="224"/>
      <c r="C307" s="225" t="s">
        <v>427</v>
      </c>
      <c r="D307" s="225" t="s">
        <v>218</v>
      </c>
      <c r="E307" s="225"/>
      <c r="F307" s="280"/>
      <c r="G307" s="197">
        <f>SUM(G308)</f>
        <v>4920.299999999999</v>
      </c>
      <c r="H307" s="22">
        <f>SUM(H308)</f>
        <v>0</v>
      </c>
      <c r="I307" s="22">
        <f>SUM(H307/G313*100)</f>
        <v>0</v>
      </c>
    </row>
    <row r="308" spans="1:9" ht="28.5">
      <c r="A308" s="223" t="s">
        <v>472</v>
      </c>
      <c r="B308" s="224"/>
      <c r="C308" s="225" t="s">
        <v>427</v>
      </c>
      <c r="D308" s="225" t="s">
        <v>218</v>
      </c>
      <c r="E308" s="225" t="s">
        <v>473</v>
      </c>
      <c r="F308" s="280"/>
      <c r="G308" s="205">
        <f>SUM(G309+G312+G314)</f>
        <v>4920.299999999999</v>
      </c>
      <c r="H308" s="22"/>
      <c r="I308" s="22"/>
    </row>
    <row r="309" spans="1:9" ht="15">
      <c r="A309" s="223" t="s">
        <v>463</v>
      </c>
      <c r="B309" s="224"/>
      <c r="C309" s="225" t="s">
        <v>427</v>
      </c>
      <c r="D309" s="225" t="s">
        <v>218</v>
      </c>
      <c r="E309" s="225" t="s">
        <v>474</v>
      </c>
      <c r="F309" s="279"/>
      <c r="G309" s="205">
        <f>SUM(G310:G311)</f>
        <v>204.8</v>
      </c>
      <c r="H309" s="22" t="e">
        <f>SUM(H310+#REF!)</f>
        <v>#REF!</v>
      </c>
      <c r="I309" s="22" t="e">
        <f>SUM(H309/G315*100)</f>
        <v>#REF!</v>
      </c>
    </row>
    <row r="310" spans="1:9" ht="15">
      <c r="A310" s="223" t="s">
        <v>475</v>
      </c>
      <c r="B310" s="224"/>
      <c r="C310" s="225" t="s">
        <v>427</v>
      </c>
      <c r="D310" s="225" t="s">
        <v>218</v>
      </c>
      <c r="E310" s="225" t="s">
        <v>474</v>
      </c>
      <c r="F310" s="279" t="s">
        <v>117</v>
      </c>
      <c r="G310" s="205">
        <v>194.3</v>
      </c>
      <c r="H310" s="22" t="e">
        <f>SUM(#REF!+H315+#REF!)</f>
        <v>#REF!</v>
      </c>
      <c r="I310" s="22" t="e">
        <f>SUM(H310/G316*100)</f>
        <v>#REF!</v>
      </c>
    </row>
    <row r="311" spans="1:9" ht="15">
      <c r="A311" s="223" t="s">
        <v>476</v>
      </c>
      <c r="B311" s="224"/>
      <c r="C311" s="225" t="s">
        <v>427</v>
      </c>
      <c r="D311" s="225" t="s">
        <v>218</v>
      </c>
      <c r="E311" s="225" t="s">
        <v>474</v>
      </c>
      <c r="F311" s="279" t="s">
        <v>166</v>
      </c>
      <c r="G311" s="205">
        <v>10.5</v>
      </c>
      <c r="H311" s="22"/>
      <c r="I311" s="22"/>
    </row>
    <row r="312" spans="1:9" s="145" customFormat="1" ht="28.5">
      <c r="A312" s="223" t="s">
        <v>464</v>
      </c>
      <c r="B312" s="224"/>
      <c r="C312" s="225" t="s">
        <v>427</v>
      </c>
      <c r="D312" s="225" t="s">
        <v>218</v>
      </c>
      <c r="E312" s="225" t="s">
        <v>477</v>
      </c>
      <c r="F312" s="279"/>
      <c r="G312" s="205">
        <f>SUM(G313:G313)</f>
        <v>204.6</v>
      </c>
      <c r="H312" s="22" t="e">
        <f>SUM(#REF!+H315+#REF!+#REF!+#REF!)</f>
        <v>#REF!</v>
      </c>
      <c r="I312" s="22" t="e">
        <f>SUM(H312/G330*100)</f>
        <v>#REF!</v>
      </c>
    </row>
    <row r="313" spans="1:9" ht="15">
      <c r="A313" s="223" t="s">
        <v>475</v>
      </c>
      <c r="B313" s="224"/>
      <c r="C313" s="225" t="s">
        <v>427</v>
      </c>
      <c r="D313" s="225" t="s">
        <v>218</v>
      </c>
      <c r="E313" s="225" t="s">
        <v>477</v>
      </c>
      <c r="F313" s="279" t="s">
        <v>117</v>
      </c>
      <c r="G313" s="205">
        <v>204.6</v>
      </c>
      <c r="H313" s="22" t="e">
        <f>SUM(#REF!)</f>
        <v>#REF!</v>
      </c>
      <c r="I313" s="22" t="e">
        <f aca="true" t="shared" si="8" ref="I313:I318">SUM(H313/G334*100)</f>
        <v>#REF!</v>
      </c>
    </row>
    <row r="314" spans="1:9" ht="28.5">
      <c r="A314" s="187" t="s">
        <v>478</v>
      </c>
      <c r="B314" s="224"/>
      <c r="C314" s="225" t="s">
        <v>427</v>
      </c>
      <c r="D314" s="225" t="s">
        <v>218</v>
      </c>
      <c r="E314" s="225" t="s">
        <v>479</v>
      </c>
      <c r="F314" s="281"/>
      <c r="G314" s="205">
        <f>SUM(G315+G316+G318)</f>
        <v>4510.9</v>
      </c>
      <c r="H314" s="22"/>
      <c r="I314" s="22">
        <f t="shared" si="8"/>
        <v>0</v>
      </c>
    </row>
    <row r="315" spans="1:9" ht="14.25" customHeight="1">
      <c r="A315" s="223" t="s">
        <v>475</v>
      </c>
      <c r="B315" s="224"/>
      <c r="C315" s="225" t="s">
        <v>427</v>
      </c>
      <c r="D315" s="225" t="s">
        <v>218</v>
      </c>
      <c r="E315" s="225" t="s">
        <v>479</v>
      </c>
      <c r="F315" s="281" t="s">
        <v>117</v>
      </c>
      <c r="G315" s="197">
        <v>4510.9</v>
      </c>
      <c r="H315" s="22">
        <f>SUM(H316)</f>
        <v>0</v>
      </c>
      <c r="I315" s="22">
        <f t="shared" si="8"/>
        <v>0</v>
      </c>
    </row>
    <row r="316" spans="1:9" ht="0.75" customHeight="1" hidden="1">
      <c r="A316" s="223" t="s">
        <v>476</v>
      </c>
      <c r="B316" s="224"/>
      <c r="C316" s="225" t="s">
        <v>427</v>
      </c>
      <c r="D316" s="225" t="s">
        <v>218</v>
      </c>
      <c r="E316" s="225" t="s">
        <v>479</v>
      </c>
      <c r="F316" s="281" t="s">
        <v>166</v>
      </c>
      <c r="G316" s="197"/>
      <c r="H316" s="22">
        <f>SUM(H317)</f>
        <v>0</v>
      </c>
      <c r="I316" s="22">
        <f t="shared" si="8"/>
        <v>0</v>
      </c>
    </row>
    <row r="317" spans="1:9" ht="15" hidden="1">
      <c r="A317" s="187" t="s">
        <v>485</v>
      </c>
      <c r="B317" s="224"/>
      <c r="C317" s="225" t="s">
        <v>427</v>
      </c>
      <c r="D317" s="225" t="s">
        <v>218</v>
      </c>
      <c r="E317" s="225" t="s">
        <v>486</v>
      </c>
      <c r="F317" s="279"/>
      <c r="G317" s="197">
        <f>SUM(G318)</f>
        <v>0</v>
      </c>
      <c r="H317" s="22">
        <f>SUM(H318)</f>
        <v>0</v>
      </c>
      <c r="I317" s="22">
        <f t="shared" si="8"/>
        <v>0</v>
      </c>
    </row>
    <row r="318" spans="1:9" ht="15" hidden="1">
      <c r="A318" s="223" t="s">
        <v>476</v>
      </c>
      <c r="B318" s="224"/>
      <c r="C318" s="225" t="s">
        <v>427</v>
      </c>
      <c r="D318" s="225" t="s">
        <v>218</v>
      </c>
      <c r="E318" s="225" t="s">
        <v>486</v>
      </c>
      <c r="F318" s="279" t="s">
        <v>166</v>
      </c>
      <c r="G318" s="197"/>
      <c r="H318" s="22">
        <f>SUM(H330)</f>
        <v>0</v>
      </c>
      <c r="I318" s="22">
        <f t="shared" si="8"/>
        <v>0</v>
      </c>
    </row>
    <row r="319" spans="1:9" ht="15" hidden="1">
      <c r="A319" s="223" t="s">
        <v>118</v>
      </c>
      <c r="B319" s="224"/>
      <c r="C319" s="256" t="s">
        <v>119</v>
      </c>
      <c r="D319" s="225"/>
      <c r="E319" s="225"/>
      <c r="F319" s="279"/>
      <c r="G319" s="197">
        <f>SUM(G320)</f>
        <v>0</v>
      </c>
      <c r="H319" s="22">
        <v>50612.1</v>
      </c>
      <c r="I319" s="22" t="e">
        <f>SUM(H319/#REF!*100)</f>
        <v>#REF!</v>
      </c>
    </row>
    <row r="320" spans="1:9" ht="15" hidden="1">
      <c r="A320" s="183" t="s">
        <v>120</v>
      </c>
      <c r="B320" s="257"/>
      <c r="C320" s="256" t="s">
        <v>119</v>
      </c>
      <c r="D320" s="256" t="s">
        <v>121</v>
      </c>
      <c r="E320" s="225"/>
      <c r="F320" s="280"/>
      <c r="G320" s="197">
        <f>SUM(G321)</f>
        <v>0</v>
      </c>
      <c r="H320" s="22">
        <v>5387.8</v>
      </c>
      <c r="I320" s="22" t="e">
        <f>SUM(H320/#REF!*100)</f>
        <v>#REF!</v>
      </c>
    </row>
    <row r="321" spans="1:9" ht="15" hidden="1">
      <c r="A321" s="187" t="s">
        <v>623</v>
      </c>
      <c r="B321" s="224"/>
      <c r="C321" s="256" t="s">
        <v>119</v>
      </c>
      <c r="D321" s="256" t="s">
        <v>374</v>
      </c>
      <c r="E321" s="225" t="s">
        <v>486</v>
      </c>
      <c r="F321" s="279"/>
      <c r="G321" s="197">
        <f>SUM(G322)</f>
        <v>0</v>
      </c>
      <c r="H321" s="22"/>
      <c r="I321" s="22"/>
    </row>
    <row r="322" spans="1:9" ht="14.25" customHeight="1" hidden="1">
      <c r="A322" s="223" t="s">
        <v>476</v>
      </c>
      <c r="B322" s="224"/>
      <c r="C322" s="256" t="s">
        <v>119</v>
      </c>
      <c r="D322" s="256" t="s">
        <v>374</v>
      </c>
      <c r="E322" s="225" t="s">
        <v>486</v>
      </c>
      <c r="F322" s="279" t="s">
        <v>166</v>
      </c>
      <c r="G322" s="197"/>
      <c r="H322" s="22"/>
      <c r="I322" s="22"/>
    </row>
    <row r="323" spans="1:9" ht="15" hidden="1">
      <c r="A323" s="183" t="s">
        <v>390</v>
      </c>
      <c r="B323" s="232"/>
      <c r="C323" s="228" t="s">
        <v>128</v>
      </c>
      <c r="D323" s="228"/>
      <c r="E323" s="228"/>
      <c r="F323" s="281"/>
      <c r="G323" s="210">
        <f>SUM(G324)+G327</f>
        <v>0</v>
      </c>
      <c r="H323" s="22"/>
      <c r="I323" s="22"/>
    </row>
    <row r="324" spans="1:9" ht="15" hidden="1">
      <c r="A324" s="183" t="s">
        <v>55</v>
      </c>
      <c r="B324" s="257"/>
      <c r="C324" s="256" t="s">
        <v>128</v>
      </c>
      <c r="D324" s="256" t="s">
        <v>429</v>
      </c>
      <c r="E324" s="256"/>
      <c r="F324" s="285"/>
      <c r="G324" s="207">
        <f>G325</f>
        <v>0</v>
      </c>
      <c r="H324" s="22">
        <v>9483.6</v>
      </c>
      <c r="I324" s="22">
        <f>SUM(H324/G334*100)</f>
        <v>44.658548300511406</v>
      </c>
    </row>
    <row r="325" spans="1:9" ht="15" hidden="1">
      <c r="A325" s="187" t="s">
        <v>485</v>
      </c>
      <c r="B325" s="224"/>
      <c r="C325" s="256" t="s">
        <v>128</v>
      </c>
      <c r="D325" s="256" t="s">
        <v>429</v>
      </c>
      <c r="E325" s="225" t="s">
        <v>486</v>
      </c>
      <c r="F325" s="279"/>
      <c r="G325" s="207">
        <f>G326</f>
        <v>0</v>
      </c>
      <c r="H325" s="22"/>
      <c r="I325" s="22"/>
    </row>
    <row r="326" spans="1:9" ht="15" hidden="1">
      <c r="A326" s="223" t="s">
        <v>476</v>
      </c>
      <c r="B326" s="224"/>
      <c r="C326" s="256" t="s">
        <v>128</v>
      </c>
      <c r="D326" s="256" t="s">
        <v>429</v>
      </c>
      <c r="E326" s="225" t="s">
        <v>486</v>
      </c>
      <c r="F326" s="279" t="s">
        <v>166</v>
      </c>
      <c r="G326" s="197"/>
      <c r="H326" s="22"/>
      <c r="I326" s="22"/>
    </row>
    <row r="327" spans="1:9" ht="15" hidden="1">
      <c r="A327" s="183" t="s">
        <v>64</v>
      </c>
      <c r="B327" s="232"/>
      <c r="C327" s="256" t="s">
        <v>128</v>
      </c>
      <c r="D327" s="256" t="s">
        <v>128</v>
      </c>
      <c r="E327" s="228"/>
      <c r="F327" s="280"/>
      <c r="G327" s="207">
        <f>G328</f>
        <v>0</v>
      </c>
      <c r="H327" s="22"/>
      <c r="I327" s="22"/>
    </row>
    <row r="328" spans="1:9" ht="15" hidden="1">
      <c r="A328" s="187" t="s">
        <v>485</v>
      </c>
      <c r="B328" s="224"/>
      <c r="C328" s="256" t="s">
        <v>128</v>
      </c>
      <c r="D328" s="256" t="s">
        <v>128</v>
      </c>
      <c r="E328" s="225" t="s">
        <v>486</v>
      </c>
      <c r="F328" s="279"/>
      <c r="G328" s="207">
        <f>G329</f>
        <v>0</v>
      </c>
      <c r="H328" s="22"/>
      <c r="I328" s="22"/>
    </row>
    <row r="329" spans="1:9" ht="15" hidden="1">
      <c r="A329" s="223" t="s">
        <v>476</v>
      </c>
      <c r="B329" s="224"/>
      <c r="C329" s="256" t="s">
        <v>128</v>
      </c>
      <c r="D329" s="256" t="s">
        <v>128</v>
      </c>
      <c r="E329" s="225" t="s">
        <v>486</v>
      </c>
      <c r="F329" s="279" t="s">
        <v>166</v>
      </c>
      <c r="G329" s="197"/>
      <c r="H329" s="22"/>
      <c r="I329" s="22"/>
    </row>
    <row r="330" spans="1:9" ht="15">
      <c r="A330" s="223" t="s">
        <v>173</v>
      </c>
      <c r="B330" s="224"/>
      <c r="C330" s="225" t="s">
        <v>5</v>
      </c>
      <c r="D330" s="225" t="s">
        <v>174</v>
      </c>
      <c r="E330" s="225"/>
      <c r="F330" s="279"/>
      <c r="G330" s="197">
        <f>SUM(G331)</f>
        <v>21235.8</v>
      </c>
      <c r="H330" s="22">
        <f>SUM(H331)</f>
        <v>0</v>
      </c>
      <c r="I330" s="22">
        <f>SUM(H330/G340*100)</f>
        <v>0</v>
      </c>
    </row>
    <row r="331" spans="1:9" ht="15">
      <c r="A331" s="223" t="s">
        <v>156</v>
      </c>
      <c r="B331" s="224"/>
      <c r="C331" s="225" t="s">
        <v>5</v>
      </c>
      <c r="D331" s="225" t="s">
        <v>359</v>
      </c>
      <c r="E331" s="225"/>
      <c r="F331" s="279"/>
      <c r="G331" s="197">
        <f>SUM(G334)+G332</f>
        <v>21235.8</v>
      </c>
      <c r="H331" s="22"/>
      <c r="I331" s="22" t="e">
        <f>SUM(H331/#REF!*100)</f>
        <v>#REF!</v>
      </c>
    </row>
    <row r="332" spans="1:9" ht="15" hidden="1">
      <c r="A332" s="187" t="s">
        <v>623</v>
      </c>
      <c r="B332" s="224"/>
      <c r="C332" s="225" t="s">
        <v>5</v>
      </c>
      <c r="D332" s="225" t="s">
        <v>359</v>
      </c>
      <c r="E332" s="225" t="s">
        <v>486</v>
      </c>
      <c r="F332" s="279"/>
      <c r="G332" s="197">
        <f>SUM(G333)</f>
        <v>0</v>
      </c>
      <c r="H332" s="22"/>
      <c r="I332" s="22"/>
    </row>
    <row r="333" spans="1:9" ht="15" hidden="1">
      <c r="A333" s="223" t="s">
        <v>476</v>
      </c>
      <c r="B333" s="224"/>
      <c r="C333" s="225" t="s">
        <v>5</v>
      </c>
      <c r="D333" s="225" t="s">
        <v>359</v>
      </c>
      <c r="E333" s="225" t="s">
        <v>486</v>
      </c>
      <c r="F333" s="279" t="s">
        <v>166</v>
      </c>
      <c r="G333" s="197"/>
      <c r="H333" s="22"/>
      <c r="I333" s="22"/>
    </row>
    <row r="334" spans="1:9" ht="28.5">
      <c r="A334" s="187" t="s">
        <v>579</v>
      </c>
      <c r="B334" s="224"/>
      <c r="C334" s="225" t="s">
        <v>5</v>
      </c>
      <c r="D334" s="225" t="s">
        <v>359</v>
      </c>
      <c r="E334" s="225" t="s">
        <v>578</v>
      </c>
      <c r="F334" s="279"/>
      <c r="G334" s="197">
        <f>SUM(G335)</f>
        <v>21235.8</v>
      </c>
      <c r="H334" s="117" t="e">
        <f>SUM(#REF!+#REF!)+#REF!+#REF!</f>
        <v>#REF!</v>
      </c>
      <c r="I334" s="117" t="e">
        <f>SUM(H334/G341*100)</f>
        <v>#REF!</v>
      </c>
    </row>
    <row r="335" spans="1:9" ht="15">
      <c r="A335" s="223" t="s">
        <v>476</v>
      </c>
      <c r="B335" s="224"/>
      <c r="C335" s="225" t="s">
        <v>5</v>
      </c>
      <c r="D335" s="225" t="s">
        <v>359</v>
      </c>
      <c r="E335" s="225" t="s">
        <v>578</v>
      </c>
      <c r="F335" s="279" t="s">
        <v>166</v>
      </c>
      <c r="G335" s="197">
        <f>264.8+23371-1500-900</f>
        <v>21235.8</v>
      </c>
      <c r="H335" s="22" t="e">
        <f>SUM(H336)</f>
        <v>#REF!</v>
      </c>
      <c r="I335" s="22" t="e">
        <f>SUM(H335/#REF!*100)</f>
        <v>#REF!</v>
      </c>
    </row>
    <row r="336" spans="1:9" ht="15">
      <c r="A336" s="223" t="s">
        <v>368</v>
      </c>
      <c r="B336" s="224"/>
      <c r="C336" s="225" t="s">
        <v>218</v>
      </c>
      <c r="D336" s="225" t="s">
        <v>174</v>
      </c>
      <c r="E336" s="225"/>
      <c r="F336" s="279"/>
      <c r="G336" s="197">
        <f>SUM(G337)</f>
        <v>38000</v>
      </c>
      <c r="H336" s="22" t="e">
        <f>SUM(H337+H339)</f>
        <v>#REF!</v>
      </c>
      <c r="I336" s="22" t="e">
        <f>SUM(H336/#REF!*100)</f>
        <v>#REF!</v>
      </c>
    </row>
    <row r="337" spans="1:9" ht="15">
      <c r="A337" s="223" t="s">
        <v>219</v>
      </c>
      <c r="B337" s="224"/>
      <c r="C337" s="225" t="s">
        <v>218</v>
      </c>
      <c r="D337" s="225" t="s">
        <v>427</v>
      </c>
      <c r="E337" s="225"/>
      <c r="F337" s="279"/>
      <c r="G337" s="197">
        <f>SUM(G338)</f>
        <v>38000</v>
      </c>
      <c r="H337" s="22">
        <f>SUM(H338)</f>
        <v>8068.7</v>
      </c>
      <c r="I337" s="22" t="e">
        <f>SUM(H337/#REF!*100)</f>
        <v>#REF!</v>
      </c>
    </row>
    <row r="338" spans="1:9" ht="15">
      <c r="A338" s="223" t="s">
        <v>369</v>
      </c>
      <c r="B338" s="224"/>
      <c r="C338" s="225" t="s">
        <v>218</v>
      </c>
      <c r="D338" s="225" t="s">
        <v>427</v>
      </c>
      <c r="E338" s="225" t="s">
        <v>370</v>
      </c>
      <c r="F338" s="281"/>
      <c r="G338" s="197">
        <f>SUM(G340)</f>
        <v>38000</v>
      </c>
      <c r="H338" s="22">
        <v>8068.7</v>
      </c>
      <c r="I338" s="22" t="e">
        <f>SUM(H338/#REF!*100)</f>
        <v>#REF!</v>
      </c>
    </row>
    <row r="339" spans="1:9" ht="15">
      <c r="A339" s="223" t="s">
        <v>371</v>
      </c>
      <c r="B339" s="224"/>
      <c r="C339" s="225" t="s">
        <v>218</v>
      </c>
      <c r="D339" s="225" t="s">
        <v>427</v>
      </c>
      <c r="E339" s="225" t="s">
        <v>372</v>
      </c>
      <c r="F339" s="281"/>
      <c r="G339" s="197">
        <f>SUM(G340)</f>
        <v>38000</v>
      </c>
      <c r="H339" s="22" t="e">
        <f>SUM(H340)+#REF!+#REF!</f>
        <v>#REF!</v>
      </c>
      <c r="I339" s="22" t="e">
        <f>SUM(H339/#REF!*100)</f>
        <v>#REF!</v>
      </c>
    </row>
    <row r="340" spans="1:9" ht="15">
      <c r="A340" s="223" t="s">
        <v>483</v>
      </c>
      <c r="B340" s="224"/>
      <c r="C340" s="225" t="s">
        <v>218</v>
      </c>
      <c r="D340" s="225" t="s">
        <v>427</v>
      </c>
      <c r="E340" s="225" t="s">
        <v>372</v>
      </c>
      <c r="F340" s="281" t="s">
        <v>165</v>
      </c>
      <c r="G340" s="197">
        <v>38000</v>
      </c>
      <c r="H340" s="22" t="e">
        <f>SUM(H341+#REF!)</f>
        <v>#REF!</v>
      </c>
      <c r="I340" s="22" t="e">
        <f>SUM(H340/#REF!*100)</f>
        <v>#REF!</v>
      </c>
    </row>
    <row r="341" spans="1:9" ht="30">
      <c r="A341" s="229" t="s">
        <v>241</v>
      </c>
      <c r="B341" s="230" t="s">
        <v>242</v>
      </c>
      <c r="C341" s="231"/>
      <c r="D341" s="231"/>
      <c r="E341" s="231"/>
      <c r="F341" s="282"/>
      <c r="G341" s="206">
        <f>SUM(G342+G353+G380)</f>
        <v>920412.6000000001</v>
      </c>
      <c r="H341" s="22" t="e">
        <f>SUM(H342:H342+#REF!+#REF!+#REF!)+#REF!</f>
        <v>#REF!</v>
      </c>
      <c r="I341" s="22" t="e">
        <f>SUM(H341/#REF!*100)</f>
        <v>#REF!</v>
      </c>
    </row>
    <row r="342" spans="1:9" ht="15">
      <c r="A342" s="223" t="s">
        <v>118</v>
      </c>
      <c r="B342" s="224"/>
      <c r="C342" s="256" t="s">
        <v>119</v>
      </c>
      <c r="D342" s="225"/>
      <c r="E342" s="225"/>
      <c r="F342" s="279"/>
      <c r="G342" s="197">
        <f>SUM(G348)+G344</f>
        <v>6302.2</v>
      </c>
      <c r="H342" s="22">
        <v>50612.1</v>
      </c>
      <c r="I342" s="22" t="e">
        <f>SUM(H342/#REF!*100)</f>
        <v>#REF!</v>
      </c>
    </row>
    <row r="343" spans="1:9" ht="15">
      <c r="A343" s="183" t="s">
        <v>120</v>
      </c>
      <c r="B343" s="257"/>
      <c r="C343" s="256" t="s">
        <v>119</v>
      </c>
      <c r="D343" s="256" t="s">
        <v>121</v>
      </c>
      <c r="E343" s="256"/>
      <c r="F343" s="285"/>
      <c r="G343" s="207">
        <f>G344</f>
        <v>25</v>
      </c>
      <c r="H343" s="22"/>
      <c r="I343" s="22"/>
    </row>
    <row r="344" spans="1:9" ht="15">
      <c r="A344" s="183" t="s">
        <v>514</v>
      </c>
      <c r="B344" s="257"/>
      <c r="C344" s="256" t="s">
        <v>119</v>
      </c>
      <c r="D344" s="256" t="s">
        <v>121</v>
      </c>
      <c r="E344" s="256" t="s">
        <v>515</v>
      </c>
      <c r="F344" s="285"/>
      <c r="G344" s="207">
        <f>G345</f>
        <v>25</v>
      </c>
      <c r="H344" s="22"/>
      <c r="I344" s="22"/>
    </row>
    <row r="345" spans="1:9" ht="15">
      <c r="A345" s="183" t="s">
        <v>516</v>
      </c>
      <c r="B345" s="257"/>
      <c r="C345" s="256" t="s">
        <v>119</v>
      </c>
      <c r="D345" s="256" t="s">
        <v>121</v>
      </c>
      <c r="E345" s="256" t="s">
        <v>517</v>
      </c>
      <c r="F345" s="285"/>
      <c r="G345" s="207">
        <f>G346</f>
        <v>25</v>
      </c>
      <c r="H345" s="22"/>
      <c r="I345" s="22"/>
    </row>
    <row r="346" spans="1:9" ht="15">
      <c r="A346" s="183" t="s">
        <v>6</v>
      </c>
      <c r="B346" s="257"/>
      <c r="C346" s="256" t="s">
        <v>119</v>
      </c>
      <c r="D346" s="256" t="s">
        <v>121</v>
      </c>
      <c r="E346" s="256" t="s">
        <v>518</v>
      </c>
      <c r="F346" s="285"/>
      <c r="G346" s="207">
        <f>SUM(G347)</f>
        <v>25</v>
      </c>
      <c r="H346" s="22"/>
      <c r="I346" s="22"/>
    </row>
    <row r="347" spans="1:9" ht="15">
      <c r="A347" s="183" t="s">
        <v>476</v>
      </c>
      <c r="B347" s="257"/>
      <c r="C347" s="256" t="s">
        <v>119</v>
      </c>
      <c r="D347" s="256" t="s">
        <v>121</v>
      </c>
      <c r="E347" s="256" t="s">
        <v>518</v>
      </c>
      <c r="F347" s="285" t="s">
        <v>166</v>
      </c>
      <c r="G347" s="207">
        <v>25</v>
      </c>
      <c r="H347" s="22"/>
      <c r="I347" s="22"/>
    </row>
    <row r="348" spans="1:9" ht="15">
      <c r="A348" s="183" t="s">
        <v>384</v>
      </c>
      <c r="B348" s="257"/>
      <c r="C348" s="256" t="s">
        <v>119</v>
      </c>
      <c r="D348" s="256" t="s">
        <v>374</v>
      </c>
      <c r="E348" s="225"/>
      <c r="F348" s="280"/>
      <c r="G348" s="197">
        <f>SUM(G349)</f>
        <v>6277.2</v>
      </c>
      <c r="H348" s="22">
        <v>5387.8</v>
      </c>
      <c r="I348" s="22" t="e">
        <f>SUM(H348/#REF!*100)</f>
        <v>#REF!</v>
      </c>
    </row>
    <row r="349" spans="1:9" ht="15">
      <c r="A349" s="183" t="s">
        <v>386</v>
      </c>
      <c r="B349" s="224"/>
      <c r="C349" s="256" t="s">
        <v>119</v>
      </c>
      <c r="D349" s="256" t="s">
        <v>374</v>
      </c>
      <c r="E349" s="228" t="s">
        <v>387</v>
      </c>
      <c r="F349" s="280"/>
      <c r="G349" s="197">
        <f>SUM(G350)</f>
        <v>6277.2</v>
      </c>
      <c r="H349" s="22" t="e">
        <f>SUM(H350)</f>
        <v>#REF!</v>
      </c>
      <c r="I349" s="22" t="e">
        <f>SUM(H349/#REF!*100)</f>
        <v>#REF!</v>
      </c>
    </row>
    <row r="350" spans="1:9" ht="15">
      <c r="A350" s="183" t="s">
        <v>15</v>
      </c>
      <c r="B350" s="257"/>
      <c r="C350" s="256" t="s">
        <v>119</v>
      </c>
      <c r="D350" s="256" t="s">
        <v>374</v>
      </c>
      <c r="E350" s="256" t="s">
        <v>576</v>
      </c>
      <c r="F350" s="285"/>
      <c r="G350" s="207">
        <f>SUM(G351)</f>
        <v>6277.2</v>
      </c>
      <c r="H350" s="22" t="e">
        <f>SUM(H351)</f>
        <v>#REF!</v>
      </c>
      <c r="I350" s="22" t="e">
        <f>SUM(H350/#REF!*100)</f>
        <v>#REF!</v>
      </c>
    </row>
    <row r="351" spans="1:9" ht="28.5">
      <c r="A351" s="183" t="s">
        <v>189</v>
      </c>
      <c r="B351" s="257"/>
      <c r="C351" s="256" t="s">
        <v>119</v>
      </c>
      <c r="D351" s="256" t="s">
        <v>374</v>
      </c>
      <c r="E351" s="256" t="s">
        <v>577</v>
      </c>
      <c r="F351" s="285"/>
      <c r="G351" s="207">
        <f>G352</f>
        <v>6277.2</v>
      </c>
      <c r="H351" s="22" t="e">
        <f>SUM(#REF!+#REF!)</f>
        <v>#REF!</v>
      </c>
      <c r="I351" s="22" t="e">
        <f>SUM(H351/#REF!*100)</f>
        <v>#REF!</v>
      </c>
    </row>
    <row r="352" spans="1:9" ht="28.5">
      <c r="A352" s="183" t="s">
        <v>496</v>
      </c>
      <c r="B352" s="257"/>
      <c r="C352" s="256" t="s">
        <v>119</v>
      </c>
      <c r="D352" s="256" t="s">
        <v>374</v>
      </c>
      <c r="E352" s="256" t="s">
        <v>577</v>
      </c>
      <c r="F352" s="285" t="s">
        <v>487</v>
      </c>
      <c r="G352" s="207">
        <v>6277.2</v>
      </c>
      <c r="H352" s="22">
        <v>1711.3</v>
      </c>
      <c r="I352" s="22" t="e">
        <f>SUM(H352/#REF!*100)</f>
        <v>#REF!</v>
      </c>
    </row>
    <row r="353" spans="1:9" ht="15">
      <c r="A353" s="223" t="s">
        <v>113</v>
      </c>
      <c r="B353" s="224"/>
      <c r="C353" s="225" t="s">
        <v>114</v>
      </c>
      <c r="D353" s="225"/>
      <c r="E353" s="225"/>
      <c r="F353" s="279"/>
      <c r="G353" s="197">
        <f>SUM(G354+G373)</f>
        <v>61578.399999999994</v>
      </c>
      <c r="H353" s="22">
        <v>53118.9</v>
      </c>
      <c r="I353" s="22" t="e">
        <f>SUM(H353/G360*100)</f>
        <v>#DIV/0!</v>
      </c>
    </row>
    <row r="354" spans="1:9" ht="18" customHeight="1">
      <c r="A354" s="223" t="s">
        <v>310</v>
      </c>
      <c r="B354" s="224"/>
      <c r="C354" s="228" t="s">
        <v>114</v>
      </c>
      <c r="D354" s="228" t="s">
        <v>429</v>
      </c>
      <c r="E354" s="225"/>
      <c r="F354" s="279"/>
      <c r="G354" s="197">
        <f>SUM(G355+G358+G361+G370)</f>
        <v>61578.399999999994</v>
      </c>
      <c r="H354" s="22">
        <v>27.5</v>
      </c>
      <c r="I354" s="22" t="e">
        <f>SUM(H354/G365*100)</f>
        <v>#DIV/0!</v>
      </c>
    </row>
    <row r="355" spans="1:9" ht="15" hidden="1">
      <c r="A355" s="223" t="s">
        <v>311</v>
      </c>
      <c r="B355" s="230"/>
      <c r="C355" s="228" t="s">
        <v>114</v>
      </c>
      <c r="D355" s="228" t="s">
        <v>429</v>
      </c>
      <c r="E355" s="228" t="s">
        <v>312</v>
      </c>
      <c r="F355" s="280"/>
      <c r="G355" s="197">
        <f>SUM(G356)</f>
        <v>0</v>
      </c>
      <c r="H355" s="22">
        <f>SUM(H356)</f>
        <v>25635</v>
      </c>
      <c r="I355" s="22">
        <f>SUM(H355/G366*100)</f>
        <v>41.629857222662494</v>
      </c>
    </row>
    <row r="356" spans="1:9" ht="28.5" hidden="1">
      <c r="A356" s="223" t="s">
        <v>56</v>
      </c>
      <c r="B356" s="230"/>
      <c r="C356" s="228" t="s">
        <v>114</v>
      </c>
      <c r="D356" s="228" t="s">
        <v>429</v>
      </c>
      <c r="E356" s="228" t="s">
        <v>313</v>
      </c>
      <c r="F356" s="280"/>
      <c r="G356" s="197">
        <f>SUM(G357)</f>
        <v>0</v>
      </c>
      <c r="H356" s="22">
        <v>25635</v>
      </c>
      <c r="I356" s="22">
        <f>SUM(H356/G367*100)</f>
        <v>60.09113881322639</v>
      </c>
    </row>
    <row r="357" spans="1:9" ht="15" hidden="1">
      <c r="A357" s="151" t="s">
        <v>57</v>
      </c>
      <c r="B357" s="243"/>
      <c r="C357" s="228" t="s">
        <v>114</v>
      </c>
      <c r="D357" s="228" t="s">
        <v>429</v>
      </c>
      <c r="E357" s="228" t="s">
        <v>313</v>
      </c>
      <c r="F357" s="281" t="s">
        <v>227</v>
      </c>
      <c r="G357" s="197"/>
      <c r="H357" s="22" t="e">
        <f>SUM(H358)</f>
        <v>#REF!</v>
      </c>
      <c r="I357" s="22" t="e">
        <f aca="true" t="shared" si="9" ref="I357:I364">SUM(H357/G370*100)</f>
        <v>#REF!</v>
      </c>
    </row>
    <row r="358" spans="1:9" ht="15" hidden="1">
      <c r="A358" s="223" t="s">
        <v>295</v>
      </c>
      <c r="B358" s="224"/>
      <c r="C358" s="228" t="s">
        <v>114</v>
      </c>
      <c r="D358" s="228" t="s">
        <v>429</v>
      </c>
      <c r="E358" s="228" t="s">
        <v>296</v>
      </c>
      <c r="F358" s="280"/>
      <c r="G358" s="197">
        <f>SUM(G359)</f>
        <v>0</v>
      </c>
      <c r="H358" s="22" t="e">
        <f>SUM(#REF!+H361+H363)</f>
        <v>#REF!</v>
      </c>
      <c r="I358" s="22" t="e">
        <f t="shared" si="9"/>
        <v>#REF!</v>
      </c>
    </row>
    <row r="359" spans="1:9" ht="28.5" hidden="1">
      <c r="A359" s="223" t="s">
        <v>56</v>
      </c>
      <c r="B359" s="230"/>
      <c r="C359" s="228" t="s">
        <v>114</v>
      </c>
      <c r="D359" s="228" t="s">
        <v>429</v>
      </c>
      <c r="E359" s="228" t="s">
        <v>297</v>
      </c>
      <c r="F359" s="280"/>
      <c r="G359" s="197">
        <f>SUM(G360)</f>
        <v>0</v>
      </c>
      <c r="H359" s="22">
        <v>25635</v>
      </c>
      <c r="I359" s="22" t="e">
        <f t="shared" si="9"/>
        <v>#DIV/0!</v>
      </c>
    </row>
    <row r="360" spans="1:9" ht="15" hidden="1">
      <c r="A360" s="151" t="s">
        <v>57</v>
      </c>
      <c r="B360" s="243"/>
      <c r="C360" s="228" t="s">
        <v>114</v>
      </c>
      <c r="D360" s="228" t="s">
        <v>429</v>
      </c>
      <c r="E360" s="228" t="s">
        <v>297</v>
      </c>
      <c r="F360" s="281" t="s">
        <v>227</v>
      </c>
      <c r="G360" s="197"/>
      <c r="H360" s="22">
        <f>SUM(H373+H361)</f>
        <v>0</v>
      </c>
      <c r="I360" s="22" t="e">
        <f t="shared" si="9"/>
        <v>#DIV/0!</v>
      </c>
    </row>
    <row r="361" spans="1:9" ht="32.25" customHeight="1">
      <c r="A361" s="223" t="s">
        <v>635</v>
      </c>
      <c r="B361" s="224"/>
      <c r="C361" s="228" t="s">
        <v>114</v>
      </c>
      <c r="D361" s="228" t="s">
        <v>429</v>
      </c>
      <c r="E361" s="228" t="s">
        <v>636</v>
      </c>
      <c r="F361" s="279"/>
      <c r="G361" s="197">
        <f>SUM(G362)</f>
        <v>61578.399999999994</v>
      </c>
      <c r="H361" s="22">
        <f>SUM(H362)</f>
        <v>0</v>
      </c>
      <c r="I361" s="22" t="e">
        <f t="shared" si="9"/>
        <v>#DIV/0!</v>
      </c>
    </row>
    <row r="362" spans="1:9" ht="28.5">
      <c r="A362" s="223" t="s">
        <v>56</v>
      </c>
      <c r="B362" s="224"/>
      <c r="C362" s="228" t="s">
        <v>114</v>
      </c>
      <c r="D362" s="228" t="s">
        <v>429</v>
      </c>
      <c r="E362" s="228" t="s">
        <v>637</v>
      </c>
      <c r="F362" s="279"/>
      <c r="G362" s="197">
        <f>SUM(G366+G364+G363)</f>
        <v>61578.399999999994</v>
      </c>
      <c r="H362" s="22">
        <f>SUM(H363)</f>
        <v>0</v>
      </c>
      <c r="I362" s="22" t="e">
        <f t="shared" si="9"/>
        <v>#DIV/0!</v>
      </c>
    </row>
    <row r="363" spans="1:9" ht="15" hidden="1">
      <c r="A363" s="151" t="s">
        <v>57</v>
      </c>
      <c r="B363" s="224"/>
      <c r="C363" s="228" t="s">
        <v>114</v>
      </c>
      <c r="D363" s="228" t="s">
        <v>429</v>
      </c>
      <c r="E363" s="225" t="s">
        <v>298</v>
      </c>
      <c r="F363" s="280" t="s">
        <v>227</v>
      </c>
      <c r="G363" s="197"/>
      <c r="H363" s="22"/>
      <c r="I363" s="22" t="e">
        <f t="shared" si="9"/>
        <v>#DIV/0!</v>
      </c>
    </row>
    <row r="364" spans="1:9" ht="42.75" hidden="1">
      <c r="A364" s="151" t="s">
        <v>62</v>
      </c>
      <c r="B364" s="243"/>
      <c r="C364" s="228" t="s">
        <v>114</v>
      </c>
      <c r="D364" s="228" t="s">
        <v>429</v>
      </c>
      <c r="E364" s="228" t="s">
        <v>299</v>
      </c>
      <c r="F364" s="281"/>
      <c r="G364" s="197">
        <f>SUM(G365)</f>
        <v>0</v>
      </c>
      <c r="H364" s="22" t="e">
        <f>SUM(#REF!)</f>
        <v>#REF!</v>
      </c>
      <c r="I364" s="22" t="e">
        <f t="shared" si="9"/>
        <v>#REF!</v>
      </c>
    </row>
    <row r="365" spans="1:9" ht="15" hidden="1">
      <c r="A365" s="151" t="s">
        <v>57</v>
      </c>
      <c r="B365" s="243"/>
      <c r="C365" s="228" t="s">
        <v>114</v>
      </c>
      <c r="D365" s="228" t="s">
        <v>429</v>
      </c>
      <c r="E365" s="228" t="s">
        <v>299</v>
      </c>
      <c r="F365" s="281" t="s">
        <v>227</v>
      </c>
      <c r="G365" s="197"/>
      <c r="H365" s="22"/>
      <c r="I365" s="22"/>
    </row>
    <row r="366" spans="1:9" ht="57">
      <c r="A366" s="223" t="s">
        <v>445</v>
      </c>
      <c r="B366" s="224"/>
      <c r="C366" s="228" t="s">
        <v>114</v>
      </c>
      <c r="D366" s="228" t="s">
        <v>429</v>
      </c>
      <c r="E366" s="228" t="s">
        <v>638</v>
      </c>
      <c r="F366" s="279"/>
      <c r="G366" s="197">
        <f>SUM(G367:G369)</f>
        <v>61578.399999999994</v>
      </c>
      <c r="H366" s="22"/>
      <c r="I366" s="22"/>
    </row>
    <row r="367" spans="1:9" ht="28.5">
      <c r="A367" s="223" t="s">
        <v>470</v>
      </c>
      <c r="B367" s="224"/>
      <c r="C367" s="228" t="s">
        <v>114</v>
      </c>
      <c r="D367" s="228" t="s">
        <v>429</v>
      </c>
      <c r="E367" s="228" t="s">
        <v>638</v>
      </c>
      <c r="F367" s="279" t="s">
        <v>471</v>
      </c>
      <c r="G367" s="197">
        <v>42660.2</v>
      </c>
      <c r="H367" s="22" t="e">
        <f>SUM(H373+H377+#REF!+#REF!+H370)</f>
        <v>#REF!</v>
      </c>
      <c r="I367" s="22" t="e">
        <f>SUM(H367/#REF!*100)</f>
        <v>#REF!</v>
      </c>
    </row>
    <row r="368" spans="1:9" ht="21" customHeight="1">
      <c r="A368" s="223" t="s">
        <v>475</v>
      </c>
      <c r="B368" s="224"/>
      <c r="C368" s="228" t="s">
        <v>114</v>
      </c>
      <c r="D368" s="228" t="s">
        <v>429</v>
      </c>
      <c r="E368" s="228" t="s">
        <v>638</v>
      </c>
      <c r="F368" s="279" t="s">
        <v>117</v>
      </c>
      <c r="G368" s="197">
        <v>18918.2</v>
      </c>
      <c r="H368" s="22"/>
      <c r="I368" s="22"/>
    </row>
    <row r="369" spans="1:9" ht="15" hidden="1">
      <c r="A369" s="223" t="s">
        <v>476</v>
      </c>
      <c r="B369" s="224"/>
      <c r="C369" s="228" t="s">
        <v>114</v>
      </c>
      <c r="D369" s="228" t="s">
        <v>429</v>
      </c>
      <c r="E369" s="228" t="s">
        <v>302</v>
      </c>
      <c r="F369" s="279" t="s">
        <v>166</v>
      </c>
      <c r="G369" s="197"/>
      <c r="H369" s="22"/>
      <c r="I369" s="22"/>
    </row>
    <row r="370" spans="1:9" ht="15" hidden="1">
      <c r="A370" s="223" t="s">
        <v>303</v>
      </c>
      <c r="B370" s="232"/>
      <c r="C370" s="228" t="s">
        <v>114</v>
      </c>
      <c r="D370" s="228" t="s">
        <v>429</v>
      </c>
      <c r="E370" s="228" t="s">
        <v>304</v>
      </c>
      <c r="F370" s="280"/>
      <c r="G370" s="197">
        <f>SUM(G371)</f>
        <v>0</v>
      </c>
      <c r="H370" s="22">
        <f>SUM(H371)</f>
        <v>17823.6</v>
      </c>
      <c r="I370" s="22" t="e">
        <f>SUM(H370/#REF!*100)</f>
        <v>#REF!</v>
      </c>
    </row>
    <row r="371" spans="1:9" ht="28.5" hidden="1">
      <c r="A371" s="223" t="s">
        <v>56</v>
      </c>
      <c r="B371" s="230"/>
      <c r="C371" s="228" t="s">
        <v>114</v>
      </c>
      <c r="D371" s="228" t="s">
        <v>429</v>
      </c>
      <c r="E371" s="228" t="s">
        <v>305</v>
      </c>
      <c r="F371" s="280"/>
      <c r="G371" s="197">
        <f>SUM(G372)</f>
        <v>0</v>
      </c>
      <c r="H371" s="22">
        <f>SUM(H372+H373+H375)</f>
        <v>17823.6</v>
      </c>
      <c r="I371" s="22" t="e">
        <f>SUM(H371/#REF!*100)</f>
        <v>#REF!</v>
      </c>
    </row>
    <row r="372" spans="1:9" ht="15" hidden="1">
      <c r="A372" s="151" t="s">
        <v>57</v>
      </c>
      <c r="B372" s="224"/>
      <c r="C372" s="228" t="s">
        <v>114</v>
      </c>
      <c r="D372" s="228" t="s">
        <v>429</v>
      </c>
      <c r="E372" s="228" t="s">
        <v>305</v>
      </c>
      <c r="F372" s="279" t="s">
        <v>227</v>
      </c>
      <c r="G372" s="197"/>
      <c r="H372" s="22">
        <v>17823.6</v>
      </c>
      <c r="I372" s="22" t="e">
        <f>SUM(H372/#REF!*100)</f>
        <v>#REF!</v>
      </c>
    </row>
    <row r="373" spans="1:9" ht="15" hidden="1">
      <c r="A373" s="223" t="s">
        <v>115</v>
      </c>
      <c r="B373" s="224"/>
      <c r="C373" s="225" t="s">
        <v>114</v>
      </c>
      <c r="D373" s="225" t="s">
        <v>114</v>
      </c>
      <c r="E373" s="228"/>
      <c r="F373" s="279"/>
      <c r="G373" s="197">
        <f>SUM(G374+G377)</f>
        <v>0</v>
      </c>
      <c r="H373" s="22">
        <f>SUM(H374)</f>
        <v>0</v>
      </c>
      <c r="I373" s="22" t="e">
        <f>SUM(H373/#REF!*100)</f>
        <v>#REF!</v>
      </c>
    </row>
    <row r="374" spans="1:9" ht="15" hidden="1">
      <c r="A374" s="183" t="s">
        <v>208</v>
      </c>
      <c r="B374" s="232"/>
      <c r="C374" s="228" t="s">
        <v>114</v>
      </c>
      <c r="D374" s="228" t="s">
        <v>114</v>
      </c>
      <c r="E374" s="228" t="s">
        <v>209</v>
      </c>
      <c r="F374" s="280"/>
      <c r="G374" s="197">
        <f>SUM(G375)</f>
        <v>0</v>
      </c>
      <c r="H374" s="22">
        <f>SUM(H375)</f>
        <v>0</v>
      </c>
      <c r="I374" s="22" t="e">
        <f>SUM(H374/#REF!*100)</f>
        <v>#REF!</v>
      </c>
    </row>
    <row r="375" spans="1:9" s="145" customFormat="1" ht="28.5" hidden="1">
      <c r="A375" s="223" t="s">
        <v>56</v>
      </c>
      <c r="B375" s="232"/>
      <c r="C375" s="228" t="s">
        <v>114</v>
      </c>
      <c r="D375" s="228" t="s">
        <v>114</v>
      </c>
      <c r="E375" s="228" t="s">
        <v>212</v>
      </c>
      <c r="F375" s="280"/>
      <c r="G375" s="197">
        <f>SUM(G376)</f>
        <v>0</v>
      </c>
      <c r="H375" s="22"/>
      <c r="I375" s="22" t="e">
        <f>SUM(H375/#REF!*100)</f>
        <v>#REF!</v>
      </c>
    </row>
    <row r="376" spans="1:9" s="145" customFormat="1" ht="15" hidden="1">
      <c r="A376" s="151" t="s">
        <v>57</v>
      </c>
      <c r="B376" s="232"/>
      <c r="C376" s="228" t="s">
        <v>114</v>
      </c>
      <c r="D376" s="228" t="s">
        <v>114</v>
      </c>
      <c r="E376" s="228" t="s">
        <v>212</v>
      </c>
      <c r="F376" s="280" t="s">
        <v>227</v>
      </c>
      <c r="G376" s="197"/>
      <c r="H376" s="22">
        <f>SUM(H377)</f>
        <v>119.8</v>
      </c>
      <c r="I376" s="22" t="e">
        <f>SUM(H376/#REF!*100)</f>
        <v>#REF!</v>
      </c>
    </row>
    <row r="377" spans="1:9" s="145" customFormat="1" ht="15" hidden="1">
      <c r="A377" s="151" t="s">
        <v>125</v>
      </c>
      <c r="B377" s="244"/>
      <c r="C377" s="228" t="s">
        <v>114</v>
      </c>
      <c r="D377" s="228" t="s">
        <v>114</v>
      </c>
      <c r="E377" s="228" t="s">
        <v>126</v>
      </c>
      <c r="F377" s="281"/>
      <c r="G377" s="197">
        <f>SUM(G378)</f>
        <v>0</v>
      </c>
      <c r="H377" s="22">
        <f>SUM(H378)</f>
        <v>119.8</v>
      </c>
      <c r="I377" s="22" t="e">
        <f>SUM(H377/#REF!*100)</f>
        <v>#REF!</v>
      </c>
    </row>
    <row r="378" spans="1:9" s="145" customFormat="1" ht="42.75" hidden="1">
      <c r="A378" s="236" t="s">
        <v>337</v>
      </c>
      <c r="B378" s="244"/>
      <c r="C378" s="228" t="s">
        <v>114</v>
      </c>
      <c r="D378" s="228" t="s">
        <v>114</v>
      </c>
      <c r="E378" s="228" t="s">
        <v>336</v>
      </c>
      <c r="F378" s="281"/>
      <c r="G378" s="197">
        <f>SUM(G379)</f>
        <v>0</v>
      </c>
      <c r="H378" s="22">
        <v>119.8</v>
      </c>
      <c r="I378" s="22" t="e">
        <f>SUM(H378/#REF!*100)</f>
        <v>#REF!</v>
      </c>
    </row>
    <row r="379" spans="1:9" ht="15" hidden="1">
      <c r="A379" s="151" t="s">
        <v>206</v>
      </c>
      <c r="B379" s="244"/>
      <c r="C379" s="228" t="s">
        <v>114</v>
      </c>
      <c r="D379" s="228" t="s">
        <v>114</v>
      </c>
      <c r="E379" s="228" t="s">
        <v>336</v>
      </c>
      <c r="F379" s="281" t="s">
        <v>207</v>
      </c>
      <c r="G379" s="197"/>
      <c r="H379" s="22" t="e">
        <f>SUM(#REF!+H385)</f>
        <v>#REF!</v>
      </c>
      <c r="I379" s="22" t="e">
        <f>SUM(H379/#REF!*100)</f>
        <v>#REF!</v>
      </c>
    </row>
    <row r="380" spans="1:9" ht="18.75" customHeight="1">
      <c r="A380" s="223" t="s">
        <v>173</v>
      </c>
      <c r="B380" s="224"/>
      <c r="C380" s="225" t="s">
        <v>5</v>
      </c>
      <c r="D380" s="225"/>
      <c r="E380" s="225"/>
      <c r="F380" s="279"/>
      <c r="G380" s="197">
        <f>SUM(G381+G385+G399+G485+G497)</f>
        <v>852532.0000000001</v>
      </c>
      <c r="H380" s="22" t="e">
        <f>SUM(H381+H383)</f>
        <v>#REF!</v>
      </c>
      <c r="I380" s="22" t="e">
        <f>SUM(H380/G391*100)</f>
        <v>#REF!</v>
      </c>
    </row>
    <row r="381" spans="1:9" ht="15">
      <c r="A381" s="223" t="s">
        <v>175</v>
      </c>
      <c r="B381" s="224"/>
      <c r="C381" s="225" t="s">
        <v>5</v>
      </c>
      <c r="D381" s="225" t="s">
        <v>427</v>
      </c>
      <c r="E381" s="225"/>
      <c r="F381" s="279"/>
      <c r="G381" s="197">
        <f>SUM(G382)</f>
        <v>4100.5</v>
      </c>
      <c r="H381" s="22" t="e">
        <f>SUM(#REF!)</f>
        <v>#REF!</v>
      </c>
      <c r="I381" s="22" t="e">
        <f>SUM(H381/G392*100)</f>
        <v>#REF!</v>
      </c>
    </row>
    <row r="382" spans="1:9" ht="15">
      <c r="A382" s="223" t="s">
        <v>176</v>
      </c>
      <c r="B382" s="224"/>
      <c r="C382" s="225" t="s">
        <v>5</v>
      </c>
      <c r="D382" s="225" t="s">
        <v>427</v>
      </c>
      <c r="E382" s="225" t="s">
        <v>177</v>
      </c>
      <c r="F382" s="279"/>
      <c r="G382" s="197">
        <f>SUM(G383)</f>
        <v>4100.5</v>
      </c>
      <c r="H382" s="22"/>
      <c r="I382" s="22"/>
    </row>
    <row r="383" spans="1:9" ht="28.5">
      <c r="A383" s="223" t="s">
        <v>178</v>
      </c>
      <c r="B383" s="224"/>
      <c r="C383" s="225" t="s">
        <v>5</v>
      </c>
      <c r="D383" s="225" t="s">
        <v>427</v>
      </c>
      <c r="E383" s="225" t="s">
        <v>179</v>
      </c>
      <c r="F383" s="279"/>
      <c r="G383" s="197">
        <f>SUM(G384)</f>
        <v>4100.5</v>
      </c>
      <c r="H383" s="22">
        <f>SUM(H384)</f>
        <v>16618.3</v>
      </c>
      <c r="I383" s="22">
        <f>SUM(H383/G395*100)</f>
        <v>34.23728743721492</v>
      </c>
    </row>
    <row r="384" spans="1:9" ht="15">
      <c r="A384" s="223" t="s">
        <v>480</v>
      </c>
      <c r="B384" s="224"/>
      <c r="C384" s="225" t="s">
        <v>5</v>
      </c>
      <c r="D384" s="225" t="s">
        <v>427</v>
      </c>
      <c r="E384" s="225" t="s">
        <v>179</v>
      </c>
      <c r="F384" s="279" t="s">
        <v>481</v>
      </c>
      <c r="G384" s="197">
        <v>4100.5</v>
      </c>
      <c r="H384" s="22">
        <v>16618.3</v>
      </c>
      <c r="I384" s="22" t="e">
        <f>SUM(H384/#REF!*100)</f>
        <v>#REF!</v>
      </c>
    </row>
    <row r="385" spans="1:9" ht="15">
      <c r="A385" s="223" t="s">
        <v>180</v>
      </c>
      <c r="B385" s="224"/>
      <c r="C385" s="228" t="s">
        <v>5</v>
      </c>
      <c r="D385" s="228" t="s">
        <v>429</v>
      </c>
      <c r="E385" s="225"/>
      <c r="F385" s="279"/>
      <c r="G385" s="197">
        <f>SUM(G386+G391)</f>
        <v>50271.6</v>
      </c>
      <c r="H385" s="22" t="e">
        <f>SUM(H389+H428+H432+H386)</f>
        <v>#REF!</v>
      </c>
      <c r="I385" s="22" t="e">
        <f>SUM(H385/G399*100)</f>
        <v>#REF!</v>
      </c>
    </row>
    <row r="386" spans="1:9" ht="15" hidden="1">
      <c r="A386" s="245" t="s">
        <v>74</v>
      </c>
      <c r="B386" s="224"/>
      <c r="C386" s="228" t="s">
        <v>5</v>
      </c>
      <c r="D386" s="228" t="s">
        <v>429</v>
      </c>
      <c r="E386" s="228" t="s">
        <v>75</v>
      </c>
      <c r="F386" s="280"/>
      <c r="G386" s="197"/>
      <c r="H386" s="22">
        <f>SUM(H388)</f>
        <v>200</v>
      </c>
      <c r="I386" s="22" t="e">
        <f>SUM(H386/G400*100)</f>
        <v>#DIV/0!</v>
      </c>
    </row>
    <row r="387" spans="1:9" ht="28.5" hidden="1">
      <c r="A387" s="245" t="s">
        <v>17</v>
      </c>
      <c r="B387" s="224"/>
      <c r="C387" s="228" t="s">
        <v>5</v>
      </c>
      <c r="D387" s="228" t="s">
        <v>429</v>
      </c>
      <c r="E387" s="228" t="s">
        <v>18</v>
      </c>
      <c r="F387" s="280"/>
      <c r="G387" s="197">
        <f>SUM(G388+G389)</f>
        <v>0</v>
      </c>
      <c r="H387" s="22">
        <f>SUM(H388)</f>
        <v>200</v>
      </c>
      <c r="I387" s="22" t="e">
        <f>SUM(H387/G401*100)</f>
        <v>#DIV/0!</v>
      </c>
    </row>
    <row r="388" spans="1:9" ht="15" hidden="1">
      <c r="A388" s="183" t="s">
        <v>226</v>
      </c>
      <c r="B388" s="224"/>
      <c r="C388" s="228" t="s">
        <v>5</v>
      </c>
      <c r="D388" s="228" t="s">
        <v>429</v>
      </c>
      <c r="E388" s="228" t="s">
        <v>18</v>
      </c>
      <c r="F388" s="280" t="s">
        <v>227</v>
      </c>
      <c r="G388" s="197"/>
      <c r="H388" s="22">
        <v>200</v>
      </c>
      <c r="I388" s="22" t="e">
        <f>SUM(H388/G402*100)</f>
        <v>#DIV/0!</v>
      </c>
    </row>
    <row r="389" spans="1:9" ht="28.5" hidden="1">
      <c r="A389" s="245" t="s">
        <v>19</v>
      </c>
      <c r="B389" s="224"/>
      <c r="C389" s="228" t="s">
        <v>5</v>
      </c>
      <c r="D389" s="228" t="s">
        <v>429</v>
      </c>
      <c r="E389" s="228" t="s">
        <v>20</v>
      </c>
      <c r="F389" s="280"/>
      <c r="G389" s="197">
        <f>SUM(G390)</f>
        <v>0</v>
      </c>
      <c r="H389" s="22" t="e">
        <f>SUM(H390+H392+H394+H400+H402+#REF!+#REF!+#REF!+#REF!+#REF!+#REF!+#REF!+#REF!+#REF!+#REF!+#REF!+#REF!+#REF!+#REF!+#REF!+H397)</f>
        <v>#REF!</v>
      </c>
      <c r="I389" s="22" t="e">
        <f>SUM(H389/G403*100)</f>
        <v>#REF!</v>
      </c>
    </row>
    <row r="390" spans="1:9" ht="15" hidden="1">
      <c r="A390" s="183" t="s">
        <v>226</v>
      </c>
      <c r="B390" s="224"/>
      <c r="C390" s="228" t="s">
        <v>5</v>
      </c>
      <c r="D390" s="228" t="s">
        <v>429</v>
      </c>
      <c r="E390" s="228" t="s">
        <v>20</v>
      </c>
      <c r="F390" s="280" t="s">
        <v>227</v>
      </c>
      <c r="G390" s="197"/>
      <c r="H390" s="22">
        <f>SUM(H391:H391)</f>
        <v>0</v>
      </c>
      <c r="I390" s="22" t="e">
        <f>SUM(H390/#REF!*100)</f>
        <v>#REF!</v>
      </c>
    </row>
    <row r="391" spans="1:9" ht="15">
      <c r="A391" s="245" t="s">
        <v>74</v>
      </c>
      <c r="B391" s="224"/>
      <c r="C391" s="228" t="s">
        <v>5</v>
      </c>
      <c r="D391" s="228" t="s">
        <v>429</v>
      </c>
      <c r="E391" s="228" t="s">
        <v>21</v>
      </c>
      <c r="F391" s="280"/>
      <c r="G391" s="197">
        <f>SUM(G392+G395)</f>
        <v>50271.6</v>
      </c>
      <c r="H391" s="22"/>
      <c r="I391" s="22" t="e">
        <f>SUM(H391/#REF!*100)</f>
        <v>#REF!</v>
      </c>
    </row>
    <row r="392" spans="1:9" ht="28.5">
      <c r="A392" s="183" t="s">
        <v>56</v>
      </c>
      <c r="B392" s="224"/>
      <c r="C392" s="228" t="s">
        <v>5</v>
      </c>
      <c r="D392" s="228" t="s">
        <v>429</v>
      </c>
      <c r="E392" s="228" t="s">
        <v>22</v>
      </c>
      <c r="F392" s="280"/>
      <c r="G392" s="197">
        <f>SUM(G393:G394)</f>
        <v>1733</v>
      </c>
      <c r="H392" s="22">
        <f>SUM(H393:H393)</f>
        <v>0</v>
      </c>
      <c r="I392" s="22" t="e">
        <f>SUM(H392/#REF!*100)</f>
        <v>#REF!</v>
      </c>
    </row>
    <row r="393" spans="1:9" ht="28.5">
      <c r="A393" s="223" t="s">
        <v>470</v>
      </c>
      <c r="B393" s="224"/>
      <c r="C393" s="228" t="s">
        <v>5</v>
      </c>
      <c r="D393" s="228" t="s">
        <v>429</v>
      </c>
      <c r="E393" s="228" t="s">
        <v>22</v>
      </c>
      <c r="F393" s="279" t="s">
        <v>471</v>
      </c>
      <c r="G393" s="197">
        <v>633.7</v>
      </c>
      <c r="H393" s="22"/>
      <c r="I393" s="22" t="e">
        <f>SUM(H393/#REF!*100)</f>
        <v>#REF!</v>
      </c>
    </row>
    <row r="394" spans="1:9" ht="15">
      <c r="A394" s="223" t="s">
        <v>475</v>
      </c>
      <c r="B394" s="224"/>
      <c r="C394" s="228" t="s">
        <v>5</v>
      </c>
      <c r="D394" s="228" t="s">
        <v>429</v>
      </c>
      <c r="E394" s="228" t="s">
        <v>22</v>
      </c>
      <c r="F394" s="279" t="s">
        <v>117</v>
      </c>
      <c r="G394" s="197">
        <v>1099.3</v>
      </c>
      <c r="H394" s="22" t="e">
        <f>SUM(#REF!)</f>
        <v>#REF!</v>
      </c>
      <c r="I394" s="22" t="e">
        <f>SUM(H394/#REF!*100)</f>
        <v>#REF!</v>
      </c>
    </row>
    <row r="395" spans="1:9" ht="28.5">
      <c r="A395" s="183" t="s">
        <v>23</v>
      </c>
      <c r="B395" s="224"/>
      <c r="C395" s="228" t="s">
        <v>5</v>
      </c>
      <c r="D395" s="228" t="s">
        <v>429</v>
      </c>
      <c r="E395" s="228" t="s">
        <v>24</v>
      </c>
      <c r="F395" s="280"/>
      <c r="G395" s="197">
        <f>SUM(G396:G398)</f>
        <v>48538.6</v>
      </c>
      <c r="H395" s="22">
        <v>634.3</v>
      </c>
      <c r="I395" s="22" t="e">
        <f>SUM(H395/#REF!*100)</f>
        <v>#REF!</v>
      </c>
    </row>
    <row r="396" spans="1:9" ht="28.5">
      <c r="A396" s="223" t="s">
        <v>470</v>
      </c>
      <c r="B396" s="224"/>
      <c r="C396" s="228" t="s">
        <v>5</v>
      </c>
      <c r="D396" s="228" t="s">
        <v>429</v>
      </c>
      <c r="E396" s="228" t="s">
        <v>24</v>
      </c>
      <c r="F396" s="279" t="s">
        <v>471</v>
      </c>
      <c r="G396" s="197">
        <v>40781.7</v>
      </c>
      <c r="H396" s="22"/>
      <c r="I396" s="22"/>
    </row>
    <row r="397" spans="1:9" ht="15">
      <c r="A397" s="223" t="s">
        <v>475</v>
      </c>
      <c r="B397" s="224"/>
      <c r="C397" s="228" t="s">
        <v>5</v>
      </c>
      <c r="D397" s="228" t="s">
        <v>429</v>
      </c>
      <c r="E397" s="228" t="s">
        <v>24</v>
      </c>
      <c r="F397" s="279" t="s">
        <v>117</v>
      </c>
      <c r="G397" s="197">
        <v>7756.9</v>
      </c>
      <c r="H397" s="22">
        <f>SUM(H398)</f>
        <v>542.8</v>
      </c>
      <c r="I397" s="22" t="e">
        <f>SUM(H397/#REF!*100)</f>
        <v>#REF!</v>
      </c>
    </row>
    <row r="398" spans="1:9" ht="15" hidden="1">
      <c r="A398" s="223" t="s">
        <v>476</v>
      </c>
      <c r="B398" s="224"/>
      <c r="C398" s="228" t="s">
        <v>5</v>
      </c>
      <c r="D398" s="228" t="s">
        <v>429</v>
      </c>
      <c r="E398" s="228" t="s">
        <v>24</v>
      </c>
      <c r="F398" s="279" t="s">
        <v>166</v>
      </c>
      <c r="G398" s="197"/>
      <c r="H398" s="22">
        <v>542.8</v>
      </c>
      <c r="I398" s="22" t="e">
        <f>SUM(H398/#REF!*100)</f>
        <v>#REF!</v>
      </c>
    </row>
    <row r="399" spans="1:9" ht="15">
      <c r="A399" s="223" t="s">
        <v>25</v>
      </c>
      <c r="B399" s="224"/>
      <c r="C399" s="225" t="s">
        <v>5</v>
      </c>
      <c r="D399" s="225" t="s">
        <v>103</v>
      </c>
      <c r="E399" s="225"/>
      <c r="F399" s="279"/>
      <c r="G399" s="197">
        <f>SUM(G403+G439+G482)+G443+G466</f>
        <v>737153.7000000001</v>
      </c>
      <c r="H399" s="22">
        <v>542.8</v>
      </c>
      <c r="I399" s="22" t="e">
        <f>SUM(H399/#REF!*100)</f>
        <v>#REF!</v>
      </c>
    </row>
    <row r="400" spans="1:9" s="142" customFormat="1" ht="15.75" hidden="1">
      <c r="A400" s="223" t="s">
        <v>373</v>
      </c>
      <c r="B400" s="224"/>
      <c r="C400" s="225" t="s">
        <v>5</v>
      </c>
      <c r="D400" s="225" t="s">
        <v>103</v>
      </c>
      <c r="E400" s="225" t="s">
        <v>375</v>
      </c>
      <c r="F400" s="279"/>
      <c r="G400" s="197">
        <f>SUM(G402)</f>
        <v>0</v>
      </c>
      <c r="H400" s="22">
        <f>SUM(H401)</f>
        <v>1313.1</v>
      </c>
      <c r="I400" s="22" t="e">
        <f>SUM(H400/#REF!*100)</f>
        <v>#REF!</v>
      </c>
    </row>
    <row r="401" spans="1:9" s="142" customFormat="1" ht="15.75" hidden="1">
      <c r="A401" s="223" t="s">
        <v>355</v>
      </c>
      <c r="B401" s="224"/>
      <c r="C401" s="225" t="s">
        <v>5</v>
      </c>
      <c r="D401" s="225" t="s">
        <v>103</v>
      </c>
      <c r="E401" s="225" t="s">
        <v>356</v>
      </c>
      <c r="F401" s="279"/>
      <c r="G401" s="197">
        <f>SUM(G402)</f>
        <v>0</v>
      </c>
      <c r="H401" s="22">
        <v>1313.1</v>
      </c>
      <c r="I401" s="22" t="e">
        <f>SUM(H401/#REF!*100)</f>
        <v>#REF!</v>
      </c>
    </row>
    <row r="402" spans="1:9" s="142" customFormat="1" ht="15.75" hidden="1">
      <c r="A402" s="223" t="s">
        <v>275</v>
      </c>
      <c r="B402" s="232"/>
      <c r="C402" s="225" t="s">
        <v>5</v>
      </c>
      <c r="D402" s="225" t="s">
        <v>103</v>
      </c>
      <c r="E402" s="225" t="s">
        <v>356</v>
      </c>
      <c r="F402" s="280" t="s">
        <v>276</v>
      </c>
      <c r="G402" s="197"/>
      <c r="H402" s="22">
        <f>SUM(H403)</f>
        <v>6301</v>
      </c>
      <c r="I402" s="22" t="e">
        <f>SUM(H402/#REF!*100)</f>
        <v>#REF!</v>
      </c>
    </row>
    <row r="403" spans="1:9" s="142" customFormat="1" ht="15.75">
      <c r="A403" s="223" t="s">
        <v>26</v>
      </c>
      <c r="B403" s="224"/>
      <c r="C403" s="225" t="s">
        <v>5</v>
      </c>
      <c r="D403" s="225" t="s">
        <v>103</v>
      </c>
      <c r="E403" s="225" t="s">
        <v>27</v>
      </c>
      <c r="F403" s="279"/>
      <c r="G403" s="197">
        <f>SUM(G404+G413+G416+G419+G422+G425)+G407+G410</f>
        <v>284427.2</v>
      </c>
      <c r="H403" s="22">
        <v>6301</v>
      </c>
      <c r="I403" s="22" t="e">
        <f>SUM(H403/#REF!*100)</f>
        <v>#REF!</v>
      </c>
    </row>
    <row r="404" spans="1:9" ht="28.5">
      <c r="A404" s="223" t="s">
        <v>266</v>
      </c>
      <c r="B404" s="224"/>
      <c r="C404" s="228" t="s">
        <v>5</v>
      </c>
      <c r="D404" s="228" t="s">
        <v>103</v>
      </c>
      <c r="E404" s="228" t="s">
        <v>267</v>
      </c>
      <c r="F404" s="280"/>
      <c r="G404" s="197">
        <f>SUM(G405:G406)</f>
        <v>100501.3</v>
      </c>
      <c r="H404" s="22">
        <f>SUM(H406)</f>
        <v>8082.5</v>
      </c>
      <c r="I404" s="22" t="e">
        <f>SUM(H404/#REF!*100)</f>
        <v>#REF!</v>
      </c>
    </row>
    <row r="405" spans="1:9" ht="15">
      <c r="A405" s="223" t="s">
        <v>475</v>
      </c>
      <c r="B405" s="224"/>
      <c r="C405" s="228" t="s">
        <v>5</v>
      </c>
      <c r="D405" s="228" t="s">
        <v>103</v>
      </c>
      <c r="E405" s="228" t="s">
        <v>267</v>
      </c>
      <c r="F405" s="280" t="s">
        <v>117</v>
      </c>
      <c r="G405" s="197">
        <v>1970.6</v>
      </c>
      <c r="H405" s="22"/>
      <c r="I405" s="22"/>
    </row>
    <row r="406" spans="1:9" ht="15">
      <c r="A406" s="223" t="s">
        <v>480</v>
      </c>
      <c r="B406" s="224"/>
      <c r="C406" s="228" t="s">
        <v>5</v>
      </c>
      <c r="D406" s="228" t="s">
        <v>103</v>
      </c>
      <c r="E406" s="228" t="s">
        <v>267</v>
      </c>
      <c r="F406" s="280" t="s">
        <v>481</v>
      </c>
      <c r="G406" s="197">
        <v>98530.7</v>
      </c>
      <c r="H406" s="22">
        <v>8082.5</v>
      </c>
      <c r="I406" s="22" t="e">
        <f>SUM(H406/#REF!*100)</f>
        <v>#REF!</v>
      </c>
    </row>
    <row r="407" spans="1:9" ht="42.75">
      <c r="A407" s="301" t="s">
        <v>640</v>
      </c>
      <c r="B407" s="292"/>
      <c r="C407" s="264" t="s">
        <v>5</v>
      </c>
      <c r="D407" s="264" t="s">
        <v>103</v>
      </c>
      <c r="E407" s="264" t="s">
        <v>641</v>
      </c>
      <c r="F407" s="293"/>
      <c r="G407" s="270">
        <f>G408+G409</f>
        <v>2047.3999999999999</v>
      </c>
      <c r="H407" s="22"/>
      <c r="I407" s="22"/>
    </row>
    <row r="408" spans="1:9" ht="15">
      <c r="A408" s="301" t="s">
        <v>475</v>
      </c>
      <c r="B408" s="292"/>
      <c r="C408" s="264" t="s">
        <v>5</v>
      </c>
      <c r="D408" s="264" t="s">
        <v>103</v>
      </c>
      <c r="E408" s="264" t="s">
        <v>641</v>
      </c>
      <c r="F408" s="293" t="s">
        <v>117</v>
      </c>
      <c r="G408" s="270">
        <v>30.3</v>
      </c>
      <c r="H408" s="22"/>
      <c r="I408" s="22"/>
    </row>
    <row r="409" spans="1:9" ht="15">
      <c r="A409" s="301" t="s">
        <v>480</v>
      </c>
      <c r="B409" s="292"/>
      <c r="C409" s="264" t="s">
        <v>5</v>
      </c>
      <c r="D409" s="264" t="s">
        <v>103</v>
      </c>
      <c r="E409" s="264" t="s">
        <v>641</v>
      </c>
      <c r="F409" s="293" t="s">
        <v>481</v>
      </c>
      <c r="G409" s="270">
        <v>2017.1</v>
      </c>
      <c r="H409" s="22"/>
      <c r="I409" s="22"/>
    </row>
    <row r="410" spans="1:9" ht="42.75">
      <c r="A410" s="301" t="s">
        <v>642</v>
      </c>
      <c r="B410" s="292"/>
      <c r="C410" s="264" t="s">
        <v>5</v>
      </c>
      <c r="D410" s="264" t="s">
        <v>103</v>
      </c>
      <c r="E410" s="264" t="s">
        <v>643</v>
      </c>
      <c r="F410" s="293"/>
      <c r="G410" s="270">
        <f>G411+G412</f>
        <v>11566.5</v>
      </c>
      <c r="H410" s="22"/>
      <c r="I410" s="22"/>
    </row>
    <row r="411" spans="1:9" ht="15">
      <c r="A411" s="301" t="s">
        <v>475</v>
      </c>
      <c r="B411" s="292"/>
      <c r="C411" s="264" t="s">
        <v>5</v>
      </c>
      <c r="D411" s="264" t="s">
        <v>103</v>
      </c>
      <c r="E411" s="264" t="s">
        <v>643</v>
      </c>
      <c r="F411" s="293" t="s">
        <v>117</v>
      </c>
      <c r="G411" s="270">
        <v>170.9</v>
      </c>
      <c r="H411" s="22"/>
      <c r="I411" s="22"/>
    </row>
    <row r="412" spans="1:9" ht="15">
      <c r="A412" s="301" t="s">
        <v>480</v>
      </c>
      <c r="B412" s="292"/>
      <c r="C412" s="264" t="s">
        <v>5</v>
      </c>
      <c r="D412" s="264" t="s">
        <v>103</v>
      </c>
      <c r="E412" s="264" t="s">
        <v>643</v>
      </c>
      <c r="F412" s="293" t="s">
        <v>481</v>
      </c>
      <c r="G412" s="270">
        <v>11395.6</v>
      </c>
      <c r="H412" s="22"/>
      <c r="I412" s="22"/>
    </row>
    <row r="413" spans="1:9" ht="15">
      <c r="A413" s="223" t="s">
        <v>265</v>
      </c>
      <c r="B413" s="224"/>
      <c r="C413" s="228" t="s">
        <v>5</v>
      </c>
      <c r="D413" s="228" t="s">
        <v>103</v>
      </c>
      <c r="E413" s="228" t="s">
        <v>545</v>
      </c>
      <c r="F413" s="280"/>
      <c r="G413" s="197">
        <f>SUM(G414:G415)</f>
        <v>159864</v>
      </c>
      <c r="H413" s="22">
        <f>SUM(H415)</f>
        <v>70381.4</v>
      </c>
      <c r="I413" s="22" t="e">
        <f>SUM(H413/#REF!*100)</f>
        <v>#REF!</v>
      </c>
    </row>
    <row r="414" spans="1:9" ht="15">
      <c r="A414" s="223" t="s">
        <v>475</v>
      </c>
      <c r="B414" s="224"/>
      <c r="C414" s="228" t="s">
        <v>5</v>
      </c>
      <c r="D414" s="228" t="s">
        <v>103</v>
      </c>
      <c r="E414" s="228" t="s">
        <v>545</v>
      </c>
      <c r="F414" s="280" t="s">
        <v>117</v>
      </c>
      <c r="G414" s="197">
        <v>2362.5</v>
      </c>
      <c r="H414" s="22"/>
      <c r="I414" s="22"/>
    </row>
    <row r="415" spans="1:9" ht="15">
      <c r="A415" s="223" t="s">
        <v>480</v>
      </c>
      <c r="B415" s="232"/>
      <c r="C415" s="228" t="s">
        <v>5</v>
      </c>
      <c r="D415" s="228" t="s">
        <v>103</v>
      </c>
      <c r="E415" s="228" t="s">
        <v>545</v>
      </c>
      <c r="F415" s="280" t="s">
        <v>481</v>
      </c>
      <c r="G415" s="197">
        <v>157501.5</v>
      </c>
      <c r="H415" s="22">
        <v>70381.4</v>
      </c>
      <c r="I415" s="22" t="e">
        <f>SUM(H415/#REF!*100)</f>
        <v>#REF!</v>
      </c>
    </row>
    <row r="416" spans="1:9" ht="42.75">
      <c r="A416" s="187" t="s">
        <v>264</v>
      </c>
      <c r="B416" s="224"/>
      <c r="C416" s="228" t="s">
        <v>5</v>
      </c>
      <c r="D416" s="228" t="s">
        <v>103</v>
      </c>
      <c r="E416" s="228" t="s">
        <v>546</v>
      </c>
      <c r="F416" s="280"/>
      <c r="G416" s="197">
        <f>SUM(G417:G418)</f>
        <v>77.10000000000001</v>
      </c>
      <c r="H416" s="22"/>
      <c r="I416" s="22"/>
    </row>
    <row r="417" spans="1:9" ht="15">
      <c r="A417" s="223" t="s">
        <v>475</v>
      </c>
      <c r="B417" s="224"/>
      <c r="C417" s="228" t="s">
        <v>5</v>
      </c>
      <c r="D417" s="228" t="s">
        <v>103</v>
      </c>
      <c r="E417" s="228" t="s">
        <v>546</v>
      </c>
      <c r="F417" s="280" t="s">
        <v>117</v>
      </c>
      <c r="G417" s="197">
        <v>1.2</v>
      </c>
      <c r="H417" s="22"/>
      <c r="I417" s="22"/>
    </row>
    <row r="418" spans="1:9" ht="15">
      <c r="A418" s="223" t="s">
        <v>480</v>
      </c>
      <c r="B418" s="224"/>
      <c r="C418" s="228" t="s">
        <v>5</v>
      </c>
      <c r="D418" s="228" t="s">
        <v>103</v>
      </c>
      <c r="E418" s="228" t="s">
        <v>546</v>
      </c>
      <c r="F418" s="280" t="s">
        <v>481</v>
      </c>
      <c r="G418" s="197">
        <v>75.9</v>
      </c>
      <c r="H418" s="22"/>
      <c r="I418" s="22"/>
    </row>
    <row r="419" spans="1:9" ht="59.25" customHeight="1">
      <c r="A419" s="151" t="s">
        <v>548</v>
      </c>
      <c r="B419" s="259"/>
      <c r="C419" s="260" t="s">
        <v>5</v>
      </c>
      <c r="D419" s="260" t="s">
        <v>103</v>
      </c>
      <c r="E419" s="260" t="s">
        <v>547</v>
      </c>
      <c r="F419" s="286"/>
      <c r="G419" s="211">
        <f>SUM(G420:G421)</f>
        <v>0</v>
      </c>
      <c r="H419" s="22"/>
      <c r="I419" s="22"/>
    </row>
    <row r="420" spans="1:9" ht="21" customHeight="1">
      <c r="A420" s="223" t="s">
        <v>475</v>
      </c>
      <c r="B420" s="224"/>
      <c r="C420" s="228" t="s">
        <v>5</v>
      </c>
      <c r="D420" s="228" t="s">
        <v>103</v>
      </c>
      <c r="E420" s="260" t="s">
        <v>547</v>
      </c>
      <c r="F420" s="280" t="s">
        <v>117</v>
      </c>
      <c r="G420" s="211"/>
      <c r="H420" s="22"/>
      <c r="I420" s="22"/>
    </row>
    <row r="421" spans="1:9" ht="15">
      <c r="A421" s="151" t="s">
        <v>480</v>
      </c>
      <c r="B421" s="259"/>
      <c r="C421" s="260" t="s">
        <v>5</v>
      </c>
      <c r="D421" s="260" t="s">
        <v>103</v>
      </c>
      <c r="E421" s="260" t="s">
        <v>547</v>
      </c>
      <c r="F421" s="286" t="s">
        <v>481</v>
      </c>
      <c r="G421" s="211"/>
      <c r="H421" s="22"/>
      <c r="I421" s="22"/>
    </row>
    <row r="422" spans="1:9" ht="15">
      <c r="A422" s="151" t="s">
        <v>205</v>
      </c>
      <c r="B422" s="259"/>
      <c r="C422" s="260" t="s">
        <v>5</v>
      </c>
      <c r="D422" s="260" t="s">
        <v>103</v>
      </c>
      <c r="E422" s="260" t="s">
        <v>549</v>
      </c>
      <c r="F422" s="286"/>
      <c r="G422" s="211">
        <f>G423+G424</f>
        <v>1931.3</v>
      </c>
      <c r="H422" s="22">
        <f>SUM(H423)</f>
        <v>1365.8</v>
      </c>
      <c r="I422" s="22" t="e">
        <f>SUM(H422/#REF!*100)</f>
        <v>#REF!</v>
      </c>
    </row>
    <row r="423" spans="1:9" ht="15">
      <c r="A423" s="223" t="s">
        <v>475</v>
      </c>
      <c r="B423" s="259"/>
      <c r="C423" s="260" t="s">
        <v>5</v>
      </c>
      <c r="D423" s="260" t="s">
        <v>103</v>
      </c>
      <c r="E423" s="260" t="s">
        <v>549</v>
      </c>
      <c r="F423" s="286" t="s">
        <v>117</v>
      </c>
      <c r="G423" s="211">
        <v>300</v>
      </c>
      <c r="H423" s="22">
        <v>1365.8</v>
      </c>
      <c r="I423" s="22" t="e">
        <f>SUM(H423/#REF!*100)</f>
        <v>#REF!</v>
      </c>
    </row>
    <row r="424" spans="1:9" ht="15">
      <c r="A424" s="151" t="s">
        <v>480</v>
      </c>
      <c r="B424" s="259"/>
      <c r="C424" s="260" t="s">
        <v>5</v>
      </c>
      <c r="D424" s="260" t="s">
        <v>103</v>
      </c>
      <c r="E424" s="260" t="s">
        <v>549</v>
      </c>
      <c r="F424" s="286" t="s">
        <v>481</v>
      </c>
      <c r="G424" s="211">
        <v>1631.3</v>
      </c>
      <c r="H424" s="22">
        <f>SUM(H425)</f>
        <v>1324.9</v>
      </c>
      <c r="I424" s="22" t="e">
        <f>SUM(H424/#REF!*100)</f>
        <v>#REF!</v>
      </c>
    </row>
    <row r="425" spans="1:9" ht="15">
      <c r="A425" s="151" t="s">
        <v>269</v>
      </c>
      <c r="B425" s="259"/>
      <c r="C425" s="260" t="s">
        <v>5</v>
      </c>
      <c r="D425" s="260" t="s">
        <v>103</v>
      </c>
      <c r="E425" s="260" t="s">
        <v>550</v>
      </c>
      <c r="F425" s="286"/>
      <c r="G425" s="211">
        <f>SUM(G426+G429+G432)</f>
        <v>8439.6</v>
      </c>
      <c r="H425" s="22">
        <v>1324.9</v>
      </c>
      <c r="I425" s="22" t="e">
        <f>SUM(H425/#REF!*100)</f>
        <v>#REF!</v>
      </c>
    </row>
    <row r="426" spans="1:9" ht="42.75">
      <c r="A426" s="151" t="s">
        <v>453</v>
      </c>
      <c r="B426" s="259"/>
      <c r="C426" s="260" t="s">
        <v>5</v>
      </c>
      <c r="D426" s="260" t="s">
        <v>103</v>
      </c>
      <c r="E426" s="260" t="s">
        <v>553</v>
      </c>
      <c r="F426" s="286"/>
      <c r="G426" s="211">
        <f>SUM(G427:G428)</f>
        <v>6718.400000000001</v>
      </c>
      <c r="H426" s="22"/>
      <c r="I426" s="22"/>
    </row>
    <row r="427" spans="1:9" ht="15">
      <c r="A427" s="223" t="s">
        <v>475</v>
      </c>
      <c r="B427" s="259"/>
      <c r="C427" s="260" t="s">
        <v>5</v>
      </c>
      <c r="D427" s="260" t="s">
        <v>103</v>
      </c>
      <c r="E427" s="260" t="s">
        <v>553</v>
      </c>
      <c r="F427" s="286" t="s">
        <v>117</v>
      </c>
      <c r="G427" s="211">
        <v>244.1</v>
      </c>
      <c r="H427" s="22"/>
      <c r="I427" s="22"/>
    </row>
    <row r="428" spans="1:9" ht="14.25" customHeight="1">
      <c r="A428" s="151" t="s">
        <v>480</v>
      </c>
      <c r="B428" s="259"/>
      <c r="C428" s="260" t="s">
        <v>5</v>
      </c>
      <c r="D428" s="260" t="s">
        <v>103</v>
      </c>
      <c r="E428" s="260" t="s">
        <v>553</v>
      </c>
      <c r="F428" s="286" t="s">
        <v>481</v>
      </c>
      <c r="G428" s="211">
        <v>6474.3</v>
      </c>
      <c r="H428" s="22">
        <f>SUM(H429)</f>
        <v>927.6</v>
      </c>
      <c r="I428" s="22">
        <f>SUM(H428/G488*100)</f>
        <v>16.089083151212407</v>
      </c>
    </row>
    <row r="429" spans="1:9" ht="28.5" hidden="1">
      <c r="A429" s="151" t="s">
        <v>454</v>
      </c>
      <c r="B429" s="259"/>
      <c r="C429" s="260" t="s">
        <v>5</v>
      </c>
      <c r="D429" s="260" t="s">
        <v>103</v>
      </c>
      <c r="E429" s="260" t="s">
        <v>554</v>
      </c>
      <c r="F429" s="286"/>
      <c r="G429" s="211">
        <f>SUM(G430:G431)</f>
        <v>0</v>
      </c>
      <c r="H429" s="22">
        <f>SUM(H431:H431)</f>
        <v>927.6</v>
      </c>
      <c r="I429" s="22">
        <f>SUM(H429/G490*100)</f>
        <v>16.331560970456707</v>
      </c>
    </row>
    <row r="430" spans="1:9" ht="15" hidden="1">
      <c r="A430" s="223" t="s">
        <v>475</v>
      </c>
      <c r="B430" s="259"/>
      <c r="C430" s="260" t="s">
        <v>5</v>
      </c>
      <c r="D430" s="260" t="s">
        <v>103</v>
      </c>
      <c r="E430" s="260" t="s">
        <v>554</v>
      </c>
      <c r="F430" s="286" t="s">
        <v>117</v>
      </c>
      <c r="G430" s="211"/>
      <c r="H430" s="22"/>
      <c r="I430" s="22"/>
    </row>
    <row r="431" spans="1:9" ht="15" hidden="1">
      <c r="A431" s="151" t="s">
        <v>480</v>
      </c>
      <c r="B431" s="259"/>
      <c r="C431" s="260" t="s">
        <v>5</v>
      </c>
      <c r="D431" s="260" t="s">
        <v>103</v>
      </c>
      <c r="E431" s="260" t="s">
        <v>554</v>
      </c>
      <c r="F431" s="286" t="s">
        <v>481</v>
      </c>
      <c r="G431" s="211"/>
      <c r="H431" s="22">
        <v>927.6</v>
      </c>
      <c r="I431" s="22">
        <f>SUM(H431/G491*100)</f>
        <v>19.435132417029834</v>
      </c>
    </row>
    <row r="432" spans="1:9" ht="42.75">
      <c r="A432" s="152" t="s">
        <v>455</v>
      </c>
      <c r="B432" s="259"/>
      <c r="C432" s="260" t="s">
        <v>5</v>
      </c>
      <c r="D432" s="260" t="s">
        <v>103</v>
      </c>
      <c r="E432" s="260" t="s">
        <v>555</v>
      </c>
      <c r="F432" s="286"/>
      <c r="G432" s="211">
        <f>SUM(G433:G435)</f>
        <v>1721.2</v>
      </c>
      <c r="H432" s="22">
        <f>SUM(H434)</f>
        <v>3319.1</v>
      </c>
      <c r="I432" s="22">
        <f>SUM(H432/G492*100)</f>
        <v>6664.8594377510035</v>
      </c>
    </row>
    <row r="433" spans="1:9" ht="15">
      <c r="A433" s="223" t="s">
        <v>475</v>
      </c>
      <c r="B433" s="259"/>
      <c r="C433" s="260" t="s">
        <v>5</v>
      </c>
      <c r="D433" s="260" t="s">
        <v>103</v>
      </c>
      <c r="E433" s="260" t="s">
        <v>555</v>
      </c>
      <c r="F433" s="286" t="s">
        <v>117</v>
      </c>
      <c r="G433" s="211">
        <v>28.8</v>
      </c>
      <c r="H433" s="22"/>
      <c r="I433" s="22"/>
    </row>
    <row r="434" spans="1:9" ht="14.25" customHeight="1">
      <c r="A434" s="151" t="s">
        <v>480</v>
      </c>
      <c r="B434" s="259"/>
      <c r="C434" s="260" t="s">
        <v>5</v>
      </c>
      <c r="D434" s="260" t="s">
        <v>103</v>
      </c>
      <c r="E434" s="260" t="s">
        <v>555</v>
      </c>
      <c r="F434" s="286" t="s">
        <v>481</v>
      </c>
      <c r="G434" s="211">
        <v>1692.4</v>
      </c>
      <c r="H434" s="22">
        <f>SUM(H435)</f>
        <v>3319.1</v>
      </c>
      <c r="I434" s="22">
        <f>SUM(H434/G493*100)</f>
        <v>70.27524878255346</v>
      </c>
    </row>
    <row r="435" spans="1:9" ht="28.5" hidden="1">
      <c r="A435" s="151" t="s">
        <v>556</v>
      </c>
      <c r="B435" s="259"/>
      <c r="C435" s="260" t="s">
        <v>5</v>
      </c>
      <c r="D435" s="260" t="s">
        <v>103</v>
      </c>
      <c r="E435" s="260" t="s">
        <v>555</v>
      </c>
      <c r="F435" s="286" t="s">
        <v>487</v>
      </c>
      <c r="G435" s="211"/>
      <c r="H435" s="22">
        <v>3319.1</v>
      </c>
      <c r="I435" s="22">
        <f>SUM(H435/G495*100)</f>
        <v>1053.3481434465248</v>
      </c>
    </row>
    <row r="436" spans="1:9" s="128" customFormat="1" ht="42.75" hidden="1">
      <c r="A436" s="151" t="s">
        <v>456</v>
      </c>
      <c r="B436" s="259"/>
      <c r="C436" s="260" t="s">
        <v>5</v>
      </c>
      <c r="D436" s="260" t="s">
        <v>103</v>
      </c>
      <c r="E436" s="260" t="s">
        <v>557</v>
      </c>
      <c r="F436" s="286"/>
      <c r="G436" s="211">
        <f>SUM(G437:G438)</f>
        <v>0</v>
      </c>
      <c r="H436" s="22">
        <f>SUM(H438)</f>
        <v>3319.1</v>
      </c>
      <c r="I436" s="22">
        <f>SUM(H436/G497*100)</f>
        <v>11.005046452562684</v>
      </c>
    </row>
    <row r="437" spans="1:9" s="128" customFormat="1" ht="15" hidden="1">
      <c r="A437" s="223" t="s">
        <v>475</v>
      </c>
      <c r="B437" s="259"/>
      <c r="C437" s="260" t="s">
        <v>5</v>
      </c>
      <c r="D437" s="260" t="s">
        <v>103</v>
      </c>
      <c r="E437" s="260" t="s">
        <v>557</v>
      </c>
      <c r="F437" s="286" t="s">
        <v>117</v>
      </c>
      <c r="G437" s="211"/>
      <c r="H437" s="22"/>
      <c r="I437" s="22"/>
    </row>
    <row r="438" spans="1:9" s="128" customFormat="1" ht="15" hidden="1">
      <c r="A438" s="151" t="s">
        <v>480</v>
      </c>
      <c r="B438" s="259"/>
      <c r="C438" s="260" t="s">
        <v>5</v>
      </c>
      <c r="D438" s="260" t="s">
        <v>103</v>
      </c>
      <c r="E438" s="260" t="s">
        <v>557</v>
      </c>
      <c r="F438" s="286" t="s">
        <v>481</v>
      </c>
      <c r="G438" s="211"/>
      <c r="H438" s="22">
        <v>3319.1</v>
      </c>
      <c r="I438" s="22">
        <f>SUM(H438/G498*100)</f>
        <v>15.129524703823064</v>
      </c>
    </row>
    <row r="439" spans="1:9" ht="15">
      <c r="A439" s="151" t="s">
        <v>169</v>
      </c>
      <c r="B439" s="259"/>
      <c r="C439" s="260" t="s">
        <v>5</v>
      </c>
      <c r="D439" s="260" t="s">
        <v>103</v>
      </c>
      <c r="E439" s="260" t="s">
        <v>170</v>
      </c>
      <c r="F439" s="286"/>
      <c r="G439" s="211">
        <f>SUM(G440)</f>
        <v>538</v>
      </c>
      <c r="H439" s="22">
        <f>SUM(H440+H483)</f>
        <v>17205.399999999998</v>
      </c>
      <c r="I439" s="22">
        <f>SUM(H439/G499*100)</f>
        <v>549.3773548757902</v>
      </c>
    </row>
    <row r="440" spans="1:9" ht="15">
      <c r="A440" s="151" t="s">
        <v>171</v>
      </c>
      <c r="B440" s="259"/>
      <c r="C440" s="260" t="s">
        <v>5</v>
      </c>
      <c r="D440" s="260" t="s">
        <v>103</v>
      </c>
      <c r="E440" s="260" t="s">
        <v>172</v>
      </c>
      <c r="F440" s="286"/>
      <c r="G440" s="211">
        <f>SUM(G441:G442)</f>
        <v>538</v>
      </c>
      <c r="H440" s="22">
        <f>SUM(H442)</f>
        <v>0</v>
      </c>
      <c r="I440" s="22">
        <f>SUM(H440/G500*100)</f>
        <v>0</v>
      </c>
    </row>
    <row r="441" spans="1:9" ht="15">
      <c r="A441" s="223" t="s">
        <v>475</v>
      </c>
      <c r="B441" s="259"/>
      <c r="C441" s="260" t="s">
        <v>5</v>
      </c>
      <c r="D441" s="260" t="s">
        <v>103</v>
      </c>
      <c r="E441" s="260" t="s">
        <v>172</v>
      </c>
      <c r="F441" s="286" t="s">
        <v>117</v>
      </c>
      <c r="G441" s="211">
        <v>496</v>
      </c>
      <c r="H441" s="22"/>
      <c r="I441" s="22"/>
    </row>
    <row r="442" spans="1:9" ht="15">
      <c r="A442" s="151" t="s">
        <v>480</v>
      </c>
      <c r="B442" s="259"/>
      <c r="C442" s="260" t="s">
        <v>5</v>
      </c>
      <c r="D442" s="260" t="s">
        <v>103</v>
      </c>
      <c r="E442" s="260" t="s">
        <v>172</v>
      </c>
      <c r="F442" s="286" t="s">
        <v>481</v>
      </c>
      <c r="G442" s="211">
        <v>42</v>
      </c>
      <c r="H442" s="22">
        <f>SUM(H482)</f>
        <v>0</v>
      </c>
      <c r="I442" s="22">
        <f>SUM(H442/G501*100)</f>
        <v>0</v>
      </c>
    </row>
    <row r="443" spans="1:9" ht="42.75">
      <c r="A443" s="301" t="s">
        <v>644</v>
      </c>
      <c r="B443" s="292"/>
      <c r="C443" s="264" t="s">
        <v>5</v>
      </c>
      <c r="D443" s="264" t="s">
        <v>103</v>
      </c>
      <c r="E443" s="264" t="s">
        <v>645</v>
      </c>
      <c r="F443" s="293"/>
      <c r="G443" s="270">
        <f>G444</f>
        <v>317097.60000000003</v>
      </c>
      <c r="H443" s="22"/>
      <c r="I443" s="22"/>
    </row>
    <row r="444" spans="1:9" ht="99.75">
      <c r="A444" s="301" t="s">
        <v>646</v>
      </c>
      <c r="B444" s="292"/>
      <c r="C444" s="264" t="s">
        <v>5</v>
      </c>
      <c r="D444" s="264" t="s">
        <v>103</v>
      </c>
      <c r="E444" s="264" t="s">
        <v>647</v>
      </c>
      <c r="F444" s="293"/>
      <c r="G444" s="270">
        <f>G445+G448+G451+G454+G457+G460+G463</f>
        <v>317097.60000000003</v>
      </c>
      <c r="H444" s="22"/>
      <c r="I444" s="22"/>
    </row>
    <row r="445" spans="1:9" ht="57">
      <c r="A445" s="302" t="s">
        <v>448</v>
      </c>
      <c r="B445" s="292"/>
      <c r="C445" s="264" t="s">
        <v>5</v>
      </c>
      <c r="D445" s="264" t="s">
        <v>103</v>
      </c>
      <c r="E445" s="264" t="s">
        <v>648</v>
      </c>
      <c r="F445" s="293"/>
      <c r="G445" s="270">
        <f>G446+G447</f>
        <v>51210.700000000004</v>
      </c>
      <c r="H445" s="22"/>
      <c r="I445" s="22"/>
    </row>
    <row r="446" spans="1:9" ht="15">
      <c r="A446" s="301" t="s">
        <v>475</v>
      </c>
      <c r="B446" s="292"/>
      <c r="C446" s="264" t="s">
        <v>5</v>
      </c>
      <c r="D446" s="264" t="s">
        <v>103</v>
      </c>
      <c r="E446" s="264" t="s">
        <v>648</v>
      </c>
      <c r="F446" s="293" t="s">
        <v>117</v>
      </c>
      <c r="G446" s="270">
        <v>756.8</v>
      </c>
      <c r="H446" s="22"/>
      <c r="I446" s="22"/>
    </row>
    <row r="447" spans="1:9" ht="15">
      <c r="A447" s="301" t="s">
        <v>480</v>
      </c>
      <c r="B447" s="292"/>
      <c r="C447" s="264" t="s">
        <v>5</v>
      </c>
      <c r="D447" s="264" t="s">
        <v>103</v>
      </c>
      <c r="E447" s="264" t="s">
        <v>648</v>
      </c>
      <c r="F447" s="293" t="s">
        <v>481</v>
      </c>
      <c r="G447" s="270">
        <v>50453.9</v>
      </c>
      <c r="H447" s="22"/>
      <c r="I447" s="22"/>
    </row>
    <row r="448" spans="1:9" ht="71.25">
      <c r="A448" s="302" t="s">
        <v>551</v>
      </c>
      <c r="B448" s="292"/>
      <c r="C448" s="264" t="s">
        <v>5</v>
      </c>
      <c r="D448" s="264" t="s">
        <v>103</v>
      </c>
      <c r="E448" s="264" t="s">
        <v>649</v>
      </c>
      <c r="F448" s="293"/>
      <c r="G448" s="270">
        <f>G449+G450</f>
        <v>139270.69999999998</v>
      </c>
      <c r="H448" s="22"/>
      <c r="I448" s="22"/>
    </row>
    <row r="449" spans="1:9" ht="15">
      <c r="A449" s="301" t="s">
        <v>475</v>
      </c>
      <c r="B449" s="292"/>
      <c r="C449" s="264" t="s">
        <v>5</v>
      </c>
      <c r="D449" s="264" t="s">
        <v>103</v>
      </c>
      <c r="E449" s="264" t="s">
        <v>649</v>
      </c>
      <c r="F449" s="293" t="s">
        <v>117</v>
      </c>
      <c r="G449" s="270">
        <v>5059.8</v>
      </c>
      <c r="H449" s="22"/>
      <c r="I449" s="22"/>
    </row>
    <row r="450" spans="1:9" ht="15">
      <c r="A450" s="301" t="s">
        <v>480</v>
      </c>
      <c r="B450" s="292"/>
      <c r="C450" s="264" t="s">
        <v>5</v>
      </c>
      <c r="D450" s="264" t="s">
        <v>103</v>
      </c>
      <c r="E450" s="264" t="s">
        <v>649</v>
      </c>
      <c r="F450" s="293" t="s">
        <v>481</v>
      </c>
      <c r="G450" s="270">
        <v>134210.9</v>
      </c>
      <c r="H450" s="22"/>
      <c r="I450" s="22"/>
    </row>
    <row r="451" spans="1:9" ht="71.25">
      <c r="A451" s="152" t="s">
        <v>449</v>
      </c>
      <c r="B451" s="292"/>
      <c r="C451" s="264" t="s">
        <v>5</v>
      </c>
      <c r="D451" s="264" t="s">
        <v>103</v>
      </c>
      <c r="E451" s="264" t="s">
        <v>650</v>
      </c>
      <c r="F451" s="293"/>
      <c r="G451" s="270">
        <f>SUM(G452)+G453</f>
        <v>1521.7</v>
      </c>
      <c r="H451" s="22"/>
      <c r="I451" s="22"/>
    </row>
    <row r="452" spans="1:9" ht="15">
      <c r="A452" s="301" t="s">
        <v>475</v>
      </c>
      <c r="B452" s="292"/>
      <c r="C452" s="264" t="s">
        <v>5</v>
      </c>
      <c r="D452" s="264" t="s">
        <v>103</v>
      </c>
      <c r="E452" s="264" t="s">
        <v>650</v>
      </c>
      <c r="F452" s="293" t="s">
        <v>117</v>
      </c>
      <c r="G452" s="270">
        <v>22.5</v>
      </c>
      <c r="H452" s="22"/>
      <c r="I452" s="22"/>
    </row>
    <row r="453" spans="1:9" ht="15">
      <c r="A453" s="301" t="s">
        <v>480</v>
      </c>
      <c r="B453" s="292"/>
      <c r="C453" s="264" t="s">
        <v>5</v>
      </c>
      <c r="D453" s="264" t="s">
        <v>103</v>
      </c>
      <c r="E453" s="264" t="s">
        <v>650</v>
      </c>
      <c r="F453" s="293" t="s">
        <v>481</v>
      </c>
      <c r="G453" s="270">
        <v>1499.2</v>
      </c>
      <c r="H453" s="22"/>
      <c r="I453" s="22"/>
    </row>
    <row r="454" spans="1:9" ht="85.5">
      <c r="A454" s="152" t="s">
        <v>450</v>
      </c>
      <c r="B454" s="292"/>
      <c r="C454" s="264" t="s">
        <v>5</v>
      </c>
      <c r="D454" s="264" t="s">
        <v>103</v>
      </c>
      <c r="E454" s="264" t="s">
        <v>651</v>
      </c>
      <c r="F454" s="293"/>
      <c r="G454" s="270">
        <f>G455+G456</f>
        <v>6956</v>
      </c>
      <c r="H454" s="22"/>
      <c r="I454" s="22"/>
    </row>
    <row r="455" spans="1:9" ht="15">
      <c r="A455" s="301" t="s">
        <v>475</v>
      </c>
      <c r="B455" s="292"/>
      <c r="C455" s="264" t="s">
        <v>5</v>
      </c>
      <c r="D455" s="264" t="s">
        <v>103</v>
      </c>
      <c r="E455" s="264" t="s">
        <v>651</v>
      </c>
      <c r="F455" s="293" t="s">
        <v>117</v>
      </c>
      <c r="G455" s="270">
        <v>252.7</v>
      </c>
      <c r="H455" s="22"/>
      <c r="I455" s="22"/>
    </row>
    <row r="456" spans="1:9" ht="15">
      <c r="A456" s="301" t="s">
        <v>480</v>
      </c>
      <c r="B456" s="292"/>
      <c r="C456" s="264" t="s">
        <v>5</v>
      </c>
      <c r="D456" s="264" t="s">
        <v>103</v>
      </c>
      <c r="E456" s="264" t="s">
        <v>651</v>
      </c>
      <c r="F456" s="293" t="s">
        <v>481</v>
      </c>
      <c r="G456" s="270">
        <v>6703.3</v>
      </c>
      <c r="H456" s="22"/>
      <c r="I456" s="22"/>
    </row>
    <row r="457" spans="1:9" ht="42.75">
      <c r="A457" s="301" t="s">
        <v>451</v>
      </c>
      <c r="B457" s="292"/>
      <c r="C457" s="264" t="s">
        <v>5</v>
      </c>
      <c r="D457" s="264" t="s">
        <v>103</v>
      </c>
      <c r="E457" s="264" t="s">
        <v>652</v>
      </c>
      <c r="F457" s="293"/>
      <c r="G457" s="270">
        <f>SUM(G459)+G458</f>
        <v>117203.1</v>
      </c>
      <c r="H457" s="22"/>
      <c r="I457" s="22"/>
    </row>
    <row r="458" spans="1:9" ht="15">
      <c r="A458" s="301" t="s">
        <v>475</v>
      </c>
      <c r="B458" s="292"/>
      <c r="C458" s="264" t="s">
        <v>5</v>
      </c>
      <c r="D458" s="264" t="s">
        <v>103</v>
      </c>
      <c r="E458" s="264" t="s">
        <v>652</v>
      </c>
      <c r="F458" s="293" t="s">
        <v>117</v>
      </c>
      <c r="G458" s="270">
        <v>1732.1</v>
      </c>
      <c r="H458" s="22"/>
      <c r="I458" s="22"/>
    </row>
    <row r="459" spans="1:9" ht="15">
      <c r="A459" s="301" t="s">
        <v>480</v>
      </c>
      <c r="B459" s="292"/>
      <c r="C459" s="264" t="s">
        <v>5</v>
      </c>
      <c r="D459" s="264" t="s">
        <v>103</v>
      </c>
      <c r="E459" s="264" t="s">
        <v>652</v>
      </c>
      <c r="F459" s="293" t="s">
        <v>481</v>
      </c>
      <c r="G459" s="270">
        <v>115471</v>
      </c>
      <c r="H459" s="22"/>
      <c r="I459" s="22"/>
    </row>
    <row r="460" spans="1:9" ht="71.25">
      <c r="A460" s="301" t="s">
        <v>452</v>
      </c>
      <c r="B460" s="292"/>
      <c r="C460" s="264" t="s">
        <v>5</v>
      </c>
      <c r="D460" s="264" t="s">
        <v>103</v>
      </c>
      <c r="E460" s="264" t="s">
        <v>653</v>
      </c>
      <c r="F460" s="293"/>
      <c r="G460" s="270">
        <f>G462+G461</f>
        <v>774.2</v>
      </c>
      <c r="H460" s="22"/>
      <c r="I460" s="22"/>
    </row>
    <row r="461" spans="1:9" ht="15">
      <c r="A461" s="301" t="s">
        <v>475</v>
      </c>
      <c r="B461" s="292"/>
      <c r="C461" s="264" t="s">
        <v>5</v>
      </c>
      <c r="D461" s="264" t="s">
        <v>103</v>
      </c>
      <c r="E461" s="264" t="s">
        <v>653</v>
      </c>
      <c r="F461" s="293" t="s">
        <v>117</v>
      </c>
      <c r="G461" s="270">
        <v>28.1</v>
      </c>
      <c r="H461" s="22"/>
      <c r="I461" s="22"/>
    </row>
    <row r="462" spans="1:9" ht="15">
      <c r="A462" s="301" t="s">
        <v>480</v>
      </c>
      <c r="B462" s="292"/>
      <c r="C462" s="264" t="s">
        <v>5</v>
      </c>
      <c r="D462" s="264" t="s">
        <v>103</v>
      </c>
      <c r="E462" s="264" t="s">
        <v>653</v>
      </c>
      <c r="F462" s="293" t="s">
        <v>481</v>
      </c>
      <c r="G462" s="270">
        <v>746.1</v>
      </c>
      <c r="H462" s="22"/>
      <c r="I462" s="22"/>
    </row>
    <row r="463" spans="1:9" ht="57">
      <c r="A463" s="301" t="s">
        <v>552</v>
      </c>
      <c r="B463" s="292"/>
      <c r="C463" s="264" t="s">
        <v>5</v>
      </c>
      <c r="D463" s="264" t="s">
        <v>103</v>
      </c>
      <c r="E463" s="264" t="s">
        <v>654</v>
      </c>
      <c r="F463" s="293"/>
      <c r="G463" s="270">
        <f>SUM(G465)+G464</f>
        <v>161.20000000000002</v>
      </c>
      <c r="H463" s="22"/>
      <c r="I463" s="22"/>
    </row>
    <row r="464" spans="1:9" ht="15">
      <c r="A464" s="301" t="s">
        <v>475</v>
      </c>
      <c r="B464" s="292"/>
      <c r="C464" s="264" t="s">
        <v>5</v>
      </c>
      <c r="D464" s="264" t="s">
        <v>103</v>
      </c>
      <c r="E464" s="264" t="s">
        <v>654</v>
      </c>
      <c r="F464" s="293" t="s">
        <v>117</v>
      </c>
      <c r="G464" s="270">
        <v>2.4</v>
      </c>
      <c r="H464" s="22"/>
      <c r="I464" s="22"/>
    </row>
    <row r="465" spans="1:9" ht="15">
      <c r="A465" s="301" t="s">
        <v>480</v>
      </c>
      <c r="B465" s="292"/>
      <c r="C465" s="264" t="s">
        <v>5</v>
      </c>
      <c r="D465" s="264" t="s">
        <v>103</v>
      </c>
      <c r="E465" s="264" t="s">
        <v>654</v>
      </c>
      <c r="F465" s="293" t="s">
        <v>481</v>
      </c>
      <c r="G465" s="270">
        <v>158.8</v>
      </c>
      <c r="H465" s="22"/>
      <c r="I465" s="22"/>
    </row>
    <row r="466" spans="1:9" ht="28.5">
      <c r="A466" s="301" t="s">
        <v>655</v>
      </c>
      <c r="B466" s="292"/>
      <c r="C466" s="264" t="s">
        <v>5</v>
      </c>
      <c r="D466" s="264" t="s">
        <v>103</v>
      </c>
      <c r="E466" s="264" t="s">
        <v>636</v>
      </c>
      <c r="F466" s="293"/>
      <c r="G466" s="270">
        <f>G467+G480</f>
        <v>134990.9</v>
      </c>
      <c r="H466" s="22"/>
      <c r="I466" s="22"/>
    </row>
    <row r="467" spans="1:9" ht="85.5">
      <c r="A467" s="301" t="s">
        <v>656</v>
      </c>
      <c r="B467" s="292"/>
      <c r="C467" s="264" t="s">
        <v>5</v>
      </c>
      <c r="D467" s="264" t="s">
        <v>103</v>
      </c>
      <c r="E467" s="264" t="s">
        <v>657</v>
      </c>
      <c r="F467" s="293"/>
      <c r="G467" s="270">
        <f>G468+G471+G474+G477</f>
        <v>52800.59999999999</v>
      </c>
      <c r="H467" s="22"/>
      <c r="I467" s="22"/>
    </row>
    <row r="468" spans="1:9" ht="42.75">
      <c r="A468" s="301" t="s">
        <v>446</v>
      </c>
      <c r="B468" s="292"/>
      <c r="C468" s="264" t="s">
        <v>5</v>
      </c>
      <c r="D468" s="264" t="s">
        <v>103</v>
      </c>
      <c r="E468" s="264" t="s">
        <v>658</v>
      </c>
      <c r="F468" s="293"/>
      <c r="G468" s="270">
        <f>G469+G470</f>
        <v>1000.1999999999999</v>
      </c>
      <c r="H468" s="22"/>
      <c r="I468" s="22"/>
    </row>
    <row r="469" spans="1:9" ht="15">
      <c r="A469" s="301" t="s">
        <v>475</v>
      </c>
      <c r="B469" s="292"/>
      <c r="C469" s="264" t="s">
        <v>5</v>
      </c>
      <c r="D469" s="264" t="s">
        <v>103</v>
      </c>
      <c r="E469" s="264" t="s">
        <v>658</v>
      </c>
      <c r="F469" s="293" t="s">
        <v>117</v>
      </c>
      <c r="G469" s="270">
        <v>14.8</v>
      </c>
      <c r="H469" s="22"/>
      <c r="I469" s="22"/>
    </row>
    <row r="470" spans="1:9" ht="15">
      <c r="A470" s="301" t="s">
        <v>480</v>
      </c>
      <c r="B470" s="292"/>
      <c r="C470" s="264" t="s">
        <v>5</v>
      </c>
      <c r="D470" s="264" t="s">
        <v>103</v>
      </c>
      <c r="E470" s="264" t="s">
        <v>658</v>
      </c>
      <c r="F470" s="293" t="s">
        <v>481</v>
      </c>
      <c r="G470" s="270">
        <v>985.4</v>
      </c>
      <c r="H470" s="22"/>
      <c r="I470" s="22"/>
    </row>
    <row r="471" spans="1:9" ht="28.5">
      <c r="A471" s="152" t="s">
        <v>447</v>
      </c>
      <c r="B471" s="292"/>
      <c r="C471" s="264" t="s">
        <v>5</v>
      </c>
      <c r="D471" s="264" t="s">
        <v>103</v>
      </c>
      <c r="E471" s="264" t="s">
        <v>659</v>
      </c>
      <c r="F471" s="293"/>
      <c r="G471" s="270">
        <f>SUM(G472)+G473</f>
        <v>41789.1</v>
      </c>
      <c r="H471" s="22"/>
      <c r="I471" s="22"/>
    </row>
    <row r="472" spans="1:9" ht="15">
      <c r="A472" s="301" t="s">
        <v>475</v>
      </c>
      <c r="B472" s="292"/>
      <c r="C472" s="264" t="s">
        <v>5</v>
      </c>
      <c r="D472" s="264" t="s">
        <v>103</v>
      </c>
      <c r="E472" s="264" t="s">
        <v>659</v>
      </c>
      <c r="F472" s="293" t="s">
        <v>117</v>
      </c>
      <c r="G472" s="270">
        <v>617.6</v>
      </c>
      <c r="H472" s="22"/>
      <c r="I472" s="22"/>
    </row>
    <row r="473" spans="1:9" ht="15">
      <c r="A473" s="301" t="s">
        <v>480</v>
      </c>
      <c r="B473" s="292"/>
      <c r="C473" s="264" t="s">
        <v>5</v>
      </c>
      <c r="D473" s="264" t="s">
        <v>103</v>
      </c>
      <c r="E473" s="264" t="s">
        <v>659</v>
      </c>
      <c r="F473" s="293" t="s">
        <v>481</v>
      </c>
      <c r="G473" s="270">
        <v>41171.5</v>
      </c>
      <c r="H473" s="22"/>
      <c r="I473" s="22"/>
    </row>
    <row r="474" spans="1:9" ht="28.5">
      <c r="A474" s="301" t="s">
        <v>454</v>
      </c>
      <c r="B474" s="292"/>
      <c r="C474" s="264" t="s">
        <v>5</v>
      </c>
      <c r="D474" s="264" t="s">
        <v>103</v>
      </c>
      <c r="E474" s="264" t="s">
        <v>660</v>
      </c>
      <c r="F474" s="293"/>
      <c r="G474" s="270">
        <f>SUM(G476)+G475</f>
        <v>5357.2</v>
      </c>
      <c r="H474" s="22"/>
      <c r="I474" s="22"/>
    </row>
    <row r="475" spans="1:9" ht="15">
      <c r="A475" s="301" t="s">
        <v>475</v>
      </c>
      <c r="B475" s="292"/>
      <c r="C475" s="264" t="s">
        <v>5</v>
      </c>
      <c r="D475" s="264" t="s">
        <v>103</v>
      </c>
      <c r="E475" s="264" t="s">
        <v>660</v>
      </c>
      <c r="F475" s="293" t="s">
        <v>117</v>
      </c>
      <c r="G475" s="270">
        <v>79.2</v>
      </c>
      <c r="H475" s="22"/>
      <c r="I475" s="22"/>
    </row>
    <row r="476" spans="1:9" ht="15">
      <c r="A476" s="301" t="s">
        <v>480</v>
      </c>
      <c r="B476" s="292"/>
      <c r="C476" s="264" t="s">
        <v>5</v>
      </c>
      <c r="D476" s="264" t="s">
        <v>103</v>
      </c>
      <c r="E476" s="264" t="s">
        <v>660</v>
      </c>
      <c r="F476" s="293" t="s">
        <v>481</v>
      </c>
      <c r="G476" s="270">
        <v>5278</v>
      </c>
      <c r="H476" s="22"/>
      <c r="I476" s="22"/>
    </row>
    <row r="477" spans="1:9" ht="42.75">
      <c r="A477" s="301" t="s">
        <v>456</v>
      </c>
      <c r="B477" s="292"/>
      <c r="C477" s="264" t="s">
        <v>5</v>
      </c>
      <c r="D477" s="264" t="s">
        <v>103</v>
      </c>
      <c r="E477" s="264" t="s">
        <v>661</v>
      </c>
      <c r="F477" s="293"/>
      <c r="G477" s="270">
        <f>SUM(G479)+G478</f>
        <v>4654.1</v>
      </c>
      <c r="H477" s="22"/>
      <c r="I477" s="22"/>
    </row>
    <row r="478" spans="1:9" ht="15">
      <c r="A478" s="301" t="s">
        <v>475</v>
      </c>
      <c r="B478" s="292"/>
      <c r="C478" s="264" t="s">
        <v>5</v>
      </c>
      <c r="D478" s="264" t="s">
        <v>103</v>
      </c>
      <c r="E478" s="264" t="s">
        <v>661</v>
      </c>
      <c r="F478" s="293" t="s">
        <v>117</v>
      </c>
      <c r="G478" s="270">
        <v>68.8</v>
      </c>
      <c r="H478" s="22"/>
      <c r="I478" s="22"/>
    </row>
    <row r="479" spans="1:9" ht="15">
      <c r="A479" s="301" t="s">
        <v>480</v>
      </c>
      <c r="B479" s="292"/>
      <c r="C479" s="264" t="s">
        <v>5</v>
      </c>
      <c r="D479" s="264" t="s">
        <v>103</v>
      </c>
      <c r="E479" s="264" t="s">
        <v>661</v>
      </c>
      <c r="F479" s="293" t="s">
        <v>481</v>
      </c>
      <c r="G479" s="270">
        <v>4585.3</v>
      </c>
      <c r="H479" s="22"/>
      <c r="I479" s="22"/>
    </row>
    <row r="480" spans="1:9" ht="99.75">
      <c r="A480" s="151" t="s">
        <v>662</v>
      </c>
      <c r="B480" s="292"/>
      <c r="C480" s="264" t="s">
        <v>5</v>
      </c>
      <c r="D480" s="264" t="s">
        <v>103</v>
      </c>
      <c r="E480" s="264" t="s">
        <v>663</v>
      </c>
      <c r="F480" s="293"/>
      <c r="G480" s="270">
        <f>G481</f>
        <v>82190.3</v>
      </c>
      <c r="H480" s="22"/>
      <c r="I480" s="22"/>
    </row>
    <row r="481" spans="1:9" ht="15">
      <c r="A481" s="301" t="s">
        <v>480</v>
      </c>
      <c r="B481" s="292"/>
      <c r="C481" s="264" t="s">
        <v>5</v>
      </c>
      <c r="D481" s="264" t="s">
        <v>103</v>
      </c>
      <c r="E481" s="264" t="s">
        <v>663</v>
      </c>
      <c r="F481" s="293" t="s">
        <v>481</v>
      </c>
      <c r="G481" s="270">
        <v>82190.3</v>
      </c>
      <c r="H481" s="22"/>
      <c r="I481" s="22"/>
    </row>
    <row r="482" spans="1:9" ht="15">
      <c r="A482" s="151" t="s">
        <v>558</v>
      </c>
      <c r="B482" s="259"/>
      <c r="C482" s="260" t="s">
        <v>5</v>
      </c>
      <c r="D482" s="260" t="s">
        <v>103</v>
      </c>
      <c r="E482" s="260" t="s">
        <v>126</v>
      </c>
      <c r="F482" s="286"/>
      <c r="G482" s="211">
        <f>G483</f>
        <v>100</v>
      </c>
      <c r="H482" s="22"/>
      <c r="I482" s="22">
        <f aca="true" t="shared" si="10" ref="I482:I488">SUM(H482/G502*100)</f>
        <v>0</v>
      </c>
    </row>
    <row r="483" spans="1:9" ht="15">
      <c r="A483" s="151" t="s">
        <v>664</v>
      </c>
      <c r="B483" s="259"/>
      <c r="C483" s="260" t="s">
        <v>5</v>
      </c>
      <c r="D483" s="260" t="s">
        <v>103</v>
      </c>
      <c r="E483" s="260" t="s">
        <v>560</v>
      </c>
      <c r="F483" s="286"/>
      <c r="G483" s="211">
        <f>G484</f>
        <v>100</v>
      </c>
      <c r="H483" s="22">
        <f>SUM(H484)</f>
        <v>17205.399999999998</v>
      </c>
      <c r="I483" s="22">
        <f t="shared" si="10"/>
        <v>477.6093715300909</v>
      </c>
    </row>
    <row r="484" spans="1:9" ht="28.5">
      <c r="A484" s="151" t="s">
        <v>489</v>
      </c>
      <c r="B484" s="259"/>
      <c r="C484" s="260" t="s">
        <v>5</v>
      </c>
      <c r="D484" s="260" t="s">
        <v>103</v>
      </c>
      <c r="E484" s="260" t="s">
        <v>560</v>
      </c>
      <c r="F484" s="286" t="s">
        <v>487</v>
      </c>
      <c r="G484" s="211">
        <v>100</v>
      </c>
      <c r="H484" s="22">
        <f>SUM(H490)+H491+H495+H485+H487</f>
        <v>17205.399999999998</v>
      </c>
      <c r="I484" s="22">
        <f t="shared" si="10"/>
        <v>2727.552314521243</v>
      </c>
    </row>
    <row r="485" spans="1:9" ht="15">
      <c r="A485" s="152" t="s">
        <v>154</v>
      </c>
      <c r="B485" s="259"/>
      <c r="C485" s="260" t="s">
        <v>5</v>
      </c>
      <c r="D485" s="260" t="s">
        <v>119</v>
      </c>
      <c r="E485" s="260"/>
      <c r="F485" s="286"/>
      <c r="G485" s="211">
        <f>SUM(G486)</f>
        <v>30846.399999999998</v>
      </c>
      <c r="H485" s="22">
        <f>SUM(H486)</f>
        <v>241.8</v>
      </c>
      <c r="I485" s="22">
        <f t="shared" si="10"/>
        <v>1.6592442135745116</v>
      </c>
    </row>
    <row r="486" spans="1:9" ht="28.5">
      <c r="A486" s="301" t="s">
        <v>635</v>
      </c>
      <c r="B486" s="292"/>
      <c r="C486" s="265" t="s">
        <v>5</v>
      </c>
      <c r="D486" s="265" t="s">
        <v>119</v>
      </c>
      <c r="E486" s="265" t="s">
        <v>636</v>
      </c>
      <c r="F486" s="294"/>
      <c r="G486" s="271">
        <f>G487</f>
        <v>30846.399999999998</v>
      </c>
      <c r="H486" s="22">
        <v>241.8</v>
      </c>
      <c r="I486" s="22">
        <f t="shared" si="10"/>
        <v>1.6592442135745116</v>
      </c>
    </row>
    <row r="487" spans="1:9" ht="85.5">
      <c r="A487" s="301" t="s">
        <v>656</v>
      </c>
      <c r="B487" s="292"/>
      <c r="C487" s="265" t="s">
        <v>5</v>
      </c>
      <c r="D487" s="265" t="s">
        <v>119</v>
      </c>
      <c r="E487" s="265" t="s">
        <v>657</v>
      </c>
      <c r="F487" s="294"/>
      <c r="G487" s="271">
        <f>G488+G491+G494</f>
        <v>30846.399999999998</v>
      </c>
      <c r="H487" s="22">
        <f>SUM(H488)</f>
        <v>252</v>
      </c>
      <c r="I487" s="22" t="e">
        <f t="shared" si="10"/>
        <v>#DIV/0!</v>
      </c>
    </row>
    <row r="488" spans="1:9" ht="15">
      <c r="A488" s="301" t="s">
        <v>155</v>
      </c>
      <c r="B488" s="292"/>
      <c r="C488" s="265" t="s">
        <v>5</v>
      </c>
      <c r="D488" s="265" t="s">
        <v>119</v>
      </c>
      <c r="E488" s="265" t="s">
        <v>665</v>
      </c>
      <c r="F488" s="294"/>
      <c r="G488" s="270">
        <f>G489+G490</f>
        <v>5765.400000000001</v>
      </c>
      <c r="H488" s="22">
        <v>252</v>
      </c>
      <c r="I488" s="22" t="e">
        <f t="shared" si="10"/>
        <v>#DIV/0!</v>
      </c>
    </row>
    <row r="489" spans="1:9" ht="15">
      <c r="A489" s="301" t="s">
        <v>475</v>
      </c>
      <c r="B489" s="292"/>
      <c r="C489" s="265" t="s">
        <v>5</v>
      </c>
      <c r="D489" s="265" t="s">
        <v>119</v>
      </c>
      <c r="E489" s="265" t="s">
        <v>665</v>
      </c>
      <c r="F489" s="294" t="s">
        <v>117</v>
      </c>
      <c r="G489" s="270">
        <v>85.6</v>
      </c>
      <c r="H489" s="22"/>
      <c r="I489" s="22"/>
    </row>
    <row r="490" spans="1:9" ht="15">
      <c r="A490" s="301" t="s">
        <v>480</v>
      </c>
      <c r="B490" s="292"/>
      <c r="C490" s="265" t="s">
        <v>5</v>
      </c>
      <c r="D490" s="265" t="s">
        <v>119</v>
      </c>
      <c r="E490" s="265" t="s">
        <v>665</v>
      </c>
      <c r="F490" s="294" t="s">
        <v>481</v>
      </c>
      <c r="G490" s="270">
        <v>5679.8</v>
      </c>
      <c r="H490" s="22">
        <f>SUM(H493)</f>
        <v>0</v>
      </c>
      <c r="I490" s="22" t="e">
        <f>SUM(H490/G509*100)</f>
        <v>#DIV/0!</v>
      </c>
    </row>
    <row r="491" spans="1:9" ht="15">
      <c r="A491" s="301" t="s">
        <v>457</v>
      </c>
      <c r="B491" s="292"/>
      <c r="C491" s="265" t="s">
        <v>5</v>
      </c>
      <c r="D491" s="265" t="s">
        <v>119</v>
      </c>
      <c r="E491" s="265" t="s">
        <v>666</v>
      </c>
      <c r="F491" s="294"/>
      <c r="G491" s="270">
        <f>G492+G493</f>
        <v>4772.8</v>
      </c>
      <c r="H491" s="22">
        <f>SUM(H492)</f>
        <v>0</v>
      </c>
      <c r="I491" s="22">
        <f>SUM(H491/G510*100)</f>
        <v>0</v>
      </c>
    </row>
    <row r="492" spans="1:9" ht="15">
      <c r="A492" s="301" t="s">
        <v>475</v>
      </c>
      <c r="B492" s="292"/>
      <c r="C492" s="265" t="s">
        <v>5</v>
      </c>
      <c r="D492" s="265" t="s">
        <v>119</v>
      </c>
      <c r="E492" s="265" t="s">
        <v>666</v>
      </c>
      <c r="F492" s="294" t="s">
        <v>117</v>
      </c>
      <c r="G492" s="270">
        <v>49.8</v>
      </c>
      <c r="H492" s="22"/>
      <c r="I492" s="22">
        <f>SUM(H492/G511*100)</f>
        <v>0</v>
      </c>
    </row>
    <row r="493" spans="1:9" ht="15">
      <c r="A493" s="301" t="s">
        <v>480</v>
      </c>
      <c r="B493" s="292"/>
      <c r="C493" s="265" t="s">
        <v>5</v>
      </c>
      <c r="D493" s="265" t="s">
        <v>119</v>
      </c>
      <c r="E493" s="265" t="s">
        <v>666</v>
      </c>
      <c r="F493" s="294" t="s">
        <v>481</v>
      </c>
      <c r="G493" s="271">
        <v>4723</v>
      </c>
      <c r="H493" s="22"/>
      <c r="I493" s="22">
        <f>SUM(H493/G512*100)</f>
        <v>0</v>
      </c>
    </row>
    <row r="494" spans="1:9" ht="15">
      <c r="A494" s="301" t="s">
        <v>458</v>
      </c>
      <c r="B494" s="292"/>
      <c r="C494" s="265" t="s">
        <v>5</v>
      </c>
      <c r="D494" s="265" t="s">
        <v>119</v>
      </c>
      <c r="E494" s="265" t="s">
        <v>667</v>
      </c>
      <c r="F494" s="294"/>
      <c r="G494" s="270">
        <f>SUM(G496)+G495</f>
        <v>20308.199999999997</v>
      </c>
      <c r="H494" s="22"/>
      <c r="I494" s="22"/>
    </row>
    <row r="495" spans="1:9" ht="15">
      <c r="A495" s="301" t="s">
        <v>475</v>
      </c>
      <c r="B495" s="292"/>
      <c r="C495" s="265" t="s">
        <v>5</v>
      </c>
      <c r="D495" s="265" t="s">
        <v>119</v>
      </c>
      <c r="E495" s="265" t="s">
        <v>667</v>
      </c>
      <c r="F495" s="294" t="s">
        <v>117</v>
      </c>
      <c r="G495" s="270">
        <v>315.1</v>
      </c>
      <c r="H495" s="22">
        <f>SUM(H497)</f>
        <v>16711.6</v>
      </c>
      <c r="I495" s="22">
        <f>SUM(H495/G513*100)</f>
        <v>1232.1462803214627</v>
      </c>
    </row>
    <row r="496" spans="1:9" ht="15">
      <c r="A496" s="301" t="s">
        <v>480</v>
      </c>
      <c r="B496" s="292"/>
      <c r="C496" s="265" t="s">
        <v>5</v>
      </c>
      <c r="D496" s="265" t="s">
        <v>119</v>
      </c>
      <c r="E496" s="265" t="s">
        <v>667</v>
      </c>
      <c r="F496" s="294" t="s">
        <v>481</v>
      </c>
      <c r="G496" s="270">
        <v>19993.1</v>
      </c>
      <c r="H496" s="22"/>
      <c r="I496" s="22"/>
    </row>
    <row r="497" spans="1:9" ht="15">
      <c r="A497" s="151" t="s">
        <v>156</v>
      </c>
      <c r="B497" s="259"/>
      <c r="C497" s="260" t="s">
        <v>5</v>
      </c>
      <c r="D497" s="260" t="s">
        <v>359</v>
      </c>
      <c r="E497" s="260"/>
      <c r="F497" s="286"/>
      <c r="G497" s="211">
        <f>G498+G510+G523+G518</f>
        <v>30159.8</v>
      </c>
      <c r="H497" s="22">
        <v>16711.6</v>
      </c>
      <c r="I497" s="22">
        <f>SUM(H497/G514*100)</f>
        <v>1232.1462803214627</v>
      </c>
    </row>
    <row r="498" spans="1:9" ht="28.5">
      <c r="A498" s="151" t="s">
        <v>96</v>
      </c>
      <c r="B498" s="259"/>
      <c r="C498" s="260" t="s">
        <v>5</v>
      </c>
      <c r="D498" s="260" t="s">
        <v>359</v>
      </c>
      <c r="E498" s="260" t="s">
        <v>97</v>
      </c>
      <c r="F498" s="286"/>
      <c r="G498" s="211">
        <f>G499+G502+G505+G507</f>
        <v>21937.9</v>
      </c>
      <c r="H498" s="22">
        <f>SUM(H499)</f>
        <v>15109.199999999999</v>
      </c>
      <c r="I498" s="22">
        <f>SUM(H498/G515*100)</f>
        <v>1454.4859453215247</v>
      </c>
    </row>
    <row r="499" spans="1:9" ht="15">
      <c r="A499" s="151" t="s">
        <v>104</v>
      </c>
      <c r="B499" s="259"/>
      <c r="C499" s="260" t="s">
        <v>5</v>
      </c>
      <c r="D499" s="260" t="s">
        <v>359</v>
      </c>
      <c r="E499" s="260" t="s">
        <v>106</v>
      </c>
      <c r="F499" s="286"/>
      <c r="G499" s="211">
        <f>G500+G501</f>
        <v>3131.8</v>
      </c>
      <c r="H499" s="22">
        <f>SUM(H500)</f>
        <v>15109.199999999999</v>
      </c>
      <c r="I499" s="22" t="e">
        <f>SUM(H499/G516*100)</f>
        <v>#DIV/0!</v>
      </c>
    </row>
    <row r="500" spans="1:11" ht="28.5">
      <c r="A500" s="151" t="s">
        <v>561</v>
      </c>
      <c r="B500" s="259"/>
      <c r="C500" s="260" t="s">
        <v>5</v>
      </c>
      <c r="D500" s="260" t="s">
        <v>359</v>
      </c>
      <c r="E500" s="260" t="s">
        <v>106</v>
      </c>
      <c r="F500" s="286" t="s">
        <v>471</v>
      </c>
      <c r="G500" s="211">
        <v>3119.8</v>
      </c>
      <c r="H500" s="22">
        <f>SUM(H508+H502+H504+H510+H501)</f>
        <v>15109.199999999999</v>
      </c>
      <c r="I500" s="22">
        <f>SUM(H500/G517*100)</f>
        <v>1454.4859453215247</v>
      </c>
      <c r="K500" s="146"/>
    </row>
    <row r="501" spans="1:9" ht="15">
      <c r="A501" s="151" t="s">
        <v>475</v>
      </c>
      <c r="B501" s="259"/>
      <c r="C501" s="260" t="s">
        <v>5</v>
      </c>
      <c r="D501" s="260" t="s">
        <v>359</v>
      </c>
      <c r="E501" s="260" t="s">
        <v>106</v>
      </c>
      <c r="F501" s="286" t="s">
        <v>117</v>
      </c>
      <c r="G501" s="211">
        <v>12</v>
      </c>
      <c r="H501" s="22">
        <v>227.6</v>
      </c>
      <c r="I501" s="22">
        <f>SUM(H501/G523*100)</f>
        <v>303.46666666666664</v>
      </c>
    </row>
    <row r="502" spans="1:9" ht="42.75">
      <c r="A502" s="151" t="s">
        <v>562</v>
      </c>
      <c r="B502" s="259"/>
      <c r="C502" s="260" t="s">
        <v>5</v>
      </c>
      <c r="D502" s="260" t="s">
        <v>359</v>
      </c>
      <c r="E502" s="260" t="s">
        <v>159</v>
      </c>
      <c r="F502" s="286"/>
      <c r="G502" s="211">
        <f>G503+G504</f>
        <v>4233.2</v>
      </c>
      <c r="H502" s="22">
        <f>SUM(H503)</f>
        <v>0</v>
      </c>
      <c r="I502" s="22">
        <f>SUM(H502/G524*100)</f>
        <v>0</v>
      </c>
    </row>
    <row r="503" spans="1:9" ht="28.5">
      <c r="A503" s="151" t="s">
        <v>561</v>
      </c>
      <c r="B503" s="259"/>
      <c r="C503" s="260" t="s">
        <v>5</v>
      </c>
      <c r="D503" s="260" t="s">
        <v>359</v>
      </c>
      <c r="E503" s="260" t="s">
        <v>159</v>
      </c>
      <c r="F503" s="286" t="s">
        <v>471</v>
      </c>
      <c r="G503" s="211">
        <v>3602.4</v>
      </c>
      <c r="H503" s="22"/>
      <c r="I503" s="22">
        <f>SUM(H503/G525*100)</f>
        <v>0</v>
      </c>
    </row>
    <row r="504" spans="1:9" s="140" customFormat="1" ht="15">
      <c r="A504" s="151" t="s">
        <v>475</v>
      </c>
      <c r="B504" s="266"/>
      <c r="C504" s="260" t="s">
        <v>5</v>
      </c>
      <c r="D504" s="260" t="s">
        <v>359</v>
      </c>
      <c r="E504" s="260" t="s">
        <v>159</v>
      </c>
      <c r="F504" s="286" t="s">
        <v>117</v>
      </c>
      <c r="G504" s="211">
        <v>630.8</v>
      </c>
      <c r="H504" s="22">
        <f>SUM(H505)</f>
        <v>2507.7</v>
      </c>
      <c r="I504" s="22" t="e">
        <f>SUM(H504/#REF!*100)</f>
        <v>#REF!</v>
      </c>
    </row>
    <row r="505" spans="1:9" s="140" customFormat="1" ht="28.5">
      <c r="A505" s="151" t="s">
        <v>157</v>
      </c>
      <c r="B505" s="259"/>
      <c r="C505" s="260" t="s">
        <v>5</v>
      </c>
      <c r="D505" s="260" t="s">
        <v>359</v>
      </c>
      <c r="E505" s="260" t="s">
        <v>158</v>
      </c>
      <c r="F505" s="286"/>
      <c r="G505" s="211">
        <f>SUM(G506)</f>
        <v>14572.9</v>
      </c>
      <c r="H505" s="22">
        <v>2507.7</v>
      </c>
      <c r="I505" s="22" t="e">
        <f>SUM(H505/#REF!*100)</f>
        <v>#REF!</v>
      </c>
    </row>
    <row r="506" spans="1:9" s="140" customFormat="1" ht="42" customHeight="1">
      <c r="A506" s="151" t="s">
        <v>561</v>
      </c>
      <c r="B506" s="259"/>
      <c r="C506" s="260" t="s">
        <v>5</v>
      </c>
      <c r="D506" s="260" t="s">
        <v>359</v>
      </c>
      <c r="E506" s="260" t="s">
        <v>158</v>
      </c>
      <c r="F506" s="286" t="s">
        <v>471</v>
      </c>
      <c r="G506" s="211">
        <v>14572.9</v>
      </c>
      <c r="H506" s="22"/>
      <c r="I506" s="22" t="e">
        <f>SUM(H506/#REF!*100)</f>
        <v>#REF!</v>
      </c>
    </row>
    <row r="507" spans="1:9" ht="28.5" hidden="1">
      <c r="A507" s="151" t="s">
        <v>160</v>
      </c>
      <c r="B507" s="266"/>
      <c r="C507" s="260" t="s">
        <v>5</v>
      </c>
      <c r="D507" s="260" t="s">
        <v>359</v>
      </c>
      <c r="E507" s="260" t="s">
        <v>161</v>
      </c>
      <c r="F507" s="286"/>
      <c r="G507" s="211">
        <f>G508+G509</f>
        <v>0</v>
      </c>
      <c r="H507" s="22">
        <f>2956.3+101.6</f>
        <v>3057.9</v>
      </c>
      <c r="I507" s="22" t="e">
        <f>SUM(H507/#REF!*100)</f>
        <v>#REF!</v>
      </c>
    </row>
    <row r="508" spans="1:9" ht="28.5" hidden="1">
      <c r="A508" s="151" t="s">
        <v>561</v>
      </c>
      <c r="B508" s="259"/>
      <c r="C508" s="260" t="s">
        <v>5</v>
      </c>
      <c r="D508" s="260" t="s">
        <v>359</v>
      </c>
      <c r="E508" s="260" t="s">
        <v>161</v>
      </c>
      <c r="F508" s="286" t="s">
        <v>471</v>
      </c>
      <c r="G508" s="211"/>
      <c r="H508" s="22">
        <f>SUM(H509)</f>
        <v>10267.1</v>
      </c>
      <c r="I508" s="22" t="e">
        <f>SUM(H508/#REF!*100)</f>
        <v>#REF!</v>
      </c>
    </row>
    <row r="509" spans="1:9" ht="15" hidden="1">
      <c r="A509" s="151" t="s">
        <v>475</v>
      </c>
      <c r="B509" s="259"/>
      <c r="C509" s="260" t="s">
        <v>5</v>
      </c>
      <c r="D509" s="260" t="s">
        <v>359</v>
      </c>
      <c r="E509" s="260" t="s">
        <v>161</v>
      </c>
      <c r="F509" s="286" t="s">
        <v>117</v>
      </c>
      <c r="G509" s="211"/>
      <c r="H509" s="22">
        <v>10267.1</v>
      </c>
      <c r="I509" s="22" t="e">
        <f>SUM(H509/#REF!*100)</f>
        <v>#REF!</v>
      </c>
    </row>
    <row r="510" spans="1:9" s="140" customFormat="1" ht="28.5">
      <c r="A510" s="151" t="s">
        <v>472</v>
      </c>
      <c r="B510" s="259"/>
      <c r="C510" s="260" t="s">
        <v>5</v>
      </c>
      <c r="D510" s="260" t="s">
        <v>359</v>
      </c>
      <c r="E510" s="260" t="s">
        <v>473</v>
      </c>
      <c r="F510" s="286"/>
      <c r="G510" s="211">
        <f>G511+G513+G515</f>
        <v>2625.1</v>
      </c>
      <c r="H510" s="22">
        <f>SUM(H511)</f>
        <v>2106.8</v>
      </c>
      <c r="I510" s="22" t="e">
        <f>SUM(H510/#REF!*100)</f>
        <v>#REF!</v>
      </c>
    </row>
    <row r="511" spans="1:9" ht="15">
      <c r="A511" s="151" t="s">
        <v>463</v>
      </c>
      <c r="B511" s="266"/>
      <c r="C511" s="260" t="s">
        <v>5</v>
      </c>
      <c r="D511" s="260" t="s">
        <v>359</v>
      </c>
      <c r="E511" s="260" t="s">
        <v>474</v>
      </c>
      <c r="F511" s="286"/>
      <c r="G511" s="211">
        <f>SUM(G512)</f>
        <v>230</v>
      </c>
      <c r="H511" s="22">
        <v>2106.8</v>
      </c>
      <c r="I511" s="22" t="e">
        <f>SUM(H511/#REF!*100)</f>
        <v>#REF!</v>
      </c>
    </row>
    <row r="512" spans="1:9" s="128" customFormat="1" ht="15">
      <c r="A512" s="151" t="s">
        <v>475</v>
      </c>
      <c r="B512" s="259"/>
      <c r="C512" s="260" t="s">
        <v>5</v>
      </c>
      <c r="D512" s="260" t="s">
        <v>359</v>
      </c>
      <c r="E512" s="260" t="s">
        <v>474</v>
      </c>
      <c r="F512" s="286" t="s">
        <v>117</v>
      </c>
      <c r="G512" s="211">
        <v>230</v>
      </c>
      <c r="H512" s="22"/>
      <c r="I512" s="22"/>
    </row>
    <row r="513" spans="1:9" s="128" customFormat="1" ht="28.5">
      <c r="A513" s="151" t="s">
        <v>464</v>
      </c>
      <c r="B513" s="266"/>
      <c r="C513" s="260" t="s">
        <v>5</v>
      </c>
      <c r="D513" s="260" t="s">
        <v>359</v>
      </c>
      <c r="E513" s="260" t="s">
        <v>477</v>
      </c>
      <c r="F513" s="286"/>
      <c r="G513" s="211">
        <f>SUM(G514)</f>
        <v>1356.3</v>
      </c>
      <c r="H513" s="22"/>
      <c r="I513" s="22"/>
    </row>
    <row r="514" spans="1:9" s="128" customFormat="1" ht="15">
      <c r="A514" s="151" t="s">
        <v>475</v>
      </c>
      <c r="B514" s="259"/>
      <c r="C514" s="260" t="s">
        <v>5</v>
      </c>
      <c r="D514" s="260" t="s">
        <v>359</v>
      </c>
      <c r="E514" s="260" t="s">
        <v>477</v>
      </c>
      <c r="F514" s="286" t="s">
        <v>117</v>
      </c>
      <c r="G514" s="211">
        <v>1356.3</v>
      </c>
      <c r="H514" s="22"/>
      <c r="I514" s="22"/>
    </row>
    <row r="515" spans="1:9" s="128" customFormat="1" ht="27" customHeight="1">
      <c r="A515" s="151" t="s">
        <v>478</v>
      </c>
      <c r="B515" s="266"/>
      <c r="C515" s="260" t="s">
        <v>5</v>
      </c>
      <c r="D515" s="260" t="s">
        <v>359</v>
      </c>
      <c r="E515" s="260" t="s">
        <v>479</v>
      </c>
      <c r="F515" s="286"/>
      <c r="G515" s="211">
        <f>G516+G517</f>
        <v>1038.8</v>
      </c>
      <c r="H515" s="22">
        <v>1026.3</v>
      </c>
      <c r="I515" s="22" t="e">
        <f>SUM(H515/#REF!*100)</f>
        <v>#REF!</v>
      </c>
    </row>
    <row r="516" spans="1:9" s="128" customFormat="1" ht="28.5" hidden="1">
      <c r="A516" s="151" t="s">
        <v>561</v>
      </c>
      <c r="B516" s="259"/>
      <c r="C516" s="260" t="s">
        <v>5</v>
      </c>
      <c r="D516" s="260" t="s">
        <v>359</v>
      </c>
      <c r="E516" s="260" t="s">
        <v>479</v>
      </c>
      <c r="F516" s="286" t="s">
        <v>471</v>
      </c>
      <c r="G516" s="211"/>
      <c r="H516" s="22"/>
      <c r="I516" s="22"/>
    </row>
    <row r="517" spans="1:9" s="128" customFormat="1" ht="15">
      <c r="A517" s="151" t="s">
        <v>475</v>
      </c>
      <c r="B517" s="259"/>
      <c r="C517" s="260" t="s">
        <v>5</v>
      </c>
      <c r="D517" s="260" t="s">
        <v>359</v>
      </c>
      <c r="E517" s="260" t="s">
        <v>479</v>
      </c>
      <c r="F517" s="286" t="s">
        <v>117</v>
      </c>
      <c r="G517" s="211">
        <v>1038.8</v>
      </c>
      <c r="H517" s="22"/>
      <c r="I517" s="22"/>
    </row>
    <row r="518" spans="1:9" s="128" customFormat="1" ht="28.5">
      <c r="A518" s="301" t="s">
        <v>635</v>
      </c>
      <c r="B518" s="292"/>
      <c r="C518" s="264" t="s">
        <v>5</v>
      </c>
      <c r="D518" s="264" t="s">
        <v>359</v>
      </c>
      <c r="E518" s="264" t="s">
        <v>636</v>
      </c>
      <c r="F518" s="286"/>
      <c r="G518" s="270">
        <f>G519</f>
        <v>5521.8</v>
      </c>
      <c r="H518" s="22"/>
      <c r="I518" s="22"/>
    </row>
    <row r="519" spans="1:9" s="128" customFormat="1" ht="85.5">
      <c r="A519" s="301" t="s">
        <v>656</v>
      </c>
      <c r="B519" s="292"/>
      <c r="C519" s="264" t="s">
        <v>5</v>
      </c>
      <c r="D519" s="264" t="s">
        <v>359</v>
      </c>
      <c r="E519" s="264" t="s">
        <v>657</v>
      </c>
      <c r="F519" s="286"/>
      <c r="G519" s="270">
        <f>G520</f>
        <v>5521.8</v>
      </c>
      <c r="H519" s="22"/>
      <c r="I519" s="22"/>
    </row>
    <row r="520" spans="1:9" s="128" customFormat="1" ht="28.5">
      <c r="A520" s="303" t="s">
        <v>160</v>
      </c>
      <c r="B520" s="292"/>
      <c r="C520" s="264" t="s">
        <v>5</v>
      </c>
      <c r="D520" s="264" t="s">
        <v>359</v>
      </c>
      <c r="E520" s="264" t="s">
        <v>668</v>
      </c>
      <c r="F520" s="286"/>
      <c r="G520" s="270">
        <f>G521+G522</f>
        <v>5521.8</v>
      </c>
      <c r="H520" s="22"/>
      <c r="I520" s="22"/>
    </row>
    <row r="521" spans="1:9" s="128" customFormat="1" ht="28.5">
      <c r="A521" s="301" t="s">
        <v>561</v>
      </c>
      <c r="B521" s="292"/>
      <c r="C521" s="264" t="s">
        <v>5</v>
      </c>
      <c r="D521" s="264" t="s">
        <v>359</v>
      </c>
      <c r="E521" s="264" t="s">
        <v>668</v>
      </c>
      <c r="F521" s="286" t="s">
        <v>471</v>
      </c>
      <c r="G521" s="270">
        <v>4948.6</v>
      </c>
      <c r="H521" s="22"/>
      <c r="I521" s="22"/>
    </row>
    <row r="522" spans="1:9" s="128" customFormat="1" ht="15">
      <c r="A522" s="301" t="s">
        <v>475</v>
      </c>
      <c r="B522" s="292"/>
      <c r="C522" s="264" t="s">
        <v>5</v>
      </c>
      <c r="D522" s="264" t="s">
        <v>359</v>
      </c>
      <c r="E522" s="264" t="s">
        <v>668</v>
      </c>
      <c r="F522" s="286" t="s">
        <v>117</v>
      </c>
      <c r="G522" s="270">
        <v>573.2</v>
      </c>
      <c r="H522" s="22"/>
      <c r="I522" s="22"/>
    </row>
    <row r="523" spans="1:9" s="128" customFormat="1" ht="15">
      <c r="A523" s="151" t="s">
        <v>558</v>
      </c>
      <c r="B523" s="259"/>
      <c r="C523" s="260" t="s">
        <v>5</v>
      </c>
      <c r="D523" s="260" t="s">
        <v>359</v>
      </c>
      <c r="E523" s="260" t="s">
        <v>126</v>
      </c>
      <c r="F523" s="286"/>
      <c r="G523" s="211">
        <f>G524</f>
        <v>75</v>
      </c>
      <c r="H523" s="22"/>
      <c r="I523" s="22"/>
    </row>
    <row r="524" spans="1:9" s="128" customFormat="1" ht="42.75">
      <c r="A524" s="151" t="s">
        <v>563</v>
      </c>
      <c r="B524" s="259"/>
      <c r="C524" s="260" t="s">
        <v>5</v>
      </c>
      <c r="D524" s="260" t="s">
        <v>359</v>
      </c>
      <c r="E524" s="260" t="s">
        <v>333</v>
      </c>
      <c r="F524" s="286"/>
      <c r="G524" s="211">
        <f>G525</f>
        <v>75</v>
      </c>
      <c r="H524" s="22"/>
      <c r="I524" s="22"/>
    </row>
    <row r="525" spans="1:9" ht="28.5">
      <c r="A525" s="151" t="s">
        <v>556</v>
      </c>
      <c r="B525" s="259"/>
      <c r="C525" s="260" t="s">
        <v>5</v>
      </c>
      <c r="D525" s="260" t="s">
        <v>359</v>
      </c>
      <c r="E525" s="260" t="s">
        <v>333</v>
      </c>
      <c r="F525" s="286" t="s">
        <v>487</v>
      </c>
      <c r="G525" s="211">
        <v>75</v>
      </c>
      <c r="H525" s="22"/>
      <c r="I525" s="22"/>
    </row>
    <row r="526" spans="1:9" ht="30">
      <c r="A526" s="229" t="s">
        <v>465</v>
      </c>
      <c r="B526" s="230" t="s">
        <v>187</v>
      </c>
      <c r="C526" s="231"/>
      <c r="D526" s="231"/>
      <c r="E526" s="231"/>
      <c r="F526" s="282"/>
      <c r="G526" s="212">
        <f>SUM(G527+G533)</f>
        <v>64361</v>
      </c>
      <c r="H526" s="22"/>
      <c r="I526" s="22"/>
    </row>
    <row r="527" spans="1:9" ht="15">
      <c r="A527" s="223" t="s">
        <v>113</v>
      </c>
      <c r="B527" s="224"/>
      <c r="C527" s="228" t="s">
        <v>114</v>
      </c>
      <c r="D527" s="228"/>
      <c r="E527" s="228"/>
      <c r="F527" s="280"/>
      <c r="G527" s="197">
        <f>SUM(G528)</f>
        <v>57295</v>
      </c>
      <c r="H527" s="22"/>
      <c r="I527" s="22"/>
    </row>
    <row r="528" spans="1:9" ht="15">
      <c r="A528" s="223" t="s">
        <v>310</v>
      </c>
      <c r="B528" s="230"/>
      <c r="C528" s="228" t="s">
        <v>114</v>
      </c>
      <c r="D528" s="228" t="s">
        <v>429</v>
      </c>
      <c r="E528" s="228"/>
      <c r="F528" s="280"/>
      <c r="G528" s="197">
        <f>SUM(G529)</f>
        <v>57295</v>
      </c>
      <c r="H528" s="22"/>
      <c r="I528" s="22"/>
    </row>
    <row r="529" spans="1:9" ht="15">
      <c r="A529" s="223" t="s">
        <v>595</v>
      </c>
      <c r="B529" s="224"/>
      <c r="C529" s="228" t="s">
        <v>114</v>
      </c>
      <c r="D529" s="228" t="s">
        <v>429</v>
      </c>
      <c r="E529" s="228" t="s">
        <v>296</v>
      </c>
      <c r="F529" s="280"/>
      <c r="G529" s="197">
        <f>SUM(G530)</f>
        <v>57295</v>
      </c>
      <c r="H529" s="22"/>
      <c r="I529" s="22"/>
    </row>
    <row r="530" spans="1:9" ht="15">
      <c r="A530" s="223" t="s">
        <v>571</v>
      </c>
      <c r="B530" s="230"/>
      <c r="C530" s="228" t="s">
        <v>114</v>
      </c>
      <c r="D530" s="228" t="s">
        <v>429</v>
      </c>
      <c r="E530" s="228" t="s">
        <v>78</v>
      </c>
      <c r="F530" s="280"/>
      <c r="G530" s="197">
        <f>SUM(G531)</f>
        <v>57295</v>
      </c>
      <c r="H530" s="22"/>
      <c r="I530" s="22"/>
    </row>
    <row r="531" spans="1:9" ht="28.5">
      <c r="A531" s="223" t="s">
        <v>92</v>
      </c>
      <c r="B531" s="230"/>
      <c r="C531" s="228" t="s">
        <v>114</v>
      </c>
      <c r="D531" s="228" t="s">
        <v>429</v>
      </c>
      <c r="E531" s="228" t="s">
        <v>79</v>
      </c>
      <c r="F531" s="280"/>
      <c r="G531" s="197">
        <f>SUM(G532)</f>
        <v>57295</v>
      </c>
      <c r="H531" s="117"/>
      <c r="I531" s="22"/>
    </row>
    <row r="532" spans="1:9" ht="28.5">
      <c r="A532" s="151" t="s">
        <v>489</v>
      </c>
      <c r="B532" s="243"/>
      <c r="C532" s="228" t="s">
        <v>114</v>
      </c>
      <c r="D532" s="228" t="s">
        <v>429</v>
      </c>
      <c r="E532" s="228" t="s">
        <v>79</v>
      </c>
      <c r="F532" s="281" t="s">
        <v>487</v>
      </c>
      <c r="G532" s="197">
        <v>57295</v>
      </c>
      <c r="H532" s="117"/>
      <c r="I532" s="22"/>
    </row>
    <row r="533" spans="1:9" ht="15.75">
      <c r="A533" s="223" t="s">
        <v>225</v>
      </c>
      <c r="B533" s="224"/>
      <c r="C533" s="228" t="s">
        <v>385</v>
      </c>
      <c r="D533" s="228"/>
      <c r="E533" s="228"/>
      <c r="F533" s="280"/>
      <c r="G533" s="197">
        <f>SUM(G534+G554+G550)</f>
        <v>7066</v>
      </c>
      <c r="H533" s="117"/>
      <c r="I533" s="22"/>
    </row>
    <row r="534" spans="1:9" ht="15.75">
      <c r="A534" s="223" t="s">
        <v>220</v>
      </c>
      <c r="B534" s="224"/>
      <c r="C534" s="225" t="s">
        <v>385</v>
      </c>
      <c r="D534" s="225" t="s">
        <v>427</v>
      </c>
      <c r="E534" s="225"/>
      <c r="F534" s="279"/>
      <c r="G534" s="197">
        <f>SUM(G535,G537,G543)</f>
        <v>7066</v>
      </c>
      <c r="H534" s="117"/>
      <c r="I534" s="22"/>
    </row>
    <row r="535" spans="1:9" ht="15.75" hidden="1">
      <c r="A535" s="151" t="s">
        <v>355</v>
      </c>
      <c r="B535" s="224"/>
      <c r="C535" s="225" t="s">
        <v>279</v>
      </c>
      <c r="D535" s="225" t="s">
        <v>121</v>
      </c>
      <c r="E535" s="228" t="s">
        <v>356</v>
      </c>
      <c r="F535" s="280"/>
      <c r="G535" s="197">
        <f>SUM(G536)</f>
        <v>0</v>
      </c>
      <c r="H535" s="117"/>
      <c r="I535" s="22"/>
    </row>
    <row r="536" spans="1:9" ht="15.75" hidden="1">
      <c r="A536" s="223" t="s">
        <v>100</v>
      </c>
      <c r="B536" s="224"/>
      <c r="C536" s="225" t="s">
        <v>279</v>
      </c>
      <c r="D536" s="225" t="s">
        <v>121</v>
      </c>
      <c r="E536" s="228" t="s">
        <v>356</v>
      </c>
      <c r="F536" s="280" t="s">
        <v>101</v>
      </c>
      <c r="G536" s="197">
        <f>50.3-50.3</f>
        <v>0</v>
      </c>
      <c r="H536" s="117"/>
      <c r="I536" s="22"/>
    </row>
    <row r="537" spans="1:9" ht="28.5">
      <c r="A537" s="223" t="s">
        <v>466</v>
      </c>
      <c r="B537" s="224"/>
      <c r="C537" s="225" t="s">
        <v>385</v>
      </c>
      <c r="D537" s="225" t="s">
        <v>427</v>
      </c>
      <c r="E537" s="225" t="s">
        <v>467</v>
      </c>
      <c r="F537" s="280"/>
      <c r="G537" s="197">
        <f>SUM(G538)</f>
        <v>3854.3</v>
      </c>
      <c r="H537" s="117"/>
      <c r="I537" s="22"/>
    </row>
    <row r="538" spans="1:9" ht="28.5">
      <c r="A538" s="223" t="s">
        <v>56</v>
      </c>
      <c r="B538" s="224"/>
      <c r="C538" s="225" t="s">
        <v>385</v>
      </c>
      <c r="D538" s="225" t="s">
        <v>427</v>
      </c>
      <c r="E538" s="225" t="s">
        <v>468</v>
      </c>
      <c r="F538" s="280"/>
      <c r="G538" s="197">
        <f>SUM(G539)</f>
        <v>3854.3</v>
      </c>
      <c r="H538" s="117"/>
      <c r="I538" s="22"/>
    </row>
    <row r="539" spans="1:9" ht="28.5">
      <c r="A539" s="223" t="s">
        <v>596</v>
      </c>
      <c r="B539" s="224"/>
      <c r="C539" s="225" t="s">
        <v>385</v>
      </c>
      <c r="D539" s="225" t="s">
        <v>427</v>
      </c>
      <c r="E539" s="225" t="s">
        <v>544</v>
      </c>
      <c r="F539" s="280"/>
      <c r="G539" s="197">
        <f>SUM(G540:G542)</f>
        <v>3854.3</v>
      </c>
      <c r="H539" s="117"/>
      <c r="I539" s="22"/>
    </row>
    <row r="540" spans="1:9" ht="28.5">
      <c r="A540" s="223" t="s">
        <v>470</v>
      </c>
      <c r="B540" s="224"/>
      <c r="C540" s="225" t="s">
        <v>385</v>
      </c>
      <c r="D540" s="225" t="s">
        <v>427</v>
      </c>
      <c r="E540" s="225" t="s">
        <v>544</v>
      </c>
      <c r="F540" s="279" t="s">
        <v>471</v>
      </c>
      <c r="G540" s="197">
        <v>3228.9</v>
      </c>
      <c r="H540" s="22">
        <f>SUM(H541)</f>
        <v>79.5</v>
      </c>
      <c r="I540" s="22"/>
    </row>
    <row r="541" spans="1:9" ht="15">
      <c r="A541" s="223" t="s">
        <v>475</v>
      </c>
      <c r="B541" s="224"/>
      <c r="C541" s="225" t="s">
        <v>385</v>
      </c>
      <c r="D541" s="225" t="s">
        <v>427</v>
      </c>
      <c r="E541" s="225" t="s">
        <v>544</v>
      </c>
      <c r="F541" s="279" t="s">
        <v>117</v>
      </c>
      <c r="G541" s="205">
        <v>619.4</v>
      </c>
      <c r="H541" s="22">
        <v>79.5</v>
      </c>
      <c r="I541" s="22"/>
    </row>
    <row r="542" spans="1:9" ht="15">
      <c r="A542" s="223" t="s">
        <v>476</v>
      </c>
      <c r="B542" s="224"/>
      <c r="C542" s="225" t="s">
        <v>385</v>
      </c>
      <c r="D542" s="225" t="s">
        <v>427</v>
      </c>
      <c r="E542" s="225" t="s">
        <v>544</v>
      </c>
      <c r="F542" s="280" t="s">
        <v>166</v>
      </c>
      <c r="G542" s="197">
        <v>6</v>
      </c>
      <c r="H542" s="22">
        <f>SUM(H544)</f>
        <v>186.6</v>
      </c>
      <c r="I542" s="22" t="e">
        <f>SUM(H542/G563*100)</f>
        <v>#DIV/0!</v>
      </c>
    </row>
    <row r="543" spans="1:9" ht="15">
      <c r="A543" s="151" t="s">
        <v>558</v>
      </c>
      <c r="B543" s="224"/>
      <c r="C543" s="225" t="s">
        <v>385</v>
      </c>
      <c r="D543" s="225" t="s">
        <v>427</v>
      </c>
      <c r="E543" s="231" t="s">
        <v>126</v>
      </c>
      <c r="F543" s="279"/>
      <c r="G543" s="197">
        <f>SUM(G544)</f>
        <v>3211.7</v>
      </c>
      <c r="H543" s="22">
        <f>SUM(H544)</f>
        <v>186.6</v>
      </c>
      <c r="I543" s="22" t="e">
        <f>SUM(H543/G564*100)</f>
        <v>#DIV/0!</v>
      </c>
    </row>
    <row r="544" spans="1:9" ht="28.5">
      <c r="A544" s="223" t="s">
        <v>593</v>
      </c>
      <c r="B544" s="224"/>
      <c r="C544" s="225" t="s">
        <v>385</v>
      </c>
      <c r="D544" s="225" t="s">
        <v>427</v>
      </c>
      <c r="E544" s="231" t="s">
        <v>95</v>
      </c>
      <c r="F544" s="279"/>
      <c r="G544" s="197">
        <f>SUM(G545:G547)</f>
        <v>3211.7</v>
      </c>
      <c r="H544" s="22">
        <v>186.6</v>
      </c>
      <c r="I544" s="22" t="e">
        <f>SUM(H544/G565*100)</f>
        <v>#DIV/0!</v>
      </c>
    </row>
    <row r="545" spans="1:9" ht="28.5">
      <c r="A545" s="223" t="s">
        <v>470</v>
      </c>
      <c r="B545" s="224"/>
      <c r="C545" s="225" t="s">
        <v>385</v>
      </c>
      <c r="D545" s="225" t="s">
        <v>427</v>
      </c>
      <c r="E545" s="231" t="s">
        <v>95</v>
      </c>
      <c r="F545" s="279" t="s">
        <v>471</v>
      </c>
      <c r="G545" s="197">
        <v>700</v>
      </c>
      <c r="H545" s="22"/>
      <c r="I545" s="22"/>
    </row>
    <row r="546" spans="1:9" ht="15.75">
      <c r="A546" s="223" t="s">
        <v>475</v>
      </c>
      <c r="B546" s="224"/>
      <c r="C546" s="225" t="s">
        <v>385</v>
      </c>
      <c r="D546" s="225" t="s">
        <v>427</v>
      </c>
      <c r="E546" s="231" t="s">
        <v>95</v>
      </c>
      <c r="F546" s="279" t="s">
        <v>117</v>
      </c>
      <c r="G546" s="197">
        <v>1555.7</v>
      </c>
      <c r="H546" s="117" t="e">
        <f>SUM(H547)</f>
        <v>#REF!</v>
      </c>
      <c r="I546" s="117" t="e">
        <f>SUM(H546/#REF!*100)</f>
        <v>#REF!</v>
      </c>
    </row>
    <row r="547" spans="1:9" ht="28.5">
      <c r="A547" s="151" t="s">
        <v>489</v>
      </c>
      <c r="B547" s="224"/>
      <c r="C547" s="225" t="s">
        <v>385</v>
      </c>
      <c r="D547" s="225" t="s">
        <v>427</v>
      </c>
      <c r="E547" s="231" t="s">
        <v>95</v>
      </c>
      <c r="F547" s="279" t="s">
        <v>487</v>
      </c>
      <c r="G547" s="197">
        <v>956</v>
      </c>
      <c r="H547" s="22" t="e">
        <f>SUM(H548)</f>
        <v>#REF!</v>
      </c>
      <c r="I547" s="22" t="e">
        <f>SUM(H547/#REF!*100)</f>
        <v>#REF!</v>
      </c>
    </row>
    <row r="548" spans="1:9" ht="28.5" hidden="1">
      <c r="A548" s="223" t="s">
        <v>147</v>
      </c>
      <c r="B548" s="224"/>
      <c r="C548" s="225" t="s">
        <v>385</v>
      </c>
      <c r="D548" s="225" t="s">
        <v>427</v>
      </c>
      <c r="E548" s="231" t="s">
        <v>378</v>
      </c>
      <c r="F548" s="279"/>
      <c r="G548" s="197">
        <f>SUM(G549)</f>
        <v>0</v>
      </c>
      <c r="H548" s="22" t="e">
        <f>SUM(H549+#REF!)</f>
        <v>#REF!</v>
      </c>
      <c r="I548" s="22" t="e">
        <f>SUM(H548/#REF!*100)</f>
        <v>#REF!</v>
      </c>
    </row>
    <row r="549" spans="1:9" ht="15" hidden="1">
      <c r="A549" s="151" t="s">
        <v>139</v>
      </c>
      <c r="B549" s="224"/>
      <c r="C549" s="225" t="s">
        <v>385</v>
      </c>
      <c r="D549" s="225" t="s">
        <v>427</v>
      </c>
      <c r="E549" s="231" t="s">
        <v>378</v>
      </c>
      <c r="F549" s="279" t="s">
        <v>83</v>
      </c>
      <c r="G549" s="197"/>
      <c r="H549" s="22" t="e">
        <f>SUM(H550+H552+#REF!+#REF!+#REF!+#REF!)</f>
        <v>#REF!</v>
      </c>
      <c r="I549" s="22" t="e">
        <f>SUM(H549/#REF!*100)</f>
        <v>#REF!</v>
      </c>
    </row>
    <row r="550" spans="1:9" ht="15" hidden="1">
      <c r="A550" s="223" t="s">
        <v>150</v>
      </c>
      <c r="B550" s="224"/>
      <c r="C550" s="225" t="s">
        <v>385</v>
      </c>
      <c r="D550" s="225" t="s">
        <v>429</v>
      </c>
      <c r="E550" s="228"/>
      <c r="F550" s="280"/>
      <c r="G550" s="197">
        <f>SUM(G551)</f>
        <v>0</v>
      </c>
      <c r="H550" s="22">
        <f>SUM(H551)</f>
        <v>2461.2</v>
      </c>
      <c r="I550" s="22" t="e">
        <f>SUM(H550/#REF!*100)</f>
        <v>#REF!</v>
      </c>
    </row>
    <row r="551" spans="1:9" ht="15" hidden="1">
      <c r="A551" s="223" t="s">
        <v>3</v>
      </c>
      <c r="B551" s="224"/>
      <c r="C551" s="225" t="s">
        <v>385</v>
      </c>
      <c r="D551" s="225" t="s">
        <v>429</v>
      </c>
      <c r="E551" s="225" t="s">
        <v>4</v>
      </c>
      <c r="F551" s="280"/>
      <c r="G551" s="197">
        <f>SUM(G552)</f>
        <v>0</v>
      </c>
      <c r="H551" s="22">
        <v>2461.2</v>
      </c>
      <c r="I551" s="22" t="e">
        <f>SUM(H551/#REF!*100)</f>
        <v>#REF!</v>
      </c>
    </row>
    <row r="552" spans="1:9" ht="28.5" hidden="1">
      <c r="A552" s="223" t="s">
        <v>151</v>
      </c>
      <c r="B552" s="224"/>
      <c r="C552" s="225" t="s">
        <v>385</v>
      </c>
      <c r="D552" s="225" t="s">
        <v>429</v>
      </c>
      <c r="E552" s="225" t="s">
        <v>273</v>
      </c>
      <c r="F552" s="280"/>
      <c r="G552" s="197">
        <f>SUM(G553)</f>
        <v>0</v>
      </c>
      <c r="H552" s="22">
        <f>SUM(H553)</f>
        <v>25107.2</v>
      </c>
      <c r="I552" s="22" t="e">
        <f>SUM(H552/#REF!*100)</f>
        <v>#REF!</v>
      </c>
    </row>
    <row r="553" spans="1:9" ht="15" hidden="1">
      <c r="A553" s="151" t="s">
        <v>139</v>
      </c>
      <c r="B553" s="224"/>
      <c r="C553" s="225" t="s">
        <v>385</v>
      </c>
      <c r="D553" s="225" t="s">
        <v>429</v>
      </c>
      <c r="E553" s="225" t="s">
        <v>273</v>
      </c>
      <c r="F553" s="279" t="s">
        <v>83</v>
      </c>
      <c r="G553" s="197"/>
      <c r="H553" s="22">
        <v>25107.2</v>
      </c>
      <c r="I553" s="22" t="e">
        <f>SUM(H553/#REF!*100)</f>
        <v>#REF!</v>
      </c>
    </row>
    <row r="554" spans="1:9" ht="15" hidden="1">
      <c r="A554" s="223" t="s">
        <v>221</v>
      </c>
      <c r="B554" s="224"/>
      <c r="C554" s="225" t="s">
        <v>385</v>
      </c>
      <c r="D554" s="225" t="s">
        <v>128</v>
      </c>
      <c r="E554" s="228"/>
      <c r="F554" s="280"/>
      <c r="G554" s="197">
        <f>SUM(G555+G561+G563)+G558</f>
        <v>0</v>
      </c>
      <c r="H554" s="22">
        <f>SUM(H558+H647+H645)</f>
        <v>56722</v>
      </c>
      <c r="I554" s="22">
        <f>SUM(H554/G570*100)</f>
        <v>32.25516621743037</v>
      </c>
    </row>
    <row r="555" spans="1:9" ht="28.5" hidden="1">
      <c r="A555" s="223" t="s">
        <v>96</v>
      </c>
      <c r="B555" s="224"/>
      <c r="C555" s="225" t="s">
        <v>385</v>
      </c>
      <c r="D555" s="225" t="s">
        <v>128</v>
      </c>
      <c r="E555" s="225" t="s">
        <v>97</v>
      </c>
      <c r="F555" s="280"/>
      <c r="G555" s="197">
        <f>SUM(G556)</f>
        <v>0</v>
      </c>
      <c r="H555" s="22"/>
      <c r="I555" s="22"/>
    </row>
    <row r="556" spans="1:9" ht="15" hidden="1">
      <c r="A556" s="223" t="s">
        <v>104</v>
      </c>
      <c r="B556" s="224"/>
      <c r="C556" s="225" t="s">
        <v>385</v>
      </c>
      <c r="D556" s="225" t="s">
        <v>128</v>
      </c>
      <c r="E556" s="225" t="s">
        <v>106</v>
      </c>
      <c r="F556" s="280"/>
      <c r="G556" s="197">
        <f>SUM(G557)</f>
        <v>0</v>
      </c>
      <c r="H556" s="22"/>
      <c r="I556" s="22"/>
    </row>
    <row r="557" spans="1:9" ht="15" hidden="1">
      <c r="A557" s="223" t="s">
        <v>100</v>
      </c>
      <c r="B557" s="224"/>
      <c r="C557" s="225" t="s">
        <v>385</v>
      </c>
      <c r="D557" s="225" t="s">
        <v>128</v>
      </c>
      <c r="E557" s="225" t="s">
        <v>106</v>
      </c>
      <c r="F557" s="279" t="s">
        <v>101</v>
      </c>
      <c r="G557" s="197"/>
      <c r="H557" s="22"/>
      <c r="I557" s="22"/>
    </row>
    <row r="558" spans="1:9" ht="15" hidden="1">
      <c r="A558" s="151" t="s">
        <v>125</v>
      </c>
      <c r="B558" s="224"/>
      <c r="C558" s="225" t="s">
        <v>385</v>
      </c>
      <c r="D558" s="225" t="s">
        <v>128</v>
      </c>
      <c r="E558" s="231" t="s">
        <v>126</v>
      </c>
      <c r="F558" s="279"/>
      <c r="G558" s="197">
        <f>SUM(G559)</f>
        <v>0</v>
      </c>
      <c r="H558" s="22">
        <v>56722</v>
      </c>
      <c r="I558" s="22" t="e">
        <f>SUM(H558/#REF!*100)</f>
        <v>#REF!</v>
      </c>
    </row>
    <row r="559" spans="1:9" ht="42.75" hidden="1">
      <c r="A559" s="236" t="s">
        <v>191</v>
      </c>
      <c r="B559" s="224"/>
      <c r="C559" s="225" t="s">
        <v>385</v>
      </c>
      <c r="D559" s="225" t="s">
        <v>128</v>
      </c>
      <c r="E559" s="228" t="s">
        <v>277</v>
      </c>
      <c r="F559" s="279"/>
      <c r="G559" s="197">
        <f>SUM(G560)</f>
        <v>0</v>
      </c>
      <c r="H559" s="22"/>
      <c r="I559" s="22"/>
    </row>
    <row r="560" spans="1:9" ht="15" hidden="1">
      <c r="A560" s="223" t="s">
        <v>100</v>
      </c>
      <c r="B560" s="224"/>
      <c r="C560" s="225" t="s">
        <v>385</v>
      </c>
      <c r="D560" s="225" t="s">
        <v>128</v>
      </c>
      <c r="E560" s="228" t="s">
        <v>277</v>
      </c>
      <c r="F560" s="279" t="s">
        <v>101</v>
      </c>
      <c r="G560" s="197"/>
      <c r="H560" s="22"/>
      <c r="I560" s="22"/>
    </row>
    <row r="561" spans="1:9" ht="15" hidden="1">
      <c r="A561" s="151" t="s">
        <v>355</v>
      </c>
      <c r="B561" s="224"/>
      <c r="C561" s="225" t="s">
        <v>385</v>
      </c>
      <c r="D561" s="225" t="s">
        <v>128</v>
      </c>
      <c r="E561" s="228" t="s">
        <v>356</v>
      </c>
      <c r="F561" s="280"/>
      <c r="G561" s="197">
        <f>SUM(G562)</f>
        <v>0</v>
      </c>
      <c r="H561" s="22"/>
      <c r="I561" s="22"/>
    </row>
    <row r="562" spans="1:9" ht="15" hidden="1">
      <c r="A562" s="223" t="s">
        <v>100</v>
      </c>
      <c r="B562" s="224"/>
      <c r="C562" s="225" t="s">
        <v>385</v>
      </c>
      <c r="D562" s="225" t="s">
        <v>128</v>
      </c>
      <c r="E562" s="228" t="s">
        <v>356</v>
      </c>
      <c r="F562" s="280" t="s">
        <v>101</v>
      </c>
      <c r="G562" s="197"/>
      <c r="H562" s="22"/>
      <c r="I562" s="22"/>
    </row>
    <row r="563" spans="1:9" ht="28.5" hidden="1">
      <c r="A563" s="187" t="s">
        <v>110</v>
      </c>
      <c r="B563" s="224"/>
      <c r="C563" s="225" t="s">
        <v>385</v>
      </c>
      <c r="D563" s="225" t="s">
        <v>128</v>
      </c>
      <c r="E563" s="225" t="s">
        <v>111</v>
      </c>
      <c r="F563" s="281"/>
      <c r="G563" s="197">
        <f>SUM(G565)</f>
        <v>0</v>
      </c>
      <c r="H563" s="22"/>
      <c r="I563" s="22"/>
    </row>
    <row r="564" spans="1:9" ht="15" hidden="1">
      <c r="A564" s="187" t="s">
        <v>112</v>
      </c>
      <c r="B564" s="224"/>
      <c r="C564" s="225" t="s">
        <v>385</v>
      </c>
      <c r="D564" s="225" t="s">
        <v>128</v>
      </c>
      <c r="E564" s="225" t="s">
        <v>228</v>
      </c>
      <c r="F564" s="281"/>
      <c r="G564" s="197">
        <f>SUM(G565)</f>
        <v>0</v>
      </c>
      <c r="H564" s="22"/>
      <c r="I564" s="22"/>
    </row>
    <row r="565" spans="1:9" ht="15" hidden="1">
      <c r="A565" s="223" t="s">
        <v>100</v>
      </c>
      <c r="B565" s="224"/>
      <c r="C565" s="225" t="s">
        <v>385</v>
      </c>
      <c r="D565" s="225" t="s">
        <v>128</v>
      </c>
      <c r="E565" s="225" t="s">
        <v>228</v>
      </c>
      <c r="F565" s="281" t="s">
        <v>101</v>
      </c>
      <c r="G565" s="197"/>
      <c r="H565" s="22"/>
      <c r="I565" s="22"/>
    </row>
    <row r="566" spans="1:9" ht="15">
      <c r="A566" s="229" t="s">
        <v>281</v>
      </c>
      <c r="B566" s="230" t="s">
        <v>243</v>
      </c>
      <c r="C566" s="249"/>
      <c r="D566" s="249"/>
      <c r="E566" s="249"/>
      <c r="F566" s="295"/>
      <c r="G566" s="206">
        <f>SUM(G567+G673)</f>
        <v>1600597.4000000001</v>
      </c>
      <c r="H566" s="22"/>
      <c r="I566" s="22"/>
    </row>
    <row r="567" spans="1:9" ht="15">
      <c r="A567" s="151" t="s">
        <v>113</v>
      </c>
      <c r="B567" s="250"/>
      <c r="C567" s="235" t="s">
        <v>114</v>
      </c>
      <c r="D567" s="235"/>
      <c r="E567" s="235"/>
      <c r="F567" s="296"/>
      <c r="G567" s="210">
        <f>SUM(G568+G597+G645+G667)</f>
        <v>1563751.7000000002</v>
      </c>
      <c r="H567" s="22"/>
      <c r="I567" s="22"/>
    </row>
    <row r="568" spans="1:9" ht="15">
      <c r="A568" s="151" t="s">
        <v>306</v>
      </c>
      <c r="B568" s="243"/>
      <c r="C568" s="235" t="s">
        <v>114</v>
      </c>
      <c r="D568" s="235" t="s">
        <v>427</v>
      </c>
      <c r="E568" s="235"/>
      <c r="F568" s="296"/>
      <c r="G568" s="210">
        <f>SUM(G569+G590)+G580</f>
        <v>620158.1000000001</v>
      </c>
      <c r="H568" s="22">
        <v>187516.5</v>
      </c>
      <c r="I568" s="22">
        <f>SUM(H568/G600*100)</f>
        <v>187.512374727756</v>
      </c>
    </row>
    <row r="569" spans="1:9" s="128" customFormat="1" ht="15">
      <c r="A569" s="151" t="s">
        <v>307</v>
      </c>
      <c r="B569" s="243"/>
      <c r="C569" s="235" t="s">
        <v>114</v>
      </c>
      <c r="D569" s="235" t="s">
        <v>427</v>
      </c>
      <c r="E569" s="235" t="s">
        <v>308</v>
      </c>
      <c r="F569" s="296"/>
      <c r="G569" s="210">
        <f>SUM(G570+G576)</f>
        <v>210215.2</v>
      </c>
      <c r="H569" s="22"/>
      <c r="I569" s="22"/>
    </row>
    <row r="570" spans="1:9" s="128" customFormat="1" ht="15">
      <c r="A570" s="151" t="s">
        <v>571</v>
      </c>
      <c r="B570" s="243"/>
      <c r="C570" s="235" t="s">
        <v>114</v>
      </c>
      <c r="D570" s="235" t="s">
        <v>427</v>
      </c>
      <c r="E570" s="235" t="s">
        <v>84</v>
      </c>
      <c r="F570" s="296"/>
      <c r="G570" s="210">
        <f>SUM(G571+G573)</f>
        <v>175854</v>
      </c>
      <c r="H570" s="22">
        <v>187516.5</v>
      </c>
      <c r="I570" s="22" t="e">
        <f>SUM(H570/#REF!*100)</f>
        <v>#REF!</v>
      </c>
    </row>
    <row r="571" spans="1:9" s="128" customFormat="1" ht="28.5">
      <c r="A571" s="151" t="s">
        <v>189</v>
      </c>
      <c r="B571" s="243"/>
      <c r="C571" s="235" t="s">
        <v>114</v>
      </c>
      <c r="D571" s="235" t="s">
        <v>427</v>
      </c>
      <c r="E571" s="235" t="s">
        <v>85</v>
      </c>
      <c r="F571" s="296"/>
      <c r="G571" s="210">
        <f>SUM(G572)</f>
        <v>175019</v>
      </c>
      <c r="H571" s="22"/>
      <c r="I571" s="22"/>
    </row>
    <row r="572" spans="1:9" ht="28.5">
      <c r="A572" s="151" t="s">
        <v>496</v>
      </c>
      <c r="B572" s="243"/>
      <c r="C572" s="235" t="s">
        <v>114</v>
      </c>
      <c r="D572" s="235" t="s">
        <v>427</v>
      </c>
      <c r="E572" s="235" t="s">
        <v>85</v>
      </c>
      <c r="F572" s="296" t="s">
        <v>487</v>
      </c>
      <c r="G572" s="210">
        <v>175019</v>
      </c>
      <c r="H572" s="22"/>
      <c r="I572" s="22"/>
    </row>
    <row r="573" spans="1:9" ht="15">
      <c r="A573" s="299" t="s">
        <v>153</v>
      </c>
      <c r="B573" s="251"/>
      <c r="C573" s="240" t="s">
        <v>114</v>
      </c>
      <c r="D573" s="240" t="s">
        <v>427</v>
      </c>
      <c r="E573" s="240" t="s">
        <v>669</v>
      </c>
      <c r="F573" s="291"/>
      <c r="G573" s="193">
        <f>SUM(G575)</f>
        <v>835</v>
      </c>
      <c r="H573" s="22"/>
      <c r="I573" s="22"/>
    </row>
    <row r="574" spans="1:9" ht="15">
      <c r="A574" s="299" t="s">
        <v>149</v>
      </c>
      <c r="B574" s="251"/>
      <c r="C574" s="240" t="s">
        <v>114</v>
      </c>
      <c r="D574" s="240" t="s">
        <v>427</v>
      </c>
      <c r="E574" s="240" t="s">
        <v>670</v>
      </c>
      <c r="F574" s="291"/>
      <c r="G574" s="193">
        <f>SUM(G575)</f>
        <v>835</v>
      </c>
      <c r="H574" s="22"/>
      <c r="I574" s="22"/>
    </row>
    <row r="575" spans="1:9" ht="28.5">
      <c r="A575" s="183" t="s">
        <v>496</v>
      </c>
      <c r="B575" s="251"/>
      <c r="C575" s="240" t="s">
        <v>114</v>
      </c>
      <c r="D575" s="240" t="s">
        <v>427</v>
      </c>
      <c r="E575" s="240" t="s">
        <v>670</v>
      </c>
      <c r="F575" s="280" t="s">
        <v>487</v>
      </c>
      <c r="G575" s="193">
        <v>835</v>
      </c>
      <c r="H575" s="22"/>
      <c r="I575" s="22"/>
    </row>
    <row r="576" spans="1:9" ht="28.5">
      <c r="A576" s="151" t="s">
        <v>56</v>
      </c>
      <c r="B576" s="243"/>
      <c r="C576" s="235" t="s">
        <v>114</v>
      </c>
      <c r="D576" s="235" t="s">
        <v>427</v>
      </c>
      <c r="E576" s="235" t="s">
        <v>309</v>
      </c>
      <c r="F576" s="296"/>
      <c r="G576" s="210">
        <f>SUM(G577+G578+G579)</f>
        <v>34361.2</v>
      </c>
      <c r="H576" s="22">
        <v>120.3</v>
      </c>
      <c r="I576" s="22">
        <f>SUM(H576/G608*100)</f>
        <v>0.9165225473689022</v>
      </c>
    </row>
    <row r="577" spans="1:9" ht="28.5">
      <c r="A577" s="151" t="s">
        <v>470</v>
      </c>
      <c r="B577" s="243"/>
      <c r="C577" s="235" t="s">
        <v>114</v>
      </c>
      <c r="D577" s="235" t="s">
        <v>427</v>
      </c>
      <c r="E577" s="235" t="s">
        <v>309</v>
      </c>
      <c r="F577" s="296" t="s">
        <v>471</v>
      </c>
      <c r="G577" s="210">
        <v>10940.2</v>
      </c>
      <c r="H577" s="22"/>
      <c r="I577" s="22" t="e">
        <f>SUM(H577/#REF!*100)</f>
        <v>#REF!</v>
      </c>
    </row>
    <row r="578" spans="1:9" ht="15">
      <c r="A578" s="151" t="s">
        <v>475</v>
      </c>
      <c r="B578" s="250"/>
      <c r="C578" s="235" t="s">
        <v>114</v>
      </c>
      <c r="D578" s="235" t="s">
        <v>427</v>
      </c>
      <c r="E578" s="235" t="s">
        <v>309</v>
      </c>
      <c r="F578" s="296" t="s">
        <v>117</v>
      </c>
      <c r="G578" s="210">
        <v>21382.6</v>
      </c>
      <c r="H578" s="22">
        <f>SUM(H579)</f>
        <v>24134</v>
      </c>
      <c r="I578" s="22" t="e">
        <f>SUM(H578/#REF!*100)</f>
        <v>#REF!</v>
      </c>
    </row>
    <row r="579" spans="1:9" ht="15">
      <c r="A579" s="151" t="s">
        <v>476</v>
      </c>
      <c r="B579" s="243"/>
      <c r="C579" s="235" t="s">
        <v>114</v>
      </c>
      <c r="D579" s="235" t="s">
        <v>427</v>
      </c>
      <c r="E579" s="235" t="s">
        <v>309</v>
      </c>
      <c r="F579" s="296" t="s">
        <v>166</v>
      </c>
      <c r="G579" s="210">
        <v>2038.4</v>
      </c>
      <c r="H579" s="22">
        <v>24134</v>
      </c>
      <c r="I579" s="22" t="e">
        <f>SUM(H579/#REF!*100)</f>
        <v>#REF!</v>
      </c>
    </row>
    <row r="580" spans="1:9" ht="28.5">
      <c r="A580" s="304" t="s">
        <v>671</v>
      </c>
      <c r="B580" s="227"/>
      <c r="C580" s="228" t="s">
        <v>114</v>
      </c>
      <c r="D580" s="228" t="s">
        <v>427</v>
      </c>
      <c r="E580" s="252" t="s">
        <v>672</v>
      </c>
      <c r="F580" s="297"/>
      <c r="G580" s="197">
        <f>SUM(G581+G587)</f>
        <v>406950.9</v>
      </c>
      <c r="H580" s="22"/>
      <c r="I580" s="22"/>
    </row>
    <row r="581" spans="1:9" ht="15">
      <c r="A581" s="150" t="s">
        <v>571</v>
      </c>
      <c r="B581" s="227"/>
      <c r="C581" s="228" t="s">
        <v>114</v>
      </c>
      <c r="D581" s="228" t="s">
        <v>427</v>
      </c>
      <c r="E581" s="252" t="s">
        <v>705</v>
      </c>
      <c r="F581" s="297"/>
      <c r="G581" s="197">
        <f>SUM(G582+G584)</f>
        <v>352738.60000000003</v>
      </c>
      <c r="H581" s="22"/>
      <c r="I581" s="22"/>
    </row>
    <row r="582" spans="1:9" ht="28.5">
      <c r="A582" s="151" t="s">
        <v>189</v>
      </c>
      <c r="B582" s="227"/>
      <c r="C582" s="228" t="s">
        <v>114</v>
      </c>
      <c r="D582" s="228" t="s">
        <v>427</v>
      </c>
      <c r="E582" s="198" t="s">
        <v>674</v>
      </c>
      <c r="F582" s="280"/>
      <c r="G582" s="197">
        <f>SUM(G583)</f>
        <v>347147.7</v>
      </c>
      <c r="H582" s="22"/>
      <c r="I582" s="22"/>
    </row>
    <row r="583" spans="1:9" ht="28.5">
      <c r="A583" s="183" t="s">
        <v>496</v>
      </c>
      <c r="B583" s="227"/>
      <c r="C583" s="228" t="s">
        <v>114</v>
      </c>
      <c r="D583" s="228" t="s">
        <v>427</v>
      </c>
      <c r="E583" s="198" t="s">
        <v>674</v>
      </c>
      <c r="F583" s="280" t="s">
        <v>487</v>
      </c>
      <c r="G583" s="197">
        <v>347147.7</v>
      </c>
      <c r="H583" s="22"/>
      <c r="I583" s="22"/>
    </row>
    <row r="584" spans="1:9" ht="15">
      <c r="A584" s="299" t="s">
        <v>153</v>
      </c>
      <c r="B584" s="227"/>
      <c r="C584" s="228" t="s">
        <v>114</v>
      </c>
      <c r="D584" s="228" t="s">
        <v>427</v>
      </c>
      <c r="E584" s="198" t="s">
        <v>676</v>
      </c>
      <c r="F584" s="280"/>
      <c r="G584" s="197">
        <f>SUM(G585)</f>
        <v>5590.9</v>
      </c>
      <c r="H584" s="22"/>
      <c r="I584" s="22"/>
    </row>
    <row r="585" spans="1:9" ht="28.5">
      <c r="A585" s="183" t="s">
        <v>380</v>
      </c>
      <c r="B585" s="227"/>
      <c r="C585" s="228" t="s">
        <v>114</v>
      </c>
      <c r="D585" s="228" t="s">
        <v>427</v>
      </c>
      <c r="E585" s="198" t="s">
        <v>675</v>
      </c>
      <c r="F585" s="280"/>
      <c r="G585" s="197">
        <f>SUM(G586)</f>
        <v>5590.9</v>
      </c>
      <c r="H585" s="22"/>
      <c r="I585" s="22"/>
    </row>
    <row r="586" spans="1:9" ht="28.5">
      <c r="A586" s="183" t="s">
        <v>496</v>
      </c>
      <c r="B586" s="227"/>
      <c r="C586" s="228" t="s">
        <v>114</v>
      </c>
      <c r="D586" s="228" t="s">
        <v>427</v>
      </c>
      <c r="E586" s="198" t="s">
        <v>675</v>
      </c>
      <c r="F586" s="280" t="s">
        <v>487</v>
      </c>
      <c r="G586" s="197">
        <v>5590.9</v>
      </c>
      <c r="H586" s="22"/>
      <c r="I586" s="22"/>
    </row>
    <row r="587" spans="1:9" ht="28.5">
      <c r="A587" s="151" t="s">
        <v>56</v>
      </c>
      <c r="B587" s="227"/>
      <c r="C587" s="228" t="s">
        <v>114</v>
      </c>
      <c r="D587" s="228" t="s">
        <v>427</v>
      </c>
      <c r="E587" s="198" t="s">
        <v>673</v>
      </c>
      <c r="F587" s="297"/>
      <c r="G587" s="197">
        <f>SUM(G588:G589)</f>
        <v>54212.3</v>
      </c>
      <c r="H587" s="22"/>
      <c r="I587" s="22"/>
    </row>
    <row r="588" spans="1:9" ht="28.5">
      <c r="A588" s="183" t="s">
        <v>470</v>
      </c>
      <c r="B588" s="227"/>
      <c r="C588" s="228" t="s">
        <v>114</v>
      </c>
      <c r="D588" s="228" t="s">
        <v>427</v>
      </c>
      <c r="E588" s="198" t="s">
        <v>673</v>
      </c>
      <c r="F588" s="280" t="s">
        <v>471</v>
      </c>
      <c r="G588" s="197">
        <v>52750.3</v>
      </c>
      <c r="H588" s="22"/>
      <c r="I588" s="22"/>
    </row>
    <row r="589" spans="1:9" ht="15">
      <c r="A589" s="183" t="s">
        <v>475</v>
      </c>
      <c r="B589" s="227"/>
      <c r="C589" s="228" t="s">
        <v>114</v>
      </c>
      <c r="D589" s="228" t="s">
        <v>427</v>
      </c>
      <c r="E589" s="198" t="s">
        <v>673</v>
      </c>
      <c r="F589" s="280" t="s">
        <v>117</v>
      </c>
      <c r="G589" s="197">
        <v>1462</v>
      </c>
      <c r="H589" s="22"/>
      <c r="I589" s="22"/>
    </row>
    <row r="590" spans="1:9" ht="15">
      <c r="A590" s="151" t="s">
        <v>558</v>
      </c>
      <c r="B590" s="244"/>
      <c r="C590" s="235" t="s">
        <v>114</v>
      </c>
      <c r="D590" s="235" t="s">
        <v>427</v>
      </c>
      <c r="E590" s="235" t="s">
        <v>126</v>
      </c>
      <c r="F590" s="296"/>
      <c r="G590" s="210">
        <f>G591+G594</f>
        <v>2992</v>
      </c>
      <c r="H590" s="22"/>
      <c r="I590" s="22"/>
    </row>
    <row r="591" spans="1:9" ht="28.5">
      <c r="A591" s="151" t="s">
        <v>572</v>
      </c>
      <c r="B591" s="243"/>
      <c r="C591" s="235" t="s">
        <v>114</v>
      </c>
      <c r="D591" s="235" t="s">
        <v>427</v>
      </c>
      <c r="E591" s="235" t="s">
        <v>334</v>
      </c>
      <c r="F591" s="296"/>
      <c r="G591" s="210">
        <f>SUM(G592:G593)</f>
        <v>2632</v>
      </c>
      <c r="H591" s="22">
        <f>SUM(H592)</f>
        <v>1236.7</v>
      </c>
      <c r="I591" s="22">
        <f>SUM(H591/G613*100)</f>
        <v>2.4397750206651923</v>
      </c>
    </row>
    <row r="592" spans="1:9" ht="15">
      <c r="A592" s="183" t="s">
        <v>475</v>
      </c>
      <c r="B592" s="267"/>
      <c r="C592" s="235" t="s">
        <v>114</v>
      </c>
      <c r="D592" s="235" t="s">
        <v>427</v>
      </c>
      <c r="E592" s="235" t="s">
        <v>334</v>
      </c>
      <c r="F592" s="296" t="s">
        <v>117</v>
      </c>
      <c r="G592" s="210">
        <v>2432</v>
      </c>
      <c r="H592" s="22">
        <v>1236.7</v>
      </c>
      <c r="I592" s="22">
        <f>SUM(H592/G614*100)</f>
        <v>2.4397750206651923</v>
      </c>
    </row>
    <row r="593" spans="1:9" ht="28.5">
      <c r="A593" s="183" t="s">
        <v>496</v>
      </c>
      <c r="B593" s="267"/>
      <c r="C593" s="235" t="s">
        <v>114</v>
      </c>
      <c r="D593" s="235" t="s">
        <v>427</v>
      </c>
      <c r="E593" s="235" t="s">
        <v>334</v>
      </c>
      <c r="F593" s="296" t="s">
        <v>487</v>
      </c>
      <c r="G593" s="210">
        <v>200</v>
      </c>
      <c r="H593" s="22"/>
      <c r="I593" s="22"/>
    </row>
    <row r="594" spans="1:9" ht="28.5">
      <c r="A594" s="183" t="s">
        <v>677</v>
      </c>
      <c r="B594" s="268"/>
      <c r="C594" s="228" t="s">
        <v>114</v>
      </c>
      <c r="D594" s="228" t="s">
        <v>427</v>
      </c>
      <c r="E594" s="228" t="s">
        <v>678</v>
      </c>
      <c r="F594" s="280"/>
      <c r="G594" s="197">
        <f>SUM(G595:G596)</f>
        <v>360</v>
      </c>
      <c r="H594" s="22"/>
      <c r="I594" s="22"/>
    </row>
    <row r="595" spans="1:9" ht="15">
      <c r="A595" s="183" t="s">
        <v>475</v>
      </c>
      <c r="B595" s="268"/>
      <c r="C595" s="228" t="s">
        <v>114</v>
      </c>
      <c r="D595" s="228" t="s">
        <v>427</v>
      </c>
      <c r="E595" s="228" t="s">
        <v>678</v>
      </c>
      <c r="F595" s="280" t="s">
        <v>117</v>
      </c>
      <c r="G595" s="197">
        <v>110</v>
      </c>
      <c r="H595" s="22"/>
      <c r="I595" s="22"/>
    </row>
    <row r="596" spans="1:9" ht="28.5">
      <c r="A596" s="183" t="s">
        <v>496</v>
      </c>
      <c r="B596" s="268"/>
      <c r="C596" s="228" t="s">
        <v>114</v>
      </c>
      <c r="D596" s="228" t="s">
        <v>427</v>
      </c>
      <c r="E596" s="228" t="s">
        <v>678</v>
      </c>
      <c r="F596" s="280" t="s">
        <v>487</v>
      </c>
      <c r="G596" s="197">
        <v>250</v>
      </c>
      <c r="H596" s="22"/>
      <c r="I596" s="22"/>
    </row>
    <row r="597" spans="1:9" ht="15">
      <c r="A597" s="151" t="s">
        <v>310</v>
      </c>
      <c r="B597" s="243"/>
      <c r="C597" s="235" t="s">
        <v>114</v>
      </c>
      <c r="D597" s="235" t="s">
        <v>429</v>
      </c>
      <c r="E597" s="235"/>
      <c r="F597" s="296"/>
      <c r="G597" s="210">
        <f>SUM(G598+G609+G618+G623+G639)</f>
        <v>900204.5000000001</v>
      </c>
      <c r="H597" s="22">
        <f>SUM(H599)</f>
        <v>0</v>
      </c>
      <c r="I597" s="22" t="e">
        <f>SUM(H597/#REF!*100)</f>
        <v>#REF!</v>
      </c>
    </row>
    <row r="598" spans="1:9" ht="15">
      <c r="A598" s="151" t="s">
        <v>311</v>
      </c>
      <c r="B598" s="243"/>
      <c r="C598" s="235" t="s">
        <v>114</v>
      </c>
      <c r="D598" s="235" t="s">
        <v>429</v>
      </c>
      <c r="E598" s="235" t="s">
        <v>312</v>
      </c>
      <c r="F598" s="296"/>
      <c r="G598" s="210">
        <f>G599+G605</f>
        <v>194821.69999999998</v>
      </c>
      <c r="H598" s="22"/>
      <c r="I598" s="22" t="e">
        <f>SUM(H598/#REF!*100)</f>
        <v>#REF!</v>
      </c>
    </row>
    <row r="599" spans="1:9" ht="15">
      <c r="A599" s="151" t="s">
        <v>15</v>
      </c>
      <c r="B599" s="243"/>
      <c r="C599" s="235" t="s">
        <v>114</v>
      </c>
      <c r="D599" s="235" t="s">
        <v>429</v>
      </c>
      <c r="E599" s="235" t="s">
        <v>86</v>
      </c>
      <c r="F599" s="296"/>
      <c r="G599" s="210">
        <f>G600+G602</f>
        <v>100402.2</v>
      </c>
      <c r="H599" s="22"/>
      <c r="I599" s="22" t="e">
        <f>SUM(H599/#REF!*100)</f>
        <v>#REF!</v>
      </c>
    </row>
    <row r="600" spans="1:9" ht="28.5">
      <c r="A600" s="151" t="s">
        <v>189</v>
      </c>
      <c r="B600" s="243"/>
      <c r="C600" s="235" t="s">
        <v>114</v>
      </c>
      <c r="D600" s="235" t="s">
        <v>429</v>
      </c>
      <c r="E600" s="235" t="s">
        <v>87</v>
      </c>
      <c r="F600" s="296"/>
      <c r="G600" s="210">
        <f>SUM(G601)</f>
        <v>100002.2</v>
      </c>
      <c r="H600" s="22" t="e">
        <f>SUM(H601)</f>
        <v>#REF!</v>
      </c>
      <c r="I600" s="22" t="e">
        <f>SUM(H600/#REF!*100)</f>
        <v>#REF!</v>
      </c>
    </row>
    <row r="601" spans="1:9" ht="28.5">
      <c r="A601" s="151" t="s">
        <v>489</v>
      </c>
      <c r="B601" s="243"/>
      <c r="C601" s="235" t="s">
        <v>114</v>
      </c>
      <c r="D601" s="235" t="s">
        <v>429</v>
      </c>
      <c r="E601" s="235" t="s">
        <v>87</v>
      </c>
      <c r="F601" s="296" t="s">
        <v>487</v>
      </c>
      <c r="G601" s="210">
        <v>100002.2</v>
      </c>
      <c r="H601" s="22" t="e">
        <f>SUM(#REF!)</f>
        <v>#REF!</v>
      </c>
      <c r="I601" s="22" t="e">
        <f>SUM(H601/#REF!*100)</f>
        <v>#REF!</v>
      </c>
    </row>
    <row r="602" spans="1:9" ht="15">
      <c r="A602" s="299" t="s">
        <v>153</v>
      </c>
      <c r="B602" s="243"/>
      <c r="C602" s="235" t="s">
        <v>114</v>
      </c>
      <c r="D602" s="235" t="s">
        <v>429</v>
      </c>
      <c r="E602" s="235" t="s">
        <v>679</v>
      </c>
      <c r="F602" s="296"/>
      <c r="G602" s="210">
        <f>SUM(G603)</f>
        <v>400</v>
      </c>
      <c r="H602" s="22"/>
      <c r="I602" s="22"/>
    </row>
    <row r="603" spans="1:9" ht="15">
      <c r="A603" s="299" t="s">
        <v>197</v>
      </c>
      <c r="B603" s="251"/>
      <c r="C603" s="240" t="s">
        <v>114</v>
      </c>
      <c r="D603" s="240" t="s">
        <v>429</v>
      </c>
      <c r="E603" s="240" t="s">
        <v>680</v>
      </c>
      <c r="F603" s="291"/>
      <c r="G603" s="201">
        <f>SUM(G604)</f>
        <v>400</v>
      </c>
      <c r="H603" s="22"/>
      <c r="I603" s="22"/>
    </row>
    <row r="604" spans="1:9" ht="28.5">
      <c r="A604" s="183" t="s">
        <v>496</v>
      </c>
      <c r="B604" s="251"/>
      <c r="C604" s="240" t="s">
        <v>114</v>
      </c>
      <c r="D604" s="240" t="s">
        <v>429</v>
      </c>
      <c r="E604" s="240" t="s">
        <v>680</v>
      </c>
      <c r="F604" s="291" t="s">
        <v>487</v>
      </c>
      <c r="G604" s="201">
        <v>400</v>
      </c>
      <c r="H604" s="22"/>
      <c r="I604" s="22"/>
    </row>
    <row r="605" spans="1:9" ht="28.5">
      <c r="A605" s="151" t="s">
        <v>56</v>
      </c>
      <c r="B605" s="243"/>
      <c r="C605" s="235" t="s">
        <v>114</v>
      </c>
      <c r="D605" s="235" t="s">
        <v>429</v>
      </c>
      <c r="E605" s="235" t="s">
        <v>313</v>
      </c>
      <c r="F605" s="296"/>
      <c r="G605" s="210">
        <f>SUM(G606+G607+G608)</f>
        <v>94419.49999999999</v>
      </c>
      <c r="H605" s="22"/>
      <c r="I605" s="22"/>
    </row>
    <row r="606" spans="1:9" s="128" customFormat="1" ht="28.5">
      <c r="A606" s="151" t="s">
        <v>470</v>
      </c>
      <c r="B606" s="243"/>
      <c r="C606" s="235" t="s">
        <v>114</v>
      </c>
      <c r="D606" s="235" t="s">
        <v>429</v>
      </c>
      <c r="E606" s="235" t="s">
        <v>313</v>
      </c>
      <c r="F606" s="296" t="s">
        <v>471</v>
      </c>
      <c r="G606" s="210">
        <v>34453.2</v>
      </c>
      <c r="H606" s="22"/>
      <c r="I606" s="22"/>
    </row>
    <row r="607" spans="1:9" s="128" customFormat="1" ht="15">
      <c r="A607" s="151" t="s">
        <v>475</v>
      </c>
      <c r="B607" s="243"/>
      <c r="C607" s="235" t="s">
        <v>114</v>
      </c>
      <c r="D607" s="235" t="s">
        <v>429</v>
      </c>
      <c r="E607" s="235" t="s">
        <v>313</v>
      </c>
      <c r="F607" s="296" t="s">
        <v>117</v>
      </c>
      <c r="G607" s="210">
        <v>46840.6</v>
      </c>
      <c r="H607" s="22"/>
      <c r="I607" s="22"/>
    </row>
    <row r="608" spans="1:9" s="128" customFormat="1" ht="15">
      <c r="A608" s="151" t="s">
        <v>476</v>
      </c>
      <c r="B608" s="267"/>
      <c r="C608" s="235" t="s">
        <v>114</v>
      </c>
      <c r="D608" s="235" t="s">
        <v>429</v>
      </c>
      <c r="E608" s="235" t="s">
        <v>313</v>
      </c>
      <c r="F608" s="332">
        <v>800</v>
      </c>
      <c r="G608" s="210">
        <v>13125.7</v>
      </c>
      <c r="H608" s="22"/>
      <c r="I608" s="22"/>
    </row>
    <row r="609" spans="1:9" ht="15">
      <c r="A609" s="151" t="s">
        <v>295</v>
      </c>
      <c r="B609" s="250"/>
      <c r="C609" s="235" t="s">
        <v>114</v>
      </c>
      <c r="D609" s="235" t="s">
        <v>429</v>
      </c>
      <c r="E609" s="235" t="s">
        <v>296</v>
      </c>
      <c r="F609" s="296"/>
      <c r="G609" s="210">
        <f>SUM(G610)</f>
        <v>50739.1</v>
      </c>
      <c r="H609" s="22"/>
      <c r="I609" s="22"/>
    </row>
    <row r="610" spans="1:9" ht="15">
      <c r="A610" s="151" t="s">
        <v>571</v>
      </c>
      <c r="B610" s="243"/>
      <c r="C610" s="235" t="s">
        <v>114</v>
      </c>
      <c r="D610" s="235" t="s">
        <v>429</v>
      </c>
      <c r="E610" s="235" t="s">
        <v>78</v>
      </c>
      <c r="F610" s="296"/>
      <c r="G610" s="210">
        <f>SUM(G613)+G617</f>
        <v>50739.1</v>
      </c>
      <c r="H610" s="22"/>
      <c r="I610" s="22"/>
    </row>
    <row r="611" spans="1:9" ht="42.75" hidden="1">
      <c r="A611" s="151" t="s">
        <v>194</v>
      </c>
      <c r="B611" s="243"/>
      <c r="C611" s="235" t="s">
        <v>114</v>
      </c>
      <c r="D611" s="235" t="s">
        <v>429</v>
      </c>
      <c r="E611" s="235" t="s">
        <v>195</v>
      </c>
      <c r="F611" s="296"/>
      <c r="G611" s="210">
        <f>SUM(G612)</f>
        <v>0</v>
      </c>
      <c r="H611" s="22">
        <v>56722</v>
      </c>
      <c r="I611" s="22">
        <f>SUM(H611/G622*100)</f>
        <v>4735.5151110369015</v>
      </c>
    </row>
    <row r="612" spans="1:9" ht="15" hidden="1">
      <c r="A612" s="151" t="s">
        <v>153</v>
      </c>
      <c r="B612" s="243"/>
      <c r="C612" s="235" t="s">
        <v>114</v>
      </c>
      <c r="D612" s="235" t="s">
        <v>429</v>
      </c>
      <c r="E612" s="235" t="s">
        <v>195</v>
      </c>
      <c r="F612" s="296" t="s">
        <v>83</v>
      </c>
      <c r="G612" s="210"/>
      <c r="H612" s="22"/>
      <c r="I612" s="22"/>
    </row>
    <row r="613" spans="1:9" ht="28.5">
      <c r="A613" s="151" t="s">
        <v>92</v>
      </c>
      <c r="B613" s="243"/>
      <c r="C613" s="235" t="s">
        <v>114</v>
      </c>
      <c r="D613" s="235" t="s">
        <v>429</v>
      </c>
      <c r="E613" s="235" t="s">
        <v>79</v>
      </c>
      <c r="F613" s="296"/>
      <c r="G613" s="210">
        <f>SUM(G614)</f>
        <v>50689.1</v>
      </c>
      <c r="H613" s="22" t="e">
        <f>SUM(#REF!+H655+H673+#REF!)+#REF!+H614</f>
        <v>#REF!</v>
      </c>
      <c r="I613" s="22" t="e">
        <f>SUM(H613/#REF!*100)</f>
        <v>#REF!</v>
      </c>
    </row>
    <row r="614" spans="1:9" ht="28.5">
      <c r="A614" s="151" t="s">
        <v>489</v>
      </c>
      <c r="B614" s="243"/>
      <c r="C614" s="235" t="s">
        <v>114</v>
      </c>
      <c r="D614" s="235" t="s">
        <v>429</v>
      </c>
      <c r="E614" s="235" t="s">
        <v>79</v>
      </c>
      <c r="F614" s="296" t="s">
        <v>487</v>
      </c>
      <c r="G614" s="210">
        <v>50689.1</v>
      </c>
      <c r="H614" s="22" t="e">
        <f>SUM(#REF!+#REF!)</f>
        <v>#REF!</v>
      </c>
      <c r="I614" s="22" t="e">
        <f>SUM(H614/#REF!*100)</f>
        <v>#REF!</v>
      </c>
    </row>
    <row r="615" spans="1:9" ht="15">
      <c r="A615" s="299" t="s">
        <v>153</v>
      </c>
      <c r="B615" s="227"/>
      <c r="C615" s="228" t="s">
        <v>114</v>
      </c>
      <c r="D615" s="228" t="s">
        <v>429</v>
      </c>
      <c r="E615" s="228" t="s">
        <v>146</v>
      </c>
      <c r="F615" s="280"/>
      <c r="G615" s="197">
        <f>SUM(G616)</f>
        <v>50</v>
      </c>
      <c r="H615" s="22"/>
      <c r="I615" s="22"/>
    </row>
    <row r="616" spans="1:9" ht="15">
      <c r="A616" s="299" t="s">
        <v>197</v>
      </c>
      <c r="B616" s="227"/>
      <c r="C616" s="228" t="s">
        <v>114</v>
      </c>
      <c r="D616" s="228" t="s">
        <v>429</v>
      </c>
      <c r="E616" s="228" t="s">
        <v>202</v>
      </c>
      <c r="F616" s="280"/>
      <c r="G616" s="197">
        <f>SUM(G617)</f>
        <v>50</v>
      </c>
      <c r="H616" s="22"/>
      <c r="I616" s="22"/>
    </row>
    <row r="617" spans="1:9" ht="28.5">
      <c r="A617" s="183" t="s">
        <v>496</v>
      </c>
      <c r="B617" s="227"/>
      <c r="C617" s="228" t="s">
        <v>114</v>
      </c>
      <c r="D617" s="228" t="s">
        <v>429</v>
      </c>
      <c r="E617" s="228" t="s">
        <v>202</v>
      </c>
      <c r="F617" s="280" t="s">
        <v>487</v>
      </c>
      <c r="G617" s="197">
        <v>50</v>
      </c>
      <c r="H617" s="22"/>
      <c r="I617" s="22"/>
    </row>
    <row r="618" spans="1:9" ht="15">
      <c r="A618" s="151" t="s">
        <v>303</v>
      </c>
      <c r="B618" s="250"/>
      <c r="C618" s="235" t="s">
        <v>114</v>
      </c>
      <c r="D618" s="235" t="s">
        <v>429</v>
      </c>
      <c r="E618" s="235" t="s">
        <v>304</v>
      </c>
      <c r="F618" s="296"/>
      <c r="G618" s="210">
        <f>SUM(G619)</f>
        <v>7227.6</v>
      </c>
      <c r="H618" s="22"/>
      <c r="I618" s="22"/>
    </row>
    <row r="619" spans="1:9" ht="28.5">
      <c r="A619" s="151" t="s">
        <v>56</v>
      </c>
      <c r="B619" s="243"/>
      <c r="C619" s="235" t="s">
        <v>114</v>
      </c>
      <c r="D619" s="235" t="s">
        <v>429</v>
      </c>
      <c r="E619" s="235" t="s">
        <v>305</v>
      </c>
      <c r="F619" s="296"/>
      <c r="G619" s="210">
        <f>SUM(G620+G621+G622)</f>
        <v>7227.6</v>
      </c>
      <c r="H619" s="22"/>
      <c r="I619" s="22"/>
    </row>
    <row r="620" spans="1:9" ht="28.5">
      <c r="A620" s="151" t="s">
        <v>470</v>
      </c>
      <c r="B620" s="243"/>
      <c r="C620" s="235" t="s">
        <v>114</v>
      </c>
      <c r="D620" s="235" t="s">
        <v>429</v>
      </c>
      <c r="E620" s="235" t="s">
        <v>573</v>
      </c>
      <c r="F620" s="296" t="s">
        <v>471</v>
      </c>
      <c r="G620" s="210">
        <v>2688.4</v>
      </c>
      <c r="H620" s="22"/>
      <c r="I620" s="22"/>
    </row>
    <row r="621" spans="1:9" ht="15">
      <c r="A621" s="151" t="s">
        <v>475</v>
      </c>
      <c r="B621" s="243"/>
      <c r="C621" s="235" t="s">
        <v>114</v>
      </c>
      <c r="D621" s="235" t="s">
        <v>429</v>
      </c>
      <c r="E621" s="235" t="s">
        <v>244</v>
      </c>
      <c r="F621" s="296" t="s">
        <v>117</v>
      </c>
      <c r="G621" s="210">
        <v>3341.4</v>
      </c>
      <c r="H621" s="22"/>
      <c r="I621" s="22"/>
    </row>
    <row r="622" spans="1:9" ht="15">
      <c r="A622" s="151" t="s">
        <v>476</v>
      </c>
      <c r="B622" s="243"/>
      <c r="C622" s="235" t="s">
        <v>114</v>
      </c>
      <c r="D622" s="235" t="s">
        <v>429</v>
      </c>
      <c r="E622" s="235" t="s">
        <v>244</v>
      </c>
      <c r="F622" s="296" t="s">
        <v>166</v>
      </c>
      <c r="G622" s="210">
        <v>1197.8</v>
      </c>
      <c r="H622" s="22"/>
      <c r="I622" s="22"/>
    </row>
    <row r="623" spans="1:9" ht="28.5">
      <c r="A623" s="304" t="s">
        <v>681</v>
      </c>
      <c r="B623" s="227"/>
      <c r="C623" s="235" t="s">
        <v>114</v>
      </c>
      <c r="D623" s="235" t="s">
        <v>429</v>
      </c>
      <c r="E623" s="252" t="s">
        <v>682</v>
      </c>
      <c r="F623" s="298"/>
      <c r="G623" s="197">
        <f>G624+G630+G636</f>
        <v>645626.1000000001</v>
      </c>
      <c r="H623" s="22" t="e">
        <f>SUM(H624+H650+H652+#REF!)+H654+#REF!+H648+#REF!</f>
        <v>#REF!</v>
      </c>
      <c r="I623" s="22" t="e">
        <f>SUM(H623/G655*100)</f>
        <v>#REF!</v>
      </c>
    </row>
    <row r="624" spans="1:9" ht="99.75">
      <c r="A624" s="304" t="s">
        <v>683</v>
      </c>
      <c r="B624" s="232"/>
      <c r="C624" s="228" t="s">
        <v>114</v>
      </c>
      <c r="D624" s="228" t="s">
        <v>429</v>
      </c>
      <c r="E624" s="198" t="s">
        <v>684</v>
      </c>
      <c r="F624" s="280"/>
      <c r="G624" s="197">
        <f>SUM(G625+G627)</f>
        <v>52910.700000000004</v>
      </c>
      <c r="H624" s="22">
        <v>53118.9</v>
      </c>
      <c r="I624" s="22">
        <f>SUM(H624/G656*100)</f>
        <v>450160.16949152545</v>
      </c>
    </row>
    <row r="625" spans="1:9" ht="42.75">
      <c r="A625" s="304" t="s">
        <v>687</v>
      </c>
      <c r="B625" s="232"/>
      <c r="C625" s="228" t="s">
        <v>114</v>
      </c>
      <c r="D625" s="228" t="s">
        <v>429</v>
      </c>
      <c r="E625" s="198" t="s">
        <v>688</v>
      </c>
      <c r="F625" s="280"/>
      <c r="G625" s="197">
        <f>G626</f>
        <v>6181.3</v>
      </c>
      <c r="H625" s="22"/>
      <c r="I625" s="22"/>
    </row>
    <row r="626" spans="1:9" ht="28.5">
      <c r="A626" s="183" t="s">
        <v>489</v>
      </c>
      <c r="B626" s="232"/>
      <c r="C626" s="228" t="s">
        <v>114</v>
      </c>
      <c r="D626" s="228" t="s">
        <v>429</v>
      </c>
      <c r="E626" s="198" t="s">
        <v>688</v>
      </c>
      <c r="F626" s="280" t="s">
        <v>487</v>
      </c>
      <c r="G626" s="197">
        <v>6181.3</v>
      </c>
      <c r="H626" s="22"/>
      <c r="I626" s="22"/>
    </row>
    <row r="627" spans="1:9" ht="71.25">
      <c r="A627" s="304" t="s">
        <v>685</v>
      </c>
      <c r="B627" s="232"/>
      <c r="C627" s="228" t="s">
        <v>114</v>
      </c>
      <c r="D627" s="228" t="s">
        <v>429</v>
      </c>
      <c r="E627" s="198" t="s">
        <v>686</v>
      </c>
      <c r="F627" s="280"/>
      <c r="G627" s="197">
        <f>G628+G629</f>
        <v>46729.4</v>
      </c>
      <c r="H627" s="22" t="e">
        <f>SUM(#REF!)</f>
        <v>#REF!</v>
      </c>
      <c r="I627" s="22" t="e">
        <f>SUM(H627/G657*100)</f>
        <v>#REF!</v>
      </c>
    </row>
    <row r="628" spans="1:9" ht="28.5">
      <c r="A628" s="183" t="s">
        <v>470</v>
      </c>
      <c r="B628" s="227"/>
      <c r="C628" s="228" t="s">
        <v>114</v>
      </c>
      <c r="D628" s="228" t="s">
        <v>429</v>
      </c>
      <c r="E628" s="198" t="s">
        <v>686</v>
      </c>
      <c r="F628" s="280" t="s">
        <v>471</v>
      </c>
      <c r="G628" s="197">
        <v>42416.4</v>
      </c>
      <c r="H628" s="22"/>
      <c r="I628" s="22"/>
    </row>
    <row r="629" spans="1:9" ht="15">
      <c r="A629" s="183" t="s">
        <v>475</v>
      </c>
      <c r="B629" s="227"/>
      <c r="C629" s="228" t="s">
        <v>114</v>
      </c>
      <c r="D629" s="228" t="s">
        <v>429</v>
      </c>
      <c r="E629" s="198" t="s">
        <v>686</v>
      </c>
      <c r="F629" s="280" t="s">
        <v>117</v>
      </c>
      <c r="G629" s="197">
        <f>46729.4-42416.4</f>
        <v>4313</v>
      </c>
      <c r="H629" s="22"/>
      <c r="I629" s="22"/>
    </row>
    <row r="630" spans="1:9" ht="15">
      <c r="A630" s="151" t="s">
        <v>571</v>
      </c>
      <c r="B630" s="227"/>
      <c r="C630" s="228" t="s">
        <v>114</v>
      </c>
      <c r="D630" s="228" t="s">
        <v>429</v>
      </c>
      <c r="E630" s="198" t="s">
        <v>694</v>
      </c>
      <c r="F630" s="280"/>
      <c r="G630" s="197">
        <f>SUM(G631+G633)</f>
        <v>305620.10000000003</v>
      </c>
      <c r="H630" s="22"/>
      <c r="I630" s="22"/>
    </row>
    <row r="631" spans="1:9" ht="28.5">
      <c r="A631" s="151" t="s">
        <v>92</v>
      </c>
      <c r="B631" s="227"/>
      <c r="C631" s="228" t="s">
        <v>114</v>
      </c>
      <c r="D631" s="228" t="s">
        <v>429</v>
      </c>
      <c r="E631" s="198" t="s">
        <v>691</v>
      </c>
      <c r="F631" s="280"/>
      <c r="G631" s="197">
        <f>SUM(G632)</f>
        <v>302980.7</v>
      </c>
      <c r="H631" s="22"/>
      <c r="I631" s="22"/>
    </row>
    <row r="632" spans="1:9" ht="28.5">
      <c r="A632" s="183" t="s">
        <v>489</v>
      </c>
      <c r="B632" s="232"/>
      <c r="C632" s="228" t="s">
        <v>114</v>
      </c>
      <c r="D632" s="228" t="s">
        <v>429</v>
      </c>
      <c r="E632" s="198" t="s">
        <v>691</v>
      </c>
      <c r="F632" s="280" t="s">
        <v>487</v>
      </c>
      <c r="G632" s="197">
        <f>72508.4+233111.7-505.1-2134.3</f>
        <v>302980.7</v>
      </c>
      <c r="H632" s="22"/>
      <c r="I632" s="22"/>
    </row>
    <row r="633" spans="1:9" ht="15">
      <c r="A633" s="299" t="s">
        <v>153</v>
      </c>
      <c r="B633" s="232"/>
      <c r="C633" s="228" t="s">
        <v>114</v>
      </c>
      <c r="D633" s="228" t="s">
        <v>429</v>
      </c>
      <c r="E633" s="198" t="s">
        <v>693</v>
      </c>
      <c r="F633" s="280"/>
      <c r="G633" s="197">
        <f>SUM(G634)</f>
        <v>2639.4</v>
      </c>
      <c r="H633" s="22"/>
      <c r="I633" s="22"/>
    </row>
    <row r="634" spans="1:9" ht="28.5">
      <c r="A634" s="183" t="s">
        <v>380</v>
      </c>
      <c r="B634" s="232"/>
      <c r="C634" s="228" t="s">
        <v>114</v>
      </c>
      <c r="D634" s="228" t="s">
        <v>429</v>
      </c>
      <c r="E634" s="198" t="s">
        <v>692</v>
      </c>
      <c r="F634" s="280"/>
      <c r="G634" s="197">
        <f>SUM(G635)</f>
        <v>2639.4</v>
      </c>
      <c r="H634" s="22"/>
      <c r="I634" s="22"/>
    </row>
    <row r="635" spans="1:9" ht="28.5">
      <c r="A635" s="183" t="s">
        <v>496</v>
      </c>
      <c r="B635" s="227"/>
      <c r="C635" s="228" t="s">
        <v>114</v>
      </c>
      <c r="D635" s="228" t="s">
        <v>429</v>
      </c>
      <c r="E635" s="198" t="s">
        <v>692</v>
      </c>
      <c r="F635" s="280" t="s">
        <v>487</v>
      </c>
      <c r="G635" s="197">
        <f>505.1+2134.3</f>
        <v>2639.4</v>
      </c>
      <c r="H635" s="22"/>
      <c r="I635" s="22"/>
    </row>
    <row r="636" spans="1:9" ht="57">
      <c r="A636" s="304" t="s">
        <v>689</v>
      </c>
      <c r="B636" s="232"/>
      <c r="C636" s="228" t="s">
        <v>114</v>
      </c>
      <c r="D636" s="228" t="s">
        <v>429</v>
      </c>
      <c r="E636" s="198" t="s">
        <v>690</v>
      </c>
      <c r="F636" s="280"/>
      <c r="G636" s="197">
        <f>SUM(G637:G638)</f>
        <v>287095.3</v>
      </c>
      <c r="H636" s="22"/>
      <c r="I636" s="22"/>
    </row>
    <row r="637" spans="1:9" ht="28.5">
      <c r="A637" s="183" t="s">
        <v>470</v>
      </c>
      <c r="B637" s="232"/>
      <c r="C637" s="228" t="s">
        <v>114</v>
      </c>
      <c r="D637" s="228" t="s">
        <v>429</v>
      </c>
      <c r="E637" s="198" t="s">
        <v>690</v>
      </c>
      <c r="F637" s="280" t="s">
        <v>471</v>
      </c>
      <c r="G637" s="197">
        <v>283572.6</v>
      </c>
      <c r="H637" s="22"/>
      <c r="I637" s="22"/>
    </row>
    <row r="638" spans="1:9" ht="15">
      <c r="A638" s="183" t="s">
        <v>475</v>
      </c>
      <c r="B638" s="232"/>
      <c r="C638" s="228" t="s">
        <v>114</v>
      </c>
      <c r="D638" s="228" t="s">
        <v>429</v>
      </c>
      <c r="E638" s="198" t="s">
        <v>690</v>
      </c>
      <c r="F638" s="280" t="s">
        <v>117</v>
      </c>
      <c r="G638" s="197">
        <f>287095.3-283572.6</f>
        <v>3522.7000000000116</v>
      </c>
      <c r="H638" s="22"/>
      <c r="I638" s="22"/>
    </row>
    <row r="639" spans="1:9" ht="15">
      <c r="A639" s="151" t="s">
        <v>558</v>
      </c>
      <c r="B639" s="232"/>
      <c r="C639" s="228" t="s">
        <v>114</v>
      </c>
      <c r="D639" s="228" t="s">
        <v>429</v>
      </c>
      <c r="E639" s="228" t="s">
        <v>126</v>
      </c>
      <c r="F639" s="280"/>
      <c r="G639" s="197">
        <f>SUM(G640+G643)</f>
        <v>1790</v>
      </c>
      <c r="H639" s="22"/>
      <c r="I639" s="22"/>
    </row>
    <row r="640" spans="1:9" ht="28.5">
      <c r="A640" s="183" t="s">
        <v>677</v>
      </c>
      <c r="B640" s="268"/>
      <c r="C640" s="228" t="s">
        <v>114</v>
      </c>
      <c r="D640" s="228" t="s">
        <v>429</v>
      </c>
      <c r="E640" s="228" t="s">
        <v>678</v>
      </c>
      <c r="F640" s="280"/>
      <c r="G640" s="197">
        <f>SUM(G641:G642)</f>
        <v>990</v>
      </c>
      <c r="H640" s="22"/>
      <c r="I640" s="22"/>
    </row>
    <row r="641" spans="1:9" ht="15">
      <c r="A641" s="183" t="s">
        <v>475</v>
      </c>
      <c r="B641" s="268"/>
      <c r="C641" s="228" t="s">
        <v>114</v>
      </c>
      <c r="D641" s="228" t="s">
        <v>429</v>
      </c>
      <c r="E641" s="228" t="s">
        <v>678</v>
      </c>
      <c r="F641" s="280" t="s">
        <v>117</v>
      </c>
      <c r="G641" s="197">
        <v>940</v>
      </c>
      <c r="H641" s="22"/>
      <c r="I641" s="22"/>
    </row>
    <row r="642" spans="1:9" ht="28.5">
      <c r="A642" s="183" t="s">
        <v>496</v>
      </c>
      <c r="B642" s="268"/>
      <c r="C642" s="228" t="s">
        <v>114</v>
      </c>
      <c r="D642" s="228" t="s">
        <v>429</v>
      </c>
      <c r="E642" s="228" t="s">
        <v>678</v>
      </c>
      <c r="F642" s="280" t="s">
        <v>487</v>
      </c>
      <c r="G642" s="197">
        <v>50</v>
      </c>
      <c r="H642" s="22"/>
      <c r="I642" s="22"/>
    </row>
    <row r="643" spans="1:9" ht="28.5">
      <c r="A643" s="183" t="s">
        <v>695</v>
      </c>
      <c r="B643" s="268"/>
      <c r="C643" s="228" t="s">
        <v>114</v>
      </c>
      <c r="D643" s="228" t="s">
        <v>429</v>
      </c>
      <c r="E643" s="228" t="s">
        <v>696</v>
      </c>
      <c r="F643" s="280"/>
      <c r="G643" s="197">
        <f>SUM(G644)</f>
        <v>800</v>
      </c>
      <c r="H643" s="22"/>
      <c r="I643" s="22"/>
    </row>
    <row r="644" spans="1:9" ht="15">
      <c r="A644" s="183" t="s">
        <v>475</v>
      </c>
      <c r="B644" s="268"/>
      <c r="C644" s="228" t="s">
        <v>114</v>
      </c>
      <c r="D644" s="228" t="s">
        <v>429</v>
      </c>
      <c r="E644" s="228" t="s">
        <v>696</v>
      </c>
      <c r="F644" s="280" t="s">
        <v>117</v>
      </c>
      <c r="G644" s="197">
        <v>800</v>
      </c>
      <c r="H644" s="22"/>
      <c r="I644" s="22"/>
    </row>
    <row r="645" spans="1:9" ht="18.75" customHeight="1">
      <c r="A645" s="151" t="s">
        <v>115</v>
      </c>
      <c r="B645" s="250"/>
      <c r="C645" s="235" t="s">
        <v>114</v>
      </c>
      <c r="D645" s="235" t="s">
        <v>114</v>
      </c>
      <c r="E645" s="235"/>
      <c r="F645" s="296"/>
      <c r="G645" s="210">
        <f>SUM(G650+G657+G646+G662)</f>
        <v>5708.3</v>
      </c>
      <c r="H645" s="22"/>
      <c r="I645" s="22">
        <f>SUM(H645/G659*100)</f>
        <v>0</v>
      </c>
    </row>
    <row r="646" spans="1:9" ht="15" hidden="1">
      <c r="A646" s="151" t="s">
        <v>373</v>
      </c>
      <c r="B646" s="250"/>
      <c r="C646" s="235" t="s">
        <v>114</v>
      </c>
      <c r="D646" s="235" t="s">
        <v>114</v>
      </c>
      <c r="E646" s="235" t="s">
        <v>375</v>
      </c>
      <c r="F646" s="296"/>
      <c r="G646" s="210">
        <f>SUM(G647)</f>
        <v>0</v>
      </c>
      <c r="H646" s="22"/>
      <c r="I646" s="22" t="e">
        <f>SUM(H646/G660*100)</f>
        <v>#DIV/0!</v>
      </c>
    </row>
    <row r="647" spans="1:9" ht="15" hidden="1">
      <c r="A647" s="151" t="s">
        <v>355</v>
      </c>
      <c r="B647" s="250"/>
      <c r="C647" s="235" t="s">
        <v>114</v>
      </c>
      <c r="D647" s="235" t="s">
        <v>114</v>
      </c>
      <c r="E647" s="235" t="s">
        <v>356</v>
      </c>
      <c r="F647" s="296"/>
      <c r="G647" s="210">
        <f>SUM(G648+G649)</f>
        <v>0</v>
      </c>
      <c r="H647" s="22"/>
      <c r="I647" s="22">
        <f>SUM(H647/G661*100)</f>
        <v>0</v>
      </c>
    </row>
    <row r="648" spans="1:9" ht="15" hidden="1">
      <c r="A648" s="151" t="s">
        <v>226</v>
      </c>
      <c r="B648" s="250"/>
      <c r="C648" s="235" t="s">
        <v>114</v>
      </c>
      <c r="D648" s="235" t="s">
        <v>114</v>
      </c>
      <c r="E648" s="235" t="s">
        <v>356</v>
      </c>
      <c r="F648" s="296" t="s">
        <v>227</v>
      </c>
      <c r="G648" s="210"/>
      <c r="H648" s="22">
        <f>SUM(H649)</f>
        <v>0</v>
      </c>
      <c r="I648" s="22">
        <f>SUM(H648/G662*100)</f>
        <v>0</v>
      </c>
    </row>
    <row r="649" spans="1:9" ht="15" hidden="1">
      <c r="A649" s="151" t="s">
        <v>206</v>
      </c>
      <c r="B649" s="250"/>
      <c r="C649" s="235" t="s">
        <v>114</v>
      </c>
      <c r="D649" s="235" t="s">
        <v>114</v>
      </c>
      <c r="E649" s="235" t="s">
        <v>356</v>
      </c>
      <c r="F649" s="296" t="s">
        <v>207</v>
      </c>
      <c r="G649" s="210"/>
      <c r="H649" s="22"/>
      <c r="I649" s="22">
        <f aca="true" t="shared" si="11" ref="I649:I654">SUM(H649/G665*100)</f>
        <v>0</v>
      </c>
    </row>
    <row r="650" spans="1:9" ht="15">
      <c r="A650" s="151" t="s">
        <v>208</v>
      </c>
      <c r="B650" s="250"/>
      <c r="C650" s="235" t="s">
        <v>114</v>
      </c>
      <c r="D650" s="235" t="s">
        <v>114</v>
      </c>
      <c r="E650" s="235" t="s">
        <v>209</v>
      </c>
      <c r="F650" s="296"/>
      <c r="G650" s="210">
        <f>SUM(G653+G651)</f>
        <v>1914.5</v>
      </c>
      <c r="H650" s="22">
        <f>SUM(H651)</f>
        <v>5014</v>
      </c>
      <c r="I650" s="22">
        <f t="shared" si="11"/>
        <v>639.7040061240114</v>
      </c>
    </row>
    <row r="651" spans="1:9" ht="28.5" hidden="1">
      <c r="A651" s="151" t="s">
        <v>237</v>
      </c>
      <c r="B651" s="250"/>
      <c r="C651" s="235" t="s">
        <v>114</v>
      </c>
      <c r="D651" s="235" t="s">
        <v>114</v>
      </c>
      <c r="E651" s="235" t="s">
        <v>196</v>
      </c>
      <c r="F651" s="296"/>
      <c r="G651" s="210"/>
      <c r="H651" s="22">
        <v>5014</v>
      </c>
      <c r="I651" s="22">
        <f t="shared" si="11"/>
        <v>13.306511539033142</v>
      </c>
    </row>
    <row r="652" spans="1:9" ht="15" hidden="1">
      <c r="A652" s="151" t="s">
        <v>57</v>
      </c>
      <c r="B652" s="250"/>
      <c r="C652" s="235" t="s">
        <v>114</v>
      </c>
      <c r="D652" s="235" t="s">
        <v>114</v>
      </c>
      <c r="E652" s="235" t="s">
        <v>196</v>
      </c>
      <c r="F652" s="296"/>
      <c r="G652" s="210"/>
      <c r="H652" s="22">
        <f>SUM(H653)</f>
        <v>0</v>
      </c>
      <c r="I652" s="22">
        <f t="shared" si="11"/>
        <v>0</v>
      </c>
    </row>
    <row r="653" spans="1:9" ht="28.5">
      <c r="A653" s="151" t="s">
        <v>56</v>
      </c>
      <c r="B653" s="250"/>
      <c r="C653" s="235" t="s">
        <v>114</v>
      </c>
      <c r="D653" s="235" t="s">
        <v>114</v>
      </c>
      <c r="E653" s="235" t="s">
        <v>212</v>
      </c>
      <c r="F653" s="296"/>
      <c r="G653" s="210">
        <f>SUM(G654+G655+G656)</f>
        <v>1914.5</v>
      </c>
      <c r="H653" s="22"/>
      <c r="I653" s="22">
        <f t="shared" si="11"/>
        <v>0</v>
      </c>
    </row>
    <row r="654" spans="1:9" ht="28.5">
      <c r="A654" s="151" t="s">
        <v>470</v>
      </c>
      <c r="B654" s="250"/>
      <c r="C654" s="235" t="s">
        <v>114</v>
      </c>
      <c r="D654" s="235" t="s">
        <v>114</v>
      </c>
      <c r="E654" s="235" t="s">
        <v>212</v>
      </c>
      <c r="F654" s="296" t="s">
        <v>471</v>
      </c>
      <c r="G654" s="210">
        <v>1714.3</v>
      </c>
      <c r="H654" s="22" t="e">
        <f>SUM(#REF!)</f>
        <v>#REF!</v>
      </c>
      <c r="I654" s="22" t="e">
        <f t="shared" si="11"/>
        <v>#REF!</v>
      </c>
    </row>
    <row r="655" spans="1:9" ht="15">
      <c r="A655" s="151" t="s">
        <v>475</v>
      </c>
      <c r="B655" s="250"/>
      <c r="C655" s="235" t="s">
        <v>114</v>
      </c>
      <c r="D655" s="235" t="s">
        <v>114</v>
      </c>
      <c r="E655" s="235" t="s">
        <v>212</v>
      </c>
      <c r="F655" s="296" t="s">
        <v>117</v>
      </c>
      <c r="G655" s="210">
        <v>188.4</v>
      </c>
      <c r="H655" s="22">
        <f>SUM(H662)</f>
        <v>39140.2</v>
      </c>
      <c r="I655" s="22">
        <f>SUM(H655/G680*100)</f>
        <v>144.62357049162156</v>
      </c>
    </row>
    <row r="656" spans="1:9" ht="15">
      <c r="A656" s="151" t="s">
        <v>476</v>
      </c>
      <c r="B656" s="250"/>
      <c r="C656" s="235" t="s">
        <v>114</v>
      </c>
      <c r="D656" s="235" t="s">
        <v>114</v>
      </c>
      <c r="E656" s="235" t="s">
        <v>212</v>
      </c>
      <c r="F656" s="296" t="s">
        <v>166</v>
      </c>
      <c r="G656" s="210">
        <v>11.8</v>
      </c>
      <c r="H656" s="22" t="e">
        <f>SUM(H660+#REF!+#REF!)</f>
        <v>#REF!</v>
      </c>
      <c r="I656" s="22" t="e">
        <f>SUM(H656/#REF!*100)</f>
        <v>#REF!</v>
      </c>
    </row>
    <row r="657" spans="1:9" ht="15">
      <c r="A657" s="152" t="s">
        <v>213</v>
      </c>
      <c r="B657" s="250"/>
      <c r="C657" s="235" t="s">
        <v>114</v>
      </c>
      <c r="D657" s="235" t="s">
        <v>114</v>
      </c>
      <c r="E657" s="235" t="s">
        <v>116</v>
      </c>
      <c r="F657" s="296"/>
      <c r="G657" s="210">
        <f>SUM(G658)</f>
        <v>3000</v>
      </c>
      <c r="H657" s="22"/>
      <c r="I657" s="22"/>
    </row>
    <row r="658" spans="1:9" ht="28.5">
      <c r="A658" s="152" t="s">
        <v>88</v>
      </c>
      <c r="B658" s="250"/>
      <c r="C658" s="235" t="s">
        <v>114</v>
      </c>
      <c r="D658" s="235" t="s">
        <v>114</v>
      </c>
      <c r="E658" s="235" t="s">
        <v>89</v>
      </c>
      <c r="F658" s="296"/>
      <c r="G658" s="210">
        <f>SUM(G659)</f>
        <v>3000</v>
      </c>
      <c r="H658" s="22"/>
      <c r="I658" s="22"/>
    </row>
    <row r="659" spans="1:9" ht="42.75">
      <c r="A659" s="152" t="s">
        <v>90</v>
      </c>
      <c r="B659" s="250"/>
      <c r="C659" s="235" t="s">
        <v>114</v>
      </c>
      <c r="D659" s="235" t="s">
        <v>114</v>
      </c>
      <c r="E659" s="235" t="s">
        <v>91</v>
      </c>
      <c r="F659" s="296"/>
      <c r="G659" s="210">
        <f>SUM(G660:G661)</f>
        <v>3000</v>
      </c>
      <c r="H659" s="22"/>
      <c r="I659" s="22"/>
    </row>
    <row r="660" spans="1:9" ht="15" hidden="1">
      <c r="A660" s="151" t="s">
        <v>57</v>
      </c>
      <c r="B660" s="250"/>
      <c r="C660" s="235" t="s">
        <v>114</v>
      </c>
      <c r="D660" s="235" t="s">
        <v>114</v>
      </c>
      <c r="E660" s="235" t="s">
        <v>91</v>
      </c>
      <c r="F660" s="296"/>
      <c r="G660" s="210"/>
      <c r="H660" s="22">
        <v>56722</v>
      </c>
      <c r="I660" s="22" t="e">
        <f>SUM(H660/#REF!*100)</f>
        <v>#REF!</v>
      </c>
    </row>
    <row r="661" spans="1:9" ht="15">
      <c r="A661" s="151" t="s">
        <v>475</v>
      </c>
      <c r="B661" s="250"/>
      <c r="C661" s="235" t="s">
        <v>114</v>
      </c>
      <c r="D661" s="235" t="s">
        <v>114</v>
      </c>
      <c r="E661" s="235" t="s">
        <v>91</v>
      </c>
      <c r="F661" s="296" t="s">
        <v>117</v>
      </c>
      <c r="G661" s="210">
        <v>3000</v>
      </c>
      <c r="H661" s="22"/>
      <c r="I661" s="22"/>
    </row>
    <row r="662" spans="1:9" ht="15">
      <c r="A662" s="151" t="s">
        <v>558</v>
      </c>
      <c r="B662" s="244"/>
      <c r="C662" s="235" t="s">
        <v>114</v>
      </c>
      <c r="D662" s="235" t="s">
        <v>114</v>
      </c>
      <c r="E662" s="235" t="s">
        <v>126</v>
      </c>
      <c r="F662" s="296"/>
      <c r="G662" s="210">
        <f>SUM(G665)+G663</f>
        <v>793.8</v>
      </c>
      <c r="H662" s="22">
        <f>SUM(H665+H670+H666)</f>
        <v>39140.2</v>
      </c>
      <c r="I662" s="22" t="e">
        <f>SUM(H662/#REF!*100)</f>
        <v>#REF!</v>
      </c>
    </row>
    <row r="663" spans="1:9" ht="42.75">
      <c r="A663" s="183" t="s">
        <v>697</v>
      </c>
      <c r="B663" s="237"/>
      <c r="C663" s="228" t="s">
        <v>114</v>
      </c>
      <c r="D663" s="228" t="s">
        <v>114</v>
      </c>
      <c r="E663" s="228" t="s">
        <v>698</v>
      </c>
      <c r="F663" s="280"/>
      <c r="G663" s="197">
        <f>G664</f>
        <v>10</v>
      </c>
      <c r="H663" s="22"/>
      <c r="I663" s="22"/>
    </row>
    <row r="664" spans="1:9" ht="15">
      <c r="A664" s="183" t="s">
        <v>475</v>
      </c>
      <c r="B664" s="237"/>
      <c r="C664" s="228" t="s">
        <v>114</v>
      </c>
      <c r="D664" s="228" t="s">
        <v>114</v>
      </c>
      <c r="E664" s="228" t="s">
        <v>698</v>
      </c>
      <c r="F664" s="280" t="s">
        <v>117</v>
      </c>
      <c r="G664" s="197">
        <v>10</v>
      </c>
      <c r="H664" s="22"/>
      <c r="I664" s="22"/>
    </row>
    <row r="665" spans="1:9" ht="15">
      <c r="A665" s="305" t="s">
        <v>574</v>
      </c>
      <c r="B665" s="244"/>
      <c r="C665" s="235" t="s">
        <v>114</v>
      </c>
      <c r="D665" s="235" t="s">
        <v>114</v>
      </c>
      <c r="E665" s="235" t="s">
        <v>94</v>
      </c>
      <c r="F665" s="296"/>
      <c r="G665" s="213">
        <f>SUM(G666)</f>
        <v>783.8</v>
      </c>
      <c r="H665" s="22">
        <v>39061.6</v>
      </c>
      <c r="I665" s="22" t="e">
        <f>SUM(H665/#REF!*100)</f>
        <v>#REF!</v>
      </c>
    </row>
    <row r="666" spans="1:9" ht="15">
      <c r="A666" s="151" t="s">
        <v>475</v>
      </c>
      <c r="B666" s="244"/>
      <c r="C666" s="235" t="s">
        <v>114</v>
      </c>
      <c r="D666" s="235" t="s">
        <v>114</v>
      </c>
      <c r="E666" s="235" t="s">
        <v>94</v>
      </c>
      <c r="F666" s="296" t="s">
        <v>117</v>
      </c>
      <c r="G666" s="213">
        <v>783.8</v>
      </c>
      <c r="H666" s="22">
        <f>SUM(H667)</f>
        <v>78.6</v>
      </c>
      <c r="I666" s="22" t="e">
        <f>SUM(H666/#REF!*100)</f>
        <v>#REF!</v>
      </c>
    </row>
    <row r="667" spans="1:9" ht="15">
      <c r="A667" s="151" t="s">
        <v>214</v>
      </c>
      <c r="B667" s="250"/>
      <c r="C667" s="235" t="s">
        <v>114</v>
      </c>
      <c r="D667" s="235" t="s">
        <v>279</v>
      </c>
      <c r="E667" s="235"/>
      <c r="F667" s="296"/>
      <c r="G667" s="210">
        <f>G668</f>
        <v>37680.799999999996</v>
      </c>
      <c r="H667" s="22">
        <v>78.6</v>
      </c>
      <c r="I667" s="22" t="e">
        <f>SUM(H667/#REF!*100)</f>
        <v>#REF!</v>
      </c>
    </row>
    <row r="668" spans="1:9" ht="42.75">
      <c r="A668" s="152" t="s">
        <v>270</v>
      </c>
      <c r="B668" s="250"/>
      <c r="C668" s="235" t="s">
        <v>114</v>
      </c>
      <c r="D668" s="235" t="s">
        <v>279</v>
      </c>
      <c r="E668" s="235" t="s">
        <v>271</v>
      </c>
      <c r="F668" s="296"/>
      <c r="G668" s="210">
        <f>SUM(G669)</f>
        <v>37680.799999999996</v>
      </c>
      <c r="H668" s="22"/>
      <c r="I668" s="22" t="e">
        <f>SUM(H668/#REF!*100)</f>
        <v>#REF!</v>
      </c>
    </row>
    <row r="669" spans="1:9" ht="28.5">
      <c r="A669" s="151" t="s">
        <v>56</v>
      </c>
      <c r="B669" s="250"/>
      <c r="C669" s="235" t="s">
        <v>114</v>
      </c>
      <c r="D669" s="235" t="s">
        <v>279</v>
      </c>
      <c r="E669" s="235" t="s">
        <v>272</v>
      </c>
      <c r="F669" s="296"/>
      <c r="G669" s="210">
        <f>SUM(G670+G671+G672)</f>
        <v>37680.799999999996</v>
      </c>
      <c r="H669" s="22"/>
      <c r="I669" s="22" t="e">
        <f>SUM(H669/#REF!*100)</f>
        <v>#REF!</v>
      </c>
    </row>
    <row r="670" spans="1:9" s="134" customFormat="1" ht="28.5">
      <c r="A670" s="151" t="s">
        <v>470</v>
      </c>
      <c r="B670" s="250"/>
      <c r="C670" s="235" t="s">
        <v>114</v>
      </c>
      <c r="D670" s="235" t="s">
        <v>279</v>
      </c>
      <c r="E670" s="235" t="s">
        <v>272</v>
      </c>
      <c r="F670" s="296" t="s">
        <v>471</v>
      </c>
      <c r="G670" s="210">
        <v>33338.6</v>
      </c>
      <c r="H670" s="22">
        <f>SUM(H672)</f>
        <v>0</v>
      </c>
      <c r="I670" s="22" t="e">
        <f>SUM(H670/#REF!*100)</f>
        <v>#REF!</v>
      </c>
    </row>
    <row r="671" spans="1:9" ht="15">
      <c r="A671" s="151" t="s">
        <v>475</v>
      </c>
      <c r="B671" s="244"/>
      <c r="C671" s="235" t="s">
        <v>114</v>
      </c>
      <c r="D671" s="235" t="s">
        <v>279</v>
      </c>
      <c r="E671" s="235" t="s">
        <v>272</v>
      </c>
      <c r="F671" s="296" t="s">
        <v>117</v>
      </c>
      <c r="G671" s="210">
        <v>3943.5</v>
      </c>
      <c r="H671" s="22"/>
      <c r="I671" s="22" t="e">
        <f>SUM(H671/#REF!*100)</f>
        <v>#REF!</v>
      </c>
    </row>
    <row r="672" spans="1:9" ht="15">
      <c r="A672" s="151" t="s">
        <v>476</v>
      </c>
      <c r="B672" s="250"/>
      <c r="C672" s="235" t="s">
        <v>114</v>
      </c>
      <c r="D672" s="235" t="s">
        <v>279</v>
      </c>
      <c r="E672" s="235" t="s">
        <v>272</v>
      </c>
      <c r="F672" s="296" t="s">
        <v>166</v>
      </c>
      <c r="G672" s="210">
        <v>398.7</v>
      </c>
      <c r="H672" s="22"/>
      <c r="I672" s="22" t="e">
        <f>SUM(H672/#REF!*100)</f>
        <v>#REF!</v>
      </c>
    </row>
    <row r="673" spans="1:9" ht="15">
      <c r="A673" s="151" t="s">
        <v>173</v>
      </c>
      <c r="B673" s="250"/>
      <c r="C673" s="235" t="s">
        <v>5</v>
      </c>
      <c r="D673" s="235"/>
      <c r="E673" s="235"/>
      <c r="F673" s="296"/>
      <c r="G673" s="210">
        <f>SUM(G674)</f>
        <v>36845.7</v>
      </c>
      <c r="H673" s="22" t="e">
        <f>SUM(H674)</f>
        <v>#REF!</v>
      </c>
      <c r="I673" s="22" t="e">
        <f>SUM(H673/#REF!*100)</f>
        <v>#REF!</v>
      </c>
    </row>
    <row r="674" spans="1:9" ht="15">
      <c r="A674" s="152" t="s">
        <v>154</v>
      </c>
      <c r="B674" s="250"/>
      <c r="C674" s="235" t="s">
        <v>5</v>
      </c>
      <c r="D674" s="235" t="s">
        <v>119</v>
      </c>
      <c r="E674" s="235"/>
      <c r="F674" s="296"/>
      <c r="G674" s="210">
        <f>SUM(G675)+G678</f>
        <v>36845.7</v>
      </c>
      <c r="H674" s="22" t="e">
        <f>SUM(H679+#REF!+#REF!)</f>
        <v>#REF!</v>
      </c>
      <c r="I674" s="22" t="e">
        <f>SUM(H674/#REF!*100)</f>
        <v>#REF!</v>
      </c>
    </row>
    <row r="675" spans="1:9" ht="28.5">
      <c r="A675" s="304" t="s">
        <v>681</v>
      </c>
      <c r="B675" s="232"/>
      <c r="C675" s="228" t="s">
        <v>5</v>
      </c>
      <c r="D675" s="228" t="s">
        <v>119</v>
      </c>
      <c r="E675" s="198" t="s">
        <v>682</v>
      </c>
      <c r="F675" s="280"/>
      <c r="G675" s="197">
        <f>SUM(G676)</f>
        <v>9782.2</v>
      </c>
      <c r="H675" s="22"/>
      <c r="I675" s="22" t="e">
        <f>SUM(H675/#REF!*100)</f>
        <v>#REF!</v>
      </c>
    </row>
    <row r="676" spans="1:9" ht="99.75">
      <c r="A676" s="304" t="s">
        <v>683</v>
      </c>
      <c r="B676" s="232"/>
      <c r="C676" s="228" t="s">
        <v>5</v>
      </c>
      <c r="D676" s="228" t="s">
        <v>119</v>
      </c>
      <c r="E676" s="198" t="s">
        <v>684</v>
      </c>
      <c r="F676" s="284"/>
      <c r="G676" s="197">
        <f>G677</f>
        <v>9782.2</v>
      </c>
      <c r="H676" s="22"/>
      <c r="I676" s="22"/>
    </row>
    <row r="677" spans="1:9" ht="42.75">
      <c r="A677" s="304" t="s">
        <v>699</v>
      </c>
      <c r="B677" s="232"/>
      <c r="C677" s="228" t="s">
        <v>5</v>
      </c>
      <c r="D677" s="228" t="s">
        <v>119</v>
      </c>
      <c r="E677" s="198" t="s">
        <v>700</v>
      </c>
      <c r="F677" s="280" t="s">
        <v>481</v>
      </c>
      <c r="G677" s="197">
        <v>9782.2</v>
      </c>
      <c r="H677" s="22"/>
      <c r="I677" s="22"/>
    </row>
    <row r="678" spans="1:9" ht="28.5">
      <c r="A678" s="304" t="s">
        <v>671</v>
      </c>
      <c r="B678" s="232"/>
      <c r="C678" s="228" t="s">
        <v>5</v>
      </c>
      <c r="D678" s="228" t="s">
        <v>119</v>
      </c>
      <c r="E678" s="252" t="s">
        <v>672</v>
      </c>
      <c r="F678" s="280"/>
      <c r="G678" s="197">
        <f>SUM(G679)</f>
        <v>27063.5</v>
      </c>
      <c r="H678" s="22"/>
      <c r="I678" s="22"/>
    </row>
    <row r="679" spans="1:9" ht="99.75">
      <c r="A679" s="304" t="s">
        <v>701</v>
      </c>
      <c r="B679" s="232"/>
      <c r="C679" s="228" t="s">
        <v>5</v>
      </c>
      <c r="D679" s="228" t="s">
        <v>119</v>
      </c>
      <c r="E679" s="252" t="s">
        <v>702</v>
      </c>
      <c r="F679" s="280"/>
      <c r="G679" s="197">
        <f>SUM(G680)</f>
        <v>27063.5</v>
      </c>
      <c r="H679" s="22">
        <f>SUM(H680)</f>
        <v>0</v>
      </c>
      <c r="I679" s="22" t="e">
        <f>SUM(H679/#REF!*100)</f>
        <v>#REF!</v>
      </c>
    </row>
    <row r="680" spans="1:9" ht="57">
      <c r="A680" s="304" t="s">
        <v>703</v>
      </c>
      <c r="B680" s="232"/>
      <c r="C680" s="228" t="s">
        <v>5</v>
      </c>
      <c r="D680" s="228" t="s">
        <v>119</v>
      </c>
      <c r="E680" s="198" t="s">
        <v>704</v>
      </c>
      <c r="F680" s="280" t="s">
        <v>481</v>
      </c>
      <c r="G680" s="197">
        <v>27063.5</v>
      </c>
      <c r="H680" s="22"/>
      <c r="I680" s="22" t="e">
        <f>SUM(H680/#REF!*100)</f>
        <v>#REF!</v>
      </c>
    </row>
    <row r="681" spans="1:9" ht="15">
      <c r="A681" s="229" t="s">
        <v>282</v>
      </c>
      <c r="B681" s="230" t="s">
        <v>245</v>
      </c>
      <c r="C681" s="228"/>
      <c r="D681" s="228"/>
      <c r="E681" s="228"/>
      <c r="F681" s="280"/>
      <c r="G681" s="212">
        <f>SUM(G682+G711)</f>
        <v>168991.80000000002</v>
      </c>
      <c r="H681" s="22">
        <f>SUM(H682)</f>
        <v>199.3</v>
      </c>
      <c r="I681" s="22" t="e">
        <f>SUM(H681/G705*100)</f>
        <v>#DIV/0!</v>
      </c>
    </row>
    <row r="682" spans="1:9" ht="15">
      <c r="A682" s="223" t="s">
        <v>113</v>
      </c>
      <c r="B682" s="224"/>
      <c r="C682" s="228" t="s">
        <v>114</v>
      </c>
      <c r="D682" s="228"/>
      <c r="E682" s="228"/>
      <c r="F682" s="280"/>
      <c r="G682" s="197">
        <f>SUM(G683)+G698</f>
        <v>56312.1</v>
      </c>
      <c r="H682" s="22">
        <v>199.3</v>
      </c>
      <c r="I682" s="22" t="e">
        <f>SUM(H682/G706*100)</f>
        <v>#DIV/0!</v>
      </c>
    </row>
    <row r="683" spans="1:9" ht="15">
      <c r="A683" s="223" t="s">
        <v>310</v>
      </c>
      <c r="B683" s="230"/>
      <c r="C683" s="228" t="s">
        <v>114</v>
      </c>
      <c r="D683" s="228" t="s">
        <v>429</v>
      </c>
      <c r="E683" s="228"/>
      <c r="F683" s="280"/>
      <c r="G683" s="197">
        <f>SUM(G684+G695)</f>
        <v>56312.1</v>
      </c>
      <c r="H683" s="22"/>
      <c r="I683" s="22"/>
    </row>
    <row r="684" spans="1:9" ht="15">
      <c r="A684" s="223" t="s">
        <v>295</v>
      </c>
      <c r="B684" s="224"/>
      <c r="C684" s="228" t="s">
        <v>114</v>
      </c>
      <c r="D684" s="228" t="s">
        <v>429</v>
      </c>
      <c r="E684" s="228" t="s">
        <v>296</v>
      </c>
      <c r="F684" s="280"/>
      <c r="G684" s="197">
        <f>SUM(G685)</f>
        <v>56312.1</v>
      </c>
      <c r="H684" s="22" t="e">
        <f>SUM(#REF!)</f>
        <v>#REF!</v>
      </c>
      <c r="I684" s="22" t="e">
        <f>SUM(H684/G708*100)</f>
        <v>#REF!</v>
      </c>
    </row>
    <row r="685" spans="1:9" ht="15">
      <c r="A685" s="223" t="s">
        <v>15</v>
      </c>
      <c r="B685" s="230"/>
      <c r="C685" s="228" t="s">
        <v>114</v>
      </c>
      <c r="D685" s="228" t="s">
        <v>429</v>
      </c>
      <c r="E685" s="228" t="s">
        <v>78</v>
      </c>
      <c r="F685" s="280"/>
      <c r="G685" s="197">
        <f>SUM(G686)+G693+G688</f>
        <v>56312.1</v>
      </c>
      <c r="H685" s="22"/>
      <c r="I685" s="22"/>
    </row>
    <row r="686" spans="1:9" ht="28.5">
      <c r="A686" s="223" t="s">
        <v>92</v>
      </c>
      <c r="B686" s="230"/>
      <c r="C686" s="228" t="s">
        <v>114</v>
      </c>
      <c r="D686" s="228" t="s">
        <v>429</v>
      </c>
      <c r="E686" s="228" t="s">
        <v>79</v>
      </c>
      <c r="F686" s="280"/>
      <c r="G686" s="197">
        <f>SUM(G687)</f>
        <v>56312.1</v>
      </c>
      <c r="H686" s="22"/>
      <c r="I686" s="22"/>
    </row>
    <row r="687" spans="1:9" ht="27.75" customHeight="1">
      <c r="A687" s="151" t="s">
        <v>489</v>
      </c>
      <c r="B687" s="243"/>
      <c r="C687" s="228" t="s">
        <v>114</v>
      </c>
      <c r="D687" s="228" t="s">
        <v>429</v>
      </c>
      <c r="E687" s="228" t="s">
        <v>79</v>
      </c>
      <c r="F687" s="281" t="s">
        <v>487</v>
      </c>
      <c r="G687" s="197">
        <v>56312.1</v>
      </c>
      <c r="H687" s="22" t="e">
        <f>SUM(H688+H738)</f>
        <v>#REF!</v>
      </c>
      <c r="I687" s="22" t="e">
        <f>SUM(H687/G711*100)</f>
        <v>#REF!</v>
      </c>
    </row>
    <row r="688" spans="1:9" ht="20.25" customHeight="1" hidden="1">
      <c r="A688" s="151" t="s">
        <v>153</v>
      </c>
      <c r="B688" s="243"/>
      <c r="C688" s="228" t="s">
        <v>114</v>
      </c>
      <c r="D688" s="228" t="s">
        <v>429</v>
      </c>
      <c r="E688" s="228" t="s">
        <v>146</v>
      </c>
      <c r="F688" s="281"/>
      <c r="G688" s="197">
        <f>SUM(G691)</f>
        <v>0</v>
      </c>
      <c r="H688" s="22" t="e">
        <f>SUM(#REF!+H712+H689+H731)</f>
        <v>#REF!</v>
      </c>
      <c r="I688" s="22" t="e">
        <f>SUM(H688/G712*100)</f>
        <v>#REF!</v>
      </c>
    </row>
    <row r="689" spans="1:9" ht="28.5" hidden="1">
      <c r="A689" s="151" t="s">
        <v>430</v>
      </c>
      <c r="B689" s="243"/>
      <c r="C689" s="228" t="s">
        <v>114</v>
      </c>
      <c r="D689" s="228" t="s">
        <v>429</v>
      </c>
      <c r="E689" s="228" t="s">
        <v>431</v>
      </c>
      <c r="F689" s="281"/>
      <c r="G689" s="197">
        <f>SUM(G690)</f>
        <v>0</v>
      </c>
      <c r="H689" s="22">
        <f>SUM(H707)</f>
        <v>14679.5</v>
      </c>
      <c r="I689" s="22">
        <f>SUM(H689/G713*100)</f>
        <v>25.213497581620313</v>
      </c>
    </row>
    <row r="690" spans="1:9" ht="15" hidden="1">
      <c r="A690" s="151" t="s">
        <v>153</v>
      </c>
      <c r="B690" s="243"/>
      <c r="C690" s="228" t="s">
        <v>114</v>
      </c>
      <c r="D690" s="228" t="s">
        <v>429</v>
      </c>
      <c r="E690" s="228" t="s">
        <v>431</v>
      </c>
      <c r="F690" s="281" t="s">
        <v>83</v>
      </c>
      <c r="G690" s="197"/>
      <c r="H690" s="22">
        <f>SUM(H691)</f>
        <v>0</v>
      </c>
      <c r="I690" s="22">
        <f>SUM(H690/G719*100)</f>
        <v>0</v>
      </c>
    </row>
    <row r="691" spans="1:9" ht="26.25" customHeight="1" hidden="1">
      <c r="A691" s="151" t="s">
        <v>149</v>
      </c>
      <c r="B691" s="243"/>
      <c r="C691" s="228" t="s">
        <v>114</v>
      </c>
      <c r="D691" s="228" t="s">
        <v>429</v>
      </c>
      <c r="E691" s="228" t="s">
        <v>202</v>
      </c>
      <c r="F691" s="281"/>
      <c r="G691" s="197">
        <f>SUM(G692)</f>
        <v>0</v>
      </c>
      <c r="H691" s="22"/>
      <c r="I691" s="22"/>
    </row>
    <row r="692" spans="1:9" ht="28.5" hidden="1">
      <c r="A692" s="151" t="s">
        <v>489</v>
      </c>
      <c r="B692" s="243"/>
      <c r="C692" s="228" t="s">
        <v>114</v>
      </c>
      <c r="D692" s="228" t="s">
        <v>429</v>
      </c>
      <c r="E692" s="228" t="s">
        <v>202</v>
      </c>
      <c r="F692" s="281" t="s">
        <v>487</v>
      </c>
      <c r="G692" s="197"/>
      <c r="H692" s="22">
        <f>SUM(H694+H742+H740)</f>
        <v>61355.8</v>
      </c>
      <c r="I692" s="22" t="e">
        <f>SUM(H692/G723*100)</f>
        <v>#DIV/0!</v>
      </c>
    </row>
    <row r="693" spans="1:9" ht="42.75" hidden="1">
      <c r="A693" s="151" t="s">
        <v>62</v>
      </c>
      <c r="B693" s="243"/>
      <c r="C693" s="228" t="s">
        <v>114</v>
      </c>
      <c r="D693" s="228" t="s">
        <v>429</v>
      </c>
      <c r="E693" s="228" t="s">
        <v>80</v>
      </c>
      <c r="F693" s="281"/>
      <c r="G693" s="197">
        <f>SUM(G694)</f>
        <v>0</v>
      </c>
      <c r="H693" s="22"/>
      <c r="I693" s="22"/>
    </row>
    <row r="694" spans="1:9" ht="15" hidden="1">
      <c r="A694" s="151" t="s">
        <v>153</v>
      </c>
      <c r="B694" s="243"/>
      <c r="C694" s="228" t="s">
        <v>114</v>
      </c>
      <c r="D694" s="228" t="s">
        <v>429</v>
      </c>
      <c r="E694" s="228" t="s">
        <v>80</v>
      </c>
      <c r="F694" s="281" t="s">
        <v>83</v>
      </c>
      <c r="G694" s="197"/>
      <c r="H694" s="22">
        <v>56722</v>
      </c>
      <c r="I694" s="22" t="e">
        <f>SUM(H694/G725*100)</f>
        <v>#DIV/0!</v>
      </c>
    </row>
    <row r="695" spans="1:9" ht="15" hidden="1">
      <c r="A695" s="151" t="s">
        <v>125</v>
      </c>
      <c r="B695" s="230"/>
      <c r="C695" s="228" t="s">
        <v>114</v>
      </c>
      <c r="D695" s="228" t="s">
        <v>429</v>
      </c>
      <c r="E695" s="228" t="s">
        <v>126</v>
      </c>
      <c r="F695" s="280"/>
      <c r="G695" s="197">
        <f>SUM(G696)+G699</f>
        <v>0</v>
      </c>
      <c r="H695" s="22"/>
      <c r="I695" s="22"/>
    </row>
    <row r="696" spans="1:9" ht="42.75" hidden="1">
      <c r="A696" s="223" t="s">
        <v>191</v>
      </c>
      <c r="B696" s="230"/>
      <c r="C696" s="228" t="s">
        <v>114</v>
      </c>
      <c r="D696" s="228" t="s">
        <v>429</v>
      </c>
      <c r="E696" s="228" t="s">
        <v>277</v>
      </c>
      <c r="F696" s="280"/>
      <c r="G696" s="197">
        <f>SUM(G697)</f>
        <v>0</v>
      </c>
      <c r="H696" s="22"/>
      <c r="I696" s="22"/>
    </row>
    <row r="697" spans="1:9" ht="15" hidden="1">
      <c r="A697" s="151" t="s">
        <v>139</v>
      </c>
      <c r="B697" s="230"/>
      <c r="C697" s="228" t="s">
        <v>114</v>
      </c>
      <c r="D697" s="228" t="s">
        <v>429</v>
      </c>
      <c r="E697" s="228" t="s">
        <v>277</v>
      </c>
      <c r="F697" s="280" t="s">
        <v>83</v>
      </c>
      <c r="G697" s="197"/>
      <c r="H697" s="22"/>
      <c r="I697" s="22"/>
    </row>
    <row r="698" spans="1:9" ht="15" hidden="1">
      <c r="A698" s="223" t="s">
        <v>115</v>
      </c>
      <c r="B698" s="224"/>
      <c r="C698" s="225" t="s">
        <v>114</v>
      </c>
      <c r="D698" s="225" t="s">
        <v>114</v>
      </c>
      <c r="E698" s="228"/>
      <c r="F698" s="281"/>
      <c r="G698" s="197">
        <f>SUM(G704+G699+G702+G708)</f>
        <v>0</v>
      </c>
      <c r="H698" s="22"/>
      <c r="I698" s="22"/>
    </row>
    <row r="699" spans="1:9" ht="15" hidden="1">
      <c r="A699" s="183" t="s">
        <v>208</v>
      </c>
      <c r="B699" s="232"/>
      <c r="C699" s="228" t="s">
        <v>114</v>
      </c>
      <c r="D699" s="228" t="s">
        <v>114</v>
      </c>
      <c r="E699" s="228" t="s">
        <v>209</v>
      </c>
      <c r="F699" s="280"/>
      <c r="G699" s="197">
        <f>SUM(G700)</f>
        <v>0</v>
      </c>
      <c r="H699" s="22"/>
      <c r="I699" s="22"/>
    </row>
    <row r="700" spans="1:9" ht="15" hidden="1">
      <c r="A700" s="183" t="s">
        <v>210</v>
      </c>
      <c r="B700" s="232"/>
      <c r="C700" s="228" t="s">
        <v>114</v>
      </c>
      <c r="D700" s="228" t="s">
        <v>114</v>
      </c>
      <c r="E700" s="228" t="s">
        <v>211</v>
      </c>
      <c r="F700" s="280"/>
      <c r="G700" s="197">
        <f>SUM(G701)</f>
        <v>0</v>
      </c>
      <c r="H700" s="22"/>
      <c r="I700" s="22"/>
    </row>
    <row r="701" spans="1:9" ht="15" hidden="1">
      <c r="A701" s="151" t="s">
        <v>226</v>
      </c>
      <c r="B701" s="232"/>
      <c r="C701" s="228" t="s">
        <v>114</v>
      </c>
      <c r="D701" s="228" t="s">
        <v>114</v>
      </c>
      <c r="E701" s="228" t="s">
        <v>211</v>
      </c>
      <c r="F701" s="280" t="s">
        <v>227</v>
      </c>
      <c r="G701" s="197"/>
      <c r="H701" s="22"/>
      <c r="I701" s="22"/>
    </row>
    <row r="702" spans="1:9" ht="15" hidden="1">
      <c r="A702" s="151" t="s">
        <v>355</v>
      </c>
      <c r="B702" s="232"/>
      <c r="C702" s="228" t="s">
        <v>114</v>
      </c>
      <c r="D702" s="228" t="s">
        <v>114</v>
      </c>
      <c r="E702" s="228" t="s">
        <v>356</v>
      </c>
      <c r="F702" s="280"/>
      <c r="G702" s="197">
        <f>SUM(G703)</f>
        <v>0</v>
      </c>
      <c r="H702" s="22"/>
      <c r="I702" s="22"/>
    </row>
    <row r="703" spans="1:9" ht="15" hidden="1">
      <c r="A703" s="151" t="s">
        <v>206</v>
      </c>
      <c r="B703" s="232"/>
      <c r="C703" s="228" t="s">
        <v>114</v>
      </c>
      <c r="D703" s="228" t="s">
        <v>114</v>
      </c>
      <c r="E703" s="228" t="s">
        <v>356</v>
      </c>
      <c r="F703" s="280" t="s">
        <v>207</v>
      </c>
      <c r="G703" s="197"/>
      <c r="H703" s="22"/>
      <c r="I703" s="22"/>
    </row>
    <row r="704" spans="1:9" ht="15" hidden="1">
      <c r="A704" s="187" t="s">
        <v>213</v>
      </c>
      <c r="B704" s="224"/>
      <c r="C704" s="225" t="s">
        <v>114</v>
      </c>
      <c r="D704" s="225" t="s">
        <v>114</v>
      </c>
      <c r="E704" s="225" t="s">
        <v>116</v>
      </c>
      <c r="F704" s="279"/>
      <c r="G704" s="197">
        <f>SUM(G705)</f>
        <v>0</v>
      </c>
      <c r="H704" s="22"/>
      <c r="I704" s="22"/>
    </row>
    <row r="705" spans="1:9" ht="42.75" hidden="1">
      <c r="A705" s="187" t="s">
        <v>90</v>
      </c>
      <c r="B705" s="224"/>
      <c r="C705" s="225" t="s">
        <v>114</v>
      </c>
      <c r="D705" s="225" t="s">
        <v>114</v>
      </c>
      <c r="E705" s="225" t="s">
        <v>91</v>
      </c>
      <c r="F705" s="279"/>
      <c r="G705" s="197">
        <f>SUM(G706)+G707</f>
        <v>0</v>
      </c>
      <c r="H705" s="22"/>
      <c r="I705" s="22"/>
    </row>
    <row r="706" spans="1:9" ht="15" hidden="1">
      <c r="A706" s="151" t="s">
        <v>226</v>
      </c>
      <c r="B706" s="224"/>
      <c r="C706" s="225" t="s">
        <v>114</v>
      </c>
      <c r="D706" s="225" t="s">
        <v>114</v>
      </c>
      <c r="E706" s="225" t="s">
        <v>91</v>
      </c>
      <c r="F706" s="279" t="s">
        <v>227</v>
      </c>
      <c r="G706" s="197"/>
      <c r="H706" s="22"/>
      <c r="I706" s="22"/>
    </row>
    <row r="707" spans="1:9" ht="15" hidden="1">
      <c r="A707" s="151" t="s">
        <v>139</v>
      </c>
      <c r="B707" s="224"/>
      <c r="C707" s="225" t="s">
        <v>114</v>
      </c>
      <c r="D707" s="225" t="s">
        <v>114</v>
      </c>
      <c r="E707" s="225" t="s">
        <v>91</v>
      </c>
      <c r="F707" s="279" t="s">
        <v>83</v>
      </c>
      <c r="G707" s="197"/>
      <c r="H707" s="22">
        <f>SUM(H708:H710)</f>
        <v>14679.5</v>
      </c>
      <c r="I707" s="22" t="e">
        <f aca="true" t="shared" si="12" ref="I707:I713">SUM(H707/G733*100)</f>
        <v>#DIV/0!</v>
      </c>
    </row>
    <row r="708" spans="1:9" ht="15" hidden="1">
      <c r="A708" s="151" t="s">
        <v>125</v>
      </c>
      <c r="B708" s="244"/>
      <c r="C708" s="228" t="s">
        <v>114</v>
      </c>
      <c r="D708" s="228" t="s">
        <v>114</v>
      </c>
      <c r="E708" s="228" t="s">
        <v>126</v>
      </c>
      <c r="F708" s="281"/>
      <c r="G708" s="197">
        <f>SUM(G709)</f>
        <v>0</v>
      </c>
      <c r="H708" s="22">
        <v>14679.5</v>
      </c>
      <c r="I708" s="22" t="e">
        <f t="shared" si="12"/>
        <v>#DIV/0!</v>
      </c>
    </row>
    <row r="709" spans="1:9" ht="42.75" hidden="1">
      <c r="A709" s="236" t="s">
        <v>337</v>
      </c>
      <c r="B709" s="244"/>
      <c r="C709" s="228" t="s">
        <v>114</v>
      </c>
      <c r="D709" s="228" t="s">
        <v>114</v>
      </c>
      <c r="E709" s="228" t="s">
        <v>336</v>
      </c>
      <c r="F709" s="281"/>
      <c r="G709" s="197">
        <f>SUM(G710)</f>
        <v>0</v>
      </c>
      <c r="H709" s="22"/>
      <c r="I709" s="22" t="e">
        <f t="shared" si="12"/>
        <v>#DIV/0!</v>
      </c>
    </row>
    <row r="710" spans="1:9" ht="15" hidden="1">
      <c r="A710" s="151" t="s">
        <v>206</v>
      </c>
      <c r="B710" s="244"/>
      <c r="C710" s="228" t="s">
        <v>114</v>
      </c>
      <c r="D710" s="228" t="s">
        <v>114</v>
      </c>
      <c r="E710" s="228" t="s">
        <v>336</v>
      </c>
      <c r="F710" s="281" t="s">
        <v>207</v>
      </c>
      <c r="G710" s="197"/>
      <c r="H710" s="22">
        <f>SUM(H711)</f>
        <v>0</v>
      </c>
      <c r="I710" s="22" t="e">
        <f t="shared" si="12"/>
        <v>#DIV/0!</v>
      </c>
    </row>
    <row r="711" spans="1:9" ht="15">
      <c r="A711" s="223" t="s">
        <v>301</v>
      </c>
      <c r="B711" s="224"/>
      <c r="C711" s="228" t="s">
        <v>121</v>
      </c>
      <c r="D711" s="228"/>
      <c r="E711" s="228"/>
      <c r="F711" s="280"/>
      <c r="G711" s="197">
        <f>SUM(G712+G764)</f>
        <v>112679.70000000001</v>
      </c>
      <c r="H711" s="22"/>
      <c r="I711" s="22" t="e">
        <f t="shared" si="12"/>
        <v>#DIV/0!</v>
      </c>
    </row>
    <row r="712" spans="1:9" ht="15">
      <c r="A712" s="223" t="s">
        <v>335</v>
      </c>
      <c r="B712" s="224"/>
      <c r="C712" s="228" t="s">
        <v>121</v>
      </c>
      <c r="D712" s="228" t="s">
        <v>427</v>
      </c>
      <c r="E712" s="228"/>
      <c r="F712" s="280"/>
      <c r="G712" s="197">
        <f>SUM(G713+G738+G749)</f>
        <v>102338.70000000001</v>
      </c>
      <c r="H712" s="22">
        <f>SUM(H713)</f>
        <v>56722</v>
      </c>
      <c r="I712" s="22">
        <f t="shared" si="12"/>
        <v>946.0604443258388</v>
      </c>
    </row>
    <row r="713" spans="1:9" ht="28.5">
      <c r="A713" s="183" t="s">
        <v>564</v>
      </c>
      <c r="B713" s="224"/>
      <c r="C713" s="228" t="s">
        <v>121</v>
      </c>
      <c r="D713" s="228" t="s">
        <v>427</v>
      </c>
      <c r="E713" s="228" t="s">
        <v>133</v>
      </c>
      <c r="F713" s="280"/>
      <c r="G713" s="197">
        <f>SUM(G716+G719)+G714</f>
        <v>58220.8</v>
      </c>
      <c r="H713" s="22">
        <f>SUM(H717+H757+H755)</f>
        <v>56722</v>
      </c>
      <c r="I713" s="22">
        <f t="shared" si="12"/>
        <v>946.0604443258388</v>
      </c>
    </row>
    <row r="714" spans="1:9" ht="28.5">
      <c r="A714" s="183" t="s">
        <v>349</v>
      </c>
      <c r="B714" s="224"/>
      <c r="C714" s="228" t="s">
        <v>121</v>
      </c>
      <c r="D714" s="228" t="s">
        <v>427</v>
      </c>
      <c r="E714" s="228" t="s">
        <v>629</v>
      </c>
      <c r="F714" s="280"/>
      <c r="G714" s="197">
        <f>SUM(G715)</f>
        <v>57</v>
      </c>
      <c r="H714" s="22"/>
      <c r="I714" s="22"/>
    </row>
    <row r="715" spans="1:9" ht="15">
      <c r="A715" s="223" t="s">
        <v>475</v>
      </c>
      <c r="B715" s="224"/>
      <c r="C715" s="228" t="s">
        <v>121</v>
      </c>
      <c r="D715" s="228" t="s">
        <v>427</v>
      </c>
      <c r="E715" s="228" t="s">
        <v>629</v>
      </c>
      <c r="F715" s="280" t="s">
        <v>117</v>
      </c>
      <c r="G715" s="197">
        <v>57</v>
      </c>
      <c r="H715" s="22"/>
      <c r="I715" s="22"/>
    </row>
    <row r="716" spans="1:9" ht="15">
      <c r="A716" s="223" t="s">
        <v>15</v>
      </c>
      <c r="B716" s="230"/>
      <c r="C716" s="228" t="s">
        <v>121</v>
      </c>
      <c r="D716" s="228" t="s">
        <v>427</v>
      </c>
      <c r="E716" s="228" t="s">
        <v>188</v>
      </c>
      <c r="F716" s="280"/>
      <c r="G716" s="197">
        <f>SUM(G717)</f>
        <v>35848.8</v>
      </c>
      <c r="H716" s="22"/>
      <c r="I716" s="22"/>
    </row>
    <row r="717" spans="1:9" ht="28.5">
      <c r="A717" s="223" t="s">
        <v>92</v>
      </c>
      <c r="B717" s="230"/>
      <c r="C717" s="228" t="s">
        <v>121</v>
      </c>
      <c r="D717" s="228" t="s">
        <v>427</v>
      </c>
      <c r="E717" s="228" t="s">
        <v>190</v>
      </c>
      <c r="F717" s="280"/>
      <c r="G717" s="197">
        <f>SUM(G718)</f>
        <v>35848.8</v>
      </c>
      <c r="H717" s="22">
        <v>56722</v>
      </c>
      <c r="I717" s="22">
        <f>SUM(H717/G741*100)</f>
        <v>946.0604443258388</v>
      </c>
    </row>
    <row r="718" spans="1:9" ht="28.5">
      <c r="A718" s="151" t="s">
        <v>489</v>
      </c>
      <c r="B718" s="243"/>
      <c r="C718" s="228" t="s">
        <v>121</v>
      </c>
      <c r="D718" s="228" t="s">
        <v>427</v>
      </c>
      <c r="E718" s="228" t="s">
        <v>190</v>
      </c>
      <c r="F718" s="281" t="s">
        <v>487</v>
      </c>
      <c r="G718" s="197">
        <v>35848.8</v>
      </c>
      <c r="H718" s="22">
        <f>SUM(H719)</f>
        <v>0</v>
      </c>
      <c r="I718" s="22" t="e">
        <f>SUM(H718/#REF!*100)</f>
        <v>#REF!</v>
      </c>
    </row>
    <row r="719" spans="1:9" ht="28.5">
      <c r="A719" s="223" t="s">
        <v>56</v>
      </c>
      <c r="B719" s="243"/>
      <c r="C719" s="228" t="s">
        <v>121</v>
      </c>
      <c r="D719" s="228" t="s">
        <v>427</v>
      </c>
      <c r="E719" s="228" t="s">
        <v>134</v>
      </c>
      <c r="F719" s="281"/>
      <c r="G719" s="197">
        <f>SUM(G720:G722)</f>
        <v>22315</v>
      </c>
      <c r="H719" s="22"/>
      <c r="I719" s="22" t="e">
        <f>SUM(H719/#REF!*100)</f>
        <v>#REF!</v>
      </c>
    </row>
    <row r="720" spans="1:9" ht="28.5">
      <c r="A720" s="223" t="s">
        <v>470</v>
      </c>
      <c r="B720" s="224"/>
      <c r="C720" s="228" t="s">
        <v>121</v>
      </c>
      <c r="D720" s="228" t="s">
        <v>427</v>
      </c>
      <c r="E720" s="228" t="s">
        <v>134</v>
      </c>
      <c r="F720" s="279" t="s">
        <v>471</v>
      </c>
      <c r="G720" s="197">
        <v>18532.5</v>
      </c>
      <c r="H720" s="22"/>
      <c r="I720" s="22"/>
    </row>
    <row r="721" spans="1:9" ht="21" customHeight="1">
      <c r="A721" s="223" t="s">
        <v>475</v>
      </c>
      <c r="B721" s="224"/>
      <c r="C721" s="228" t="s">
        <v>121</v>
      </c>
      <c r="D721" s="228" t="s">
        <v>427</v>
      </c>
      <c r="E721" s="228" t="s">
        <v>134</v>
      </c>
      <c r="F721" s="279" t="s">
        <v>117</v>
      </c>
      <c r="G721" s="205">
        <v>3362.2</v>
      </c>
      <c r="H721" s="22"/>
      <c r="I721" s="22"/>
    </row>
    <row r="722" spans="1:9" ht="19.5" customHeight="1">
      <c r="A722" s="223" t="s">
        <v>476</v>
      </c>
      <c r="B722" s="224"/>
      <c r="C722" s="228" t="s">
        <v>121</v>
      </c>
      <c r="D722" s="228" t="s">
        <v>427</v>
      </c>
      <c r="E722" s="228" t="s">
        <v>134</v>
      </c>
      <c r="F722" s="280" t="s">
        <v>166</v>
      </c>
      <c r="G722" s="197">
        <v>420.3</v>
      </c>
      <c r="H722" s="22"/>
      <c r="I722" s="22"/>
    </row>
    <row r="723" spans="1:9" ht="15" hidden="1">
      <c r="A723" s="223" t="s">
        <v>93</v>
      </c>
      <c r="B723" s="230"/>
      <c r="C723" s="228" t="s">
        <v>121</v>
      </c>
      <c r="D723" s="228" t="s">
        <v>427</v>
      </c>
      <c r="E723" s="228" t="s">
        <v>188</v>
      </c>
      <c r="F723" s="280"/>
      <c r="G723" s="197">
        <f>SUM(G724+G726)</f>
        <v>0</v>
      </c>
      <c r="H723" s="22"/>
      <c r="I723" s="22"/>
    </row>
    <row r="724" spans="1:9" ht="28.5" hidden="1">
      <c r="A724" s="223" t="s">
        <v>189</v>
      </c>
      <c r="B724" s="230"/>
      <c r="C724" s="228" t="s">
        <v>121</v>
      </c>
      <c r="D724" s="228" t="s">
        <v>427</v>
      </c>
      <c r="E724" s="228" t="s">
        <v>190</v>
      </c>
      <c r="F724" s="280"/>
      <c r="G724" s="197">
        <f>SUM(G725)</f>
        <v>0</v>
      </c>
      <c r="H724" s="22">
        <f>SUM(H725+H728+H730)</f>
        <v>10268.9</v>
      </c>
      <c r="I724" s="22">
        <f>SUM(H724/G750*100)</f>
        <v>26.936727322328398</v>
      </c>
    </row>
    <row r="725" spans="1:9" ht="42.75" hidden="1">
      <c r="A725" s="151" t="s">
        <v>152</v>
      </c>
      <c r="B725" s="243"/>
      <c r="C725" s="228" t="s">
        <v>121</v>
      </c>
      <c r="D725" s="228" t="s">
        <v>427</v>
      </c>
      <c r="E725" s="228" t="s">
        <v>190</v>
      </c>
      <c r="F725" s="281" t="s">
        <v>58</v>
      </c>
      <c r="G725" s="197"/>
      <c r="H725" s="22">
        <v>8963.8</v>
      </c>
      <c r="I725" s="22">
        <f>SUM(H725/G751*100)</f>
        <v>27.108074842213814</v>
      </c>
    </row>
    <row r="726" spans="1:9" ht="15" hidden="1">
      <c r="A726" s="223" t="s">
        <v>153</v>
      </c>
      <c r="B726" s="224"/>
      <c r="C726" s="228" t="s">
        <v>121</v>
      </c>
      <c r="D726" s="228" t="s">
        <v>427</v>
      </c>
      <c r="E726" s="225" t="s">
        <v>381</v>
      </c>
      <c r="F726" s="281"/>
      <c r="G726" s="197">
        <f>SUM(G729+G731)+G727</f>
        <v>0</v>
      </c>
      <c r="H726" s="22"/>
      <c r="I726" s="22">
        <f>SUM(H726/G753*100)</f>
        <v>0</v>
      </c>
    </row>
    <row r="727" spans="1:9" ht="28.5" hidden="1">
      <c r="A727" s="223" t="s">
        <v>430</v>
      </c>
      <c r="B727" s="224"/>
      <c r="C727" s="228" t="s">
        <v>121</v>
      </c>
      <c r="D727" s="228" t="s">
        <v>427</v>
      </c>
      <c r="E727" s="225" t="s">
        <v>382</v>
      </c>
      <c r="F727" s="281"/>
      <c r="G727" s="197">
        <f>SUM(G728)</f>
        <v>0</v>
      </c>
      <c r="H727" s="22">
        <f>SUM(H728)</f>
        <v>0</v>
      </c>
      <c r="I727" s="22" t="e">
        <f>SUM(H727/#REF!*100)</f>
        <v>#REF!</v>
      </c>
    </row>
    <row r="728" spans="1:9" ht="15" hidden="1">
      <c r="A728" s="223" t="s">
        <v>153</v>
      </c>
      <c r="B728" s="224"/>
      <c r="C728" s="228" t="s">
        <v>121</v>
      </c>
      <c r="D728" s="228" t="s">
        <v>427</v>
      </c>
      <c r="E728" s="225" t="s">
        <v>382</v>
      </c>
      <c r="F728" s="281" t="s">
        <v>83</v>
      </c>
      <c r="G728" s="197"/>
      <c r="H728" s="22"/>
      <c r="I728" s="22" t="e">
        <f>SUM(H728/#REF!*100)</f>
        <v>#REF!</v>
      </c>
    </row>
    <row r="729" spans="1:9" ht="28.5" hidden="1">
      <c r="A729" s="151" t="s">
        <v>380</v>
      </c>
      <c r="B729" s="243"/>
      <c r="C729" s="228" t="s">
        <v>121</v>
      </c>
      <c r="D729" s="228" t="s">
        <v>427</v>
      </c>
      <c r="E729" s="228" t="s">
        <v>379</v>
      </c>
      <c r="F729" s="281"/>
      <c r="G729" s="197">
        <f>SUM(G730)</f>
        <v>0</v>
      </c>
      <c r="H729" s="22">
        <f>SUM(H730)</f>
        <v>1305.1</v>
      </c>
      <c r="I729" s="22" t="e">
        <f>SUM(H729/G754*100)</f>
        <v>#DIV/0!</v>
      </c>
    </row>
    <row r="730" spans="1:9" ht="15" hidden="1">
      <c r="A730" s="151" t="s">
        <v>139</v>
      </c>
      <c r="B730" s="243"/>
      <c r="C730" s="228" t="s">
        <v>121</v>
      </c>
      <c r="D730" s="228" t="s">
        <v>427</v>
      </c>
      <c r="E730" s="228" t="s">
        <v>379</v>
      </c>
      <c r="F730" s="281" t="s">
        <v>83</v>
      </c>
      <c r="G730" s="197"/>
      <c r="H730" s="22">
        <v>1305.1</v>
      </c>
      <c r="I730" s="22" t="e">
        <f>SUM(H730/G755*100)</f>
        <v>#DIV/0!</v>
      </c>
    </row>
    <row r="731" spans="1:9" ht="15" hidden="1">
      <c r="A731" s="151" t="s">
        <v>149</v>
      </c>
      <c r="B731" s="243"/>
      <c r="C731" s="228" t="s">
        <v>121</v>
      </c>
      <c r="D731" s="228" t="s">
        <v>427</v>
      </c>
      <c r="E731" s="228" t="s">
        <v>198</v>
      </c>
      <c r="F731" s="281"/>
      <c r="G731" s="197">
        <f>SUM(G732)</f>
        <v>0</v>
      </c>
      <c r="H731" s="22" t="e">
        <f>SUM(#REF!+H733)</f>
        <v>#REF!</v>
      </c>
      <c r="I731" s="22" t="e">
        <f>SUM(H731/G756*100)</f>
        <v>#REF!</v>
      </c>
    </row>
    <row r="732" spans="1:9" ht="15" hidden="1">
      <c r="A732" s="151" t="s">
        <v>139</v>
      </c>
      <c r="B732" s="243"/>
      <c r="C732" s="228" t="s">
        <v>121</v>
      </c>
      <c r="D732" s="228" t="s">
        <v>427</v>
      </c>
      <c r="E732" s="228" t="s">
        <v>198</v>
      </c>
      <c r="F732" s="281" t="s">
        <v>83</v>
      </c>
      <c r="G732" s="197"/>
      <c r="H732" s="22"/>
      <c r="I732" s="22"/>
    </row>
    <row r="733" spans="1:9" ht="28.5" hidden="1">
      <c r="A733" s="223" t="s">
        <v>56</v>
      </c>
      <c r="B733" s="232"/>
      <c r="C733" s="228" t="s">
        <v>121</v>
      </c>
      <c r="D733" s="228" t="s">
        <v>427</v>
      </c>
      <c r="E733" s="228" t="s">
        <v>134</v>
      </c>
      <c r="F733" s="280"/>
      <c r="G733" s="197">
        <f>SUM(G734:G736)</f>
        <v>0</v>
      </c>
      <c r="H733" s="22"/>
      <c r="I733" s="22" t="e">
        <f>SUM(H733/G757*100)</f>
        <v>#DIV/0!</v>
      </c>
    </row>
    <row r="734" spans="1:9" ht="15" hidden="1">
      <c r="A734" s="151" t="s">
        <v>57</v>
      </c>
      <c r="B734" s="232"/>
      <c r="C734" s="228" t="s">
        <v>121</v>
      </c>
      <c r="D734" s="228" t="s">
        <v>427</v>
      </c>
      <c r="E734" s="228" t="s">
        <v>134</v>
      </c>
      <c r="F734" s="280" t="s">
        <v>227</v>
      </c>
      <c r="G734" s="197"/>
      <c r="H734" s="22">
        <f>SUM(H735)</f>
        <v>7333.8</v>
      </c>
      <c r="I734" s="22" t="e">
        <f>SUM(H734/G760*100)</f>
        <v>#DIV/0!</v>
      </c>
    </row>
    <row r="735" spans="1:9" ht="28.5" hidden="1">
      <c r="A735" s="151" t="s">
        <v>338</v>
      </c>
      <c r="B735" s="243"/>
      <c r="C735" s="228" t="s">
        <v>121</v>
      </c>
      <c r="D735" s="228" t="s">
        <v>427</v>
      </c>
      <c r="E735" s="228" t="s">
        <v>134</v>
      </c>
      <c r="F735" s="281" t="s">
        <v>339</v>
      </c>
      <c r="G735" s="197"/>
      <c r="H735" s="22">
        <f>SUM(H737:H741)</f>
        <v>7333.8</v>
      </c>
      <c r="I735" s="22" t="e">
        <f>SUM(H735/G761*100)</f>
        <v>#DIV/0!</v>
      </c>
    </row>
    <row r="736" spans="1:9" ht="42.75" hidden="1">
      <c r="A736" s="223" t="s">
        <v>238</v>
      </c>
      <c r="B736" s="224"/>
      <c r="C736" s="228" t="s">
        <v>121</v>
      </c>
      <c r="D736" s="228" t="s">
        <v>427</v>
      </c>
      <c r="E736" s="228" t="s">
        <v>340</v>
      </c>
      <c r="F736" s="281"/>
      <c r="G736" s="197">
        <f>SUM(G737)</f>
        <v>0</v>
      </c>
      <c r="H736" s="22"/>
      <c r="I736" s="22"/>
    </row>
    <row r="737" spans="1:9" ht="5.25" customHeight="1" hidden="1">
      <c r="A737" s="151" t="s">
        <v>226</v>
      </c>
      <c r="B737" s="243"/>
      <c r="C737" s="228" t="s">
        <v>121</v>
      </c>
      <c r="D737" s="228" t="s">
        <v>427</v>
      </c>
      <c r="E737" s="228" t="s">
        <v>340</v>
      </c>
      <c r="F737" s="281" t="s">
        <v>227</v>
      </c>
      <c r="G737" s="197"/>
      <c r="H737" s="22"/>
      <c r="I737" s="22" t="e">
        <f aca="true" t="shared" si="13" ref="I737:I744">SUM(H737/G763*100)</f>
        <v>#DIV/0!</v>
      </c>
    </row>
    <row r="738" spans="1:9" ht="15">
      <c r="A738" s="223" t="s">
        <v>341</v>
      </c>
      <c r="B738" s="224"/>
      <c r="C738" s="228" t="s">
        <v>121</v>
      </c>
      <c r="D738" s="228" t="s">
        <v>427</v>
      </c>
      <c r="E738" s="228" t="s">
        <v>342</v>
      </c>
      <c r="F738" s="280"/>
      <c r="G738" s="197">
        <f>SUM(G739)</f>
        <v>5995.6</v>
      </c>
      <c r="H738" s="22">
        <f>SUM(H742+H745+H740)</f>
        <v>4633.8</v>
      </c>
      <c r="I738" s="22">
        <f t="shared" si="13"/>
        <v>44.80997969248622</v>
      </c>
    </row>
    <row r="739" spans="1:9" ht="15">
      <c r="A739" s="223" t="s">
        <v>93</v>
      </c>
      <c r="B739" s="230"/>
      <c r="C739" s="228" t="s">
        <v>121</v>
      </c>
      <c r="D739" s="228" t="s">
        <v>427</v>
      </c>
      <c r="E739" s="228" t="s">
        <v>81</v>
      </c>
      <c r="F739" s="280"/>
      <c r="G739" s="197">
        <f>SUM(G740)+G742</f>
        <v>5995.6</v>
      </c>
      <c r="H739" s="22">
        <f>SUM(H740)</f>
        <v>900</v>
      </c>
      <c r="I739" s="22" t="e">
        <f t="shared" si="13"/>
        <v>#DIV/0!</v>
      </c>
    </row>
    <row r="740" spans="1:9" ht="28.5">
      <c r="A740" s="223" t="s">
        <v>189</v>
      </c>
      <c r="B740" s="230"/>
      <c r="C740" s="228" t="s">
        <v>121</v>
      </c>
      <c r="D740" s="228" t="s">
        <v>427</v>
      </c>
      <c r="E740" s="228" t="s">
        <v>82</v>
      </c>
      <c r="F740" s="280"/>
      <c r="G740" s="197">
        <f>SUM(G741)</f>
        <v>5995.6</v>
      </c>
      <c r="H740" s="22">
        <f>SUM(H741)</f>
        <v>900</v>
      </c>
      <c r="I740" s="22" t="e">
        <f t="shared" si="13"/>
        <v>#DIV/0!</v>
      </c>
    </row>
    <row r="741" spans="1:9" ht="27" customHeight="1">
      <c r="A741" s="151" t="s">
        <v>489</v>
      </c>
      <c r="B741" s="243"/>
      <c r="C741" s="228" t="s">
        <v>121</v>
      </c>
      <c r="D741" s="228" t="s">
        <v>427</v>
      </c>
      <c r="E741" s="228" t="s">
        <v>82</v>
      </c>
      <c r="F741" s="281" t="s">
        <v>487</v>
      </c>
      <c r="G741" s="197">
        <v>5995.6</v>
      </c>
      <c r="H741" s="22">
        <v>900</v>
      </c>
      <c r="I741" s="22" t="e">
        <f t="shared" si="13"/>
        <v>#DIV/0!</v>
      </c>
    </row>
    <row r="742" spans="1:9" ht="16.5" customHeight="1" hidden="1">
      <c r="A742" s="223" t="s">
        <v>153</v>
      </c>
      <c r="B742" s="243"/>
      <c r="C742" s="228" t="s">
        <v>121</v>
      </c>
      <c r="D742" s="228" t="s">
        <v>427</v>
      </c>
      <c r="E742" s="228" t="s">
        <v>199</v>
      </c>
      <c r="F742" s="281"/>
      <c r="G742" s="197">
        <f>SUM(G747)</f>
        <v>0</v>
      </c>
      <c r="H742" s="22">
        <f>SUM(H743)</f>
        <v>3733.8</v>
      </c>
      <c r="I742" s="22">
        <f t="shared" si="13"/>
        <v>51.40143171806167</v>
      </c>
    </row>
    <row r="743" spans="1:9" ht="28.5" hidden="1">
      <c r="A743" s="223" t="s">
        <v>430</v>
      </c>
      <c r="B743" s="243"/>
      <c r="C743" s="228" t="s">
        <v>121</v>
      </c>
      <c r="D743" s="228" t="s">
        <v>427</v>
      </c>
      <c r="E743" s="228" t="s">
        <v>432</v>
      </c>
      <c r="F743" s="281"/>
      <c r="G743" s="197">
        <f>SUM(G744)</f>
        <v>0</v>
      </c>
      <c r="H743" s="22">
        <f>SUM(H744)</f>
        <v>3733.8</v>
      </c>
      <c r="I743" s="22">
        <f t="shared" si="13"/>
        <v>51.40143171806167</v>
      </c>
    </row>
    <row r="744" spans="1:9" ht="15" hidden="1">
      <c r="A744" s="223" t="s">
        <v>153</v>
      </c>
      <c r="B744" s="243"/>
      <c r="C744" s="228" t="s">
        <v>121</v>
      </c>
      <c r="D744" s="228" t="s">
        <v>427</v>
      </c>
      <c r="E744" s="228" t="s">
        <v>432</v>
      </c>
      <c r="F744" s="281" t="s">
        <v>487</v>
      </c>
      <c r="G744" s="197"/>
      <c r="H744" s="22">
        <v>3733.8</v>
      </c>
      <c r="I744" s="22">
        <f t="shared" si="13"/>
        <v>58.913187541418154</v>
      </c>
    </row>
    <row r="745" spans="1:9" ht="28.5" hidden="1">
      <c r="A745" s="151" t="s">
        <v>380</v>
      </c>
      <c r="B745" s="243"/>
      <c r="C745" s="228" t="s">
        <v>121</v>
      </c>
      <c r="D745" s="228" t="s">
        <v>427</v>
      </c>
      <c r="E745" s="228" t="s">
        <v>148</v>
      </c>
      <c r="F745" s="281"/>
      <c r="G745" s="197">
        <f>SUM(G746)</f>
        <v>0</v>
      </c>
      <c r="H745" s="22">
        <f>SUM(H750)</f>
        <v>0</v>
      </c>
      <c r="I745" s="22">
        <f>SUM(H745/G773*100)</f>
        <v>0</v>
      </c>
    </row>
    <row r="746" spans="1:9" ht="15" hidden="1">
      <c r="A746" s="151" t="s">
        <v>139</v>
      </c>
      <c r="B746" s="243"/>
      <c r="C746" s="228" t="s">
        <v>121</v>
      </c>
      <c r="D746" s="228" t="s">
        <v>427</v>
      </c>
      <c r="E746" s="228" t="s">
        <v>148</v>
      </c>
      <c r="F746" s="281" t="s">
        <v>487</v>
      </c>
      <c r="G746" s="197"/>
      <c r="H746" s="22"/>
      <c r="I746" s="22"/>
    </row>
    <row r="747" spans="1:9" ht="21" customHeight="1" hidden="1">
      <c r="A747" s="301" t="s">
        <v>149</v>
      </c>
      <c r="B747" s="243"/>
      <c r="C747" s="228" t="s">
        <v>121</v>
      </c>
      <c r="D747" s="228" t="s">
        <v>427</v>
      </c>
      <c r="E747" s="228" t="s">
        <v>601</v>
      </c>
      <c r="F747" s="281"/>
      <c r="G747" s="197">
        <f>SUM(G748)</f>
        <v>0</v>
      </c>
      <c r="H747" s="22"/>
      <c r="I747" s="22"/>
    </row>
    <row r="748" spans="1:9" ht="33.75" customHeight="1" hidden="1">
      <c r="A748" s="151" t="s">
        <v>489</v>
      </c>
      <c r="B748" s="243"/>
      <c r="C748" s="228" t="s">
        <v>121</v>
      </c>
      <c r="D748" s="228" t="s">
        <v>427</v>
      </c>
      <c r="E748" s="228" t="s">
        <v>601</v>
      </c>
      <c r="F748" s="281" t="s">
        <v>487</v>
      </c>
      <c r="G748" s="197"/>
      <c r="H748" s="22"/>
      <c r="I748" s="22"/>
    </row>
    <row r="749" spans="1:9" ht="15">
      <c r="A749" s="223" t="s">
        <v>343</v>
      </c>
      <c r="B749" s="224"/>
      <c r="C749" s="228" t="s">
        <v>121</v>
      </c>
      <c r="D749" s="228" t="s">
        <v>427</v>
      </c>
      <c r="E749" s="228" t="s">
        <v>344</v>
      </c>
      <c r="F749" s="280"/>
      <c r="G749" s="197">
        <f>SUM(G750)</f>
        <v>38122.3</v>
      </c>
      <c r="H749" s="22"/>
      <c r="I749" s="22"/>
    </row>
    <row r="750" spans="1:9" ht="28.5">
      <c r="A750" s="223" t="s">
        <v>56</v>
      </c>
      <c r="B750" s="230"/>
      <c r="C750" s="228" t="s">
        <v>121</v>
      </c>
      <c r="D750" s="228" t="s">
        <v>427</v>
      </c>
      <c r="E750" s="228" t="s">
        <v>345</v>
      </c>
      <c r="F750" s="280"/>
      <c r="G750" s="197">
        <f>SUM(G751:G753)</f>
        <v>38122.3</v>
      </c>
      <c r="H750" s="22">
        <f>SUM(H751:H757)</f>
        <v>0</v>
      </c>
      <c r="I750" s="22">
        <f>SUM(H750/G776*100)</f>
        <v>0</v>
      </c>
    </row>
    <row r="751" spans="1:9" ht="28.5">
      <c r="A751" s="223" t="s">
        <v>470</v>
      </c>
      <c r="B751" s="224"/>
      <c r="C751" s="228" t="s">
        <v>121</v>
      </c>
      <c r="D751" s="228" t="s">
        <v>427</v>
      </c>
      <c r="E751" s="228" t="s">
        <v>345</v>
      </c>
      <c r="F751" s="279" t="s">
        <v>471</v>
      </c>
      <c r="G751" s="197">
        <v>33066.9</v>
      </c>
      <c r="H751" s="22"/>
      <c r="I751" s="22">
        <f>SUM(H751/G777*100)</f>
        <v>0</v>
      </c>
    </row>
    <row r="752" spans="1:9" ht="15">
      <c r="A752" s="223" t="s">
        <v>475</v>
      </c>
      <c r="B752" s="224"/>
      <c r="C752" s="228" t="s">
        <v>121</v>
      </c>
      <c r="D752" s="228" t="s">
        <v>427</v>
      </c>
      <c r="E752" s="228" t="s">
        <v>345</v>
      </c>
      <c r="F752" s="279" t="s">
        <v>117</v>
      </c>
      <c r="G752" s="205">
        <v>4522.8</v>
      </c>
      <c r="H752" s="22"/>
      <c r="I752" s="22">
        <f>SUM(H752/G778*100)</f>
        <v>0</v>
      </c>
    </row>
    <row r="753" spans="1:9" ht="15">
      <c r="A753" s="223" t="s">
        <v>476</v>
      </c>
      <c r="B753" s="224"/>
      <c r="C753" s="228" t="s">
        <v>121</v>
      </c>
      <c r="D753" s="228" t="s">
        <v>427</v>
      </c>
      <c r="E753" s="228" t="s">
        <v>345</v>
      </c>
      <c r="F753" s="280" t="s">
        <v>166</v>
      </c>
      <c r="G753" s="197">
        <v>532.6</v>
      </c>
      <c r="H753" s="22"/>
      <c r="I753" s="22"/>
    </row>
    <row r="754" spans="1:9" ht="42.75" hidden="1">
      <c r="A754" s="151" t="s">
        <v>62</v>
      </c>
      <c r="B754" s="243"/>
      <c r="C754" s="228" t="s">
        <v>121</v>
      </c>
      <c r="D754" s="228" t="s">
        <v>427</v>
      </c>
      <c r="E754" s="228" t="s">
        <v>346</v>
      </c>
      <c r="F754" s="281"/>
      <c r="G754" s="197">
        <f>SUM(G755)</f>
        <v>0</v>
      </c>
      <c r="H754" s="22"/>
      <c r="I754" s="22"/>
    </row>
    <row r="755" spans="1:9" ht="15" hidden="1">
      <c r="A755" s="151" t="s">
        <v>57</v>
      </c>
      <c r="B755" s="243"/>
      <c r="C755" s="228" t="s">
        <v>121</v>
      </c>
      <c r="D755" s="228" t="s">
        <v>427</v>
      </c>
      <c r="E755" s="228" t="s">
        <v>346</v>
      </c>
      <c r="F755" s="281" t="s">
        <v>227</v>
      </c>
      <c r="G755" s="197"/>
      <c r="H755" s="22"/>
      <c r="I755" s="22"/>
    </row>
    <row r="756" spans="1:9" ht="15" hidden="1">
      <c r="A756" s="151" t="s">
        <v>347</v>
      </c>
      <c r="B756" s="243"/>
      <c r="C756" s="228" t="s">
        <v>121</v>
      </c>
      <c r="D756" s="228" t="s">
        <v>427</v>
      </c>
      <c r="E756" s="228" t="s">
        <v>348</v>
      </c>
      <c r="F756" s="281"/>
      <c r="G756" s="197">
        <f>SUM(G759+G757)</f>
        <v>0</v>
      </c>
      <c r="H756" s="22"/>
      <c r="I756" s="22" t="e">
        <f>SUM(H756/G782*100)</f>
        <v>#DIV/0!</v>
      </c>
    </row>
    <row r="757" spans="1:9" ht="15" hidden="1">
      <c r="A757" s="151" t="s">
        <v>226</v>
      </c>
      <c r="B757" s="243"/>
      <c r="C757" s="228" t="s">
        <v>121</v>
      </c>
      <c r="D757" s="228" t="s">
        <v>427</v>
      </c>
      <c r="E757" s="228" t="s">
        <v>348</v>
      </c>
      <c r="F757" s="281" t="s">
        <v>227</v>
      </c>
      <c r="G757" s="197"/>
      <c r="H757" s="22"/>
      <c r="I757" s="22">
        <f>SUM(H757/G785*100)</f>
        <v>0</v>
      </c>
    </row>
    <row r="758" spans="1:9" ht="28.5" hidden="1">
      <c r="A758" s="151" t="s">
        <v>349</v>
      </c>
      <c r="B758" s="243"/>
      <c r="C758" s="228" t="s">
        <v>121</v>
      </c>
      <c r="D758" s="228" t="s">
        <v>427</v>
      </c>
      <c r="E758" s="228" t="s">
        <v>350</v>
      </c>
      <c r="F758" s="281"/>
      <c r="G758" s="197">
        <f>SUM(G759)</f>
        <v>0</v>
      </c>
      <c r="H758" s="117" t="e">
        <f>SUM(H759+H769)</f>
        <v>#REF!</v>
      </c>
      <c r="I758" s="117" t="e">
        <f>SUM(H758/G786*100)</f>
        <v>#REF!</v>
      </c>
    </row>
    <row r="759" spans="1:9" ht="15" hidden="1">
      <c r="A759" s="151" t="s">
        <v>226</v>
      </c>
      <c r="B759" s="243"/>
      <c r="C759" s="228" t="s">
        <v>121</v>
      </c>
      <c r="D759" s="228" t="s">
        <v>427</v>
      </c>
      <c r="E759" s="228" t="s">
        <v>350</v>
      </c>
      <c r="F759" s="281" t="s">
        <v>227</v>
      </c>
      <c r="G759" s="197"/>
      <c r="H759" s="22">
        <f>SUM(H760)+H766</f>
        <v>0</v>
      </c>
      <c r="I759" s="22" t="e">
        <f>SUM(H759/#REF!*100)</f>
        <v>#REF!</v>
      </c>
    </row>
    <row r="760" spans="1:9" ht="15" hidden="1">
      <c r="A760" s="151" t="s">
        <v>125</v>
      </c>
      <c r="B760" s="230"/>
      <c r="C760" s="228" t="s">
        <v>121</v>
      </c>
      <c r="D760" s="228" t="s">
        <v>427</v>
      </c>
      <c r="E760" s="228" t="s">
        <v>126</v>
      </c>
      <c r="F760" s="280"/>
      <c r="G760" s="197">
        <f>SUM(G761)</f>
        <v>0</v>
      </c>
      <c r="H760" s="22">
        <f>SUM(H761)</f>
        <v>0</v>
      </c>
      <c r="I760" s="22" t="e">
        <f>SUM(H760/#REF!*100)</f>
        <v>#REF!</v>
      </c>
    </row>
    <row r="761" spans="1:9" ht="42.75" hidden="1">
      <c r="A761" s="223" t="s">
        <v>191</v>
      </c>
      <c r="B761" s="230"/>
      <c r="C761" s="228" t="s">
        <v>121</v>
      </c>
      <c r="D761" s="228" t="s">
        <v>427</v>
      </c>
      <c r="E761" s="228" t="s">
        <v>277</v>
      </c>
      <c r="F761" s="280"/>
      <c r="G761" s="197">
        <f>SUM(G762:G763)</f>
        <v>0</v>
      </c>
      <c r="H761" s="22">
        <f>SUM(H764)</f>
        <v>0</v>
      </c>
      <c r="I761" s="22" t="e">
        <f>SUM(H761/#REF!*100)</f>
        <v>#REF!</v>
      </c>
    </row>
    <row r="762" spans="1:9" ht="15" hidden="1">
      <c r="A762" s="151" t="s">
        <v>57</v>
      </c>
      <c r="B762" s="230"/>
      <c r="C762" s="228" t="s">
        <v>121</v>
      </c>
      <c r="D762" s="228" t="s">
        <v>427</v>
      </c>
      <c r="E762" s="228" t="s">
        <v>277</v>
      </c>
      <c r="F762" s="280" t="s">
        <v>227</v>
      </c>
      <c r="G762" s="197"/>
      <c r="H762" s="22"/>
      <c r="I762" s="22"/>
    </row>
    <row r="763" spans="1:9" ht="15" hidden="1">
      <c r="A763" s="151" t="s">
        <v>139</v>
      </c>
      <c r="B763" s="230"/>
      <c r="C763" s="228" t="s">
        <v>121</v>
      </c>
      <c r="D763" s="228" t="s">
        <v>427</v>
      </c>
      <c r="E763" s="228" t="s">
        <v>277</v>
      </c>
      <c r="F763" s="280" t="s">
        <v>83</v>
      </c>
      <c r="G763" s="197"/>
      <c r="H763" s="22"/>
      <c r="I763" s="22"/>
    </row>
    <row r="764" spans="1:9" ht="15">
      <c r="A764" s="187" t="s">
        <v>217</v>
      </c>
      <c r="B764" s="230"/>
      <c r="C764" s="228" t="s">
        <v>121</v>
      </c>
      <c r="D764" s="228" t="s">
        <v>119</v>
      </c>
      <c r="E764" s="228"/>
      <c r="F764" s="280"/>
      <c r="G764" s="197">
        <f>SUM(G768+G773+G766)</f>
        <v>10341</v>
      </c>
      <c r="H764" s="22">
        <f>SUM(H765)</f>
        <v>0</v>
      </c>
      <c r="I764" s="22" t="e">
        <f>SUM(H764/#REF!*100)</f>
        <v>#REF!</v>
      </c>
    </row>
    <row r="765" spans="1:9" ht="15" hidden="1">
      <c r="A765" s="223" t="s">
        <v>373</v>
      </c>
      <c r="B765" s="230"/>
      <c r="C765" s="228" t="s">
        <v>121</v>
      </c>
      <c r="D765" s="228" t="s">
        <v>119</v>
      </c>
      <c r="E765" s="228" t="s">
        <v>375</v>
      </c>
      <c r="F765" s="280"/>
      <c r="G765" s="197">
        <f>SUM(G766)</f>
        <v>0</v>
      </c>
      <c r="H765" s="22"/>
      <c r="I765" s="22" t="e">
        <f>SUM(H765/#REF!*100)</f>
        <v>#REF!</v>
      </c>
    </row>
    <row r="766" spans="1:9" ht="15" hidden="1">
      <c r="A766" s="223" t="s">
        <v>355</v>
      </c>
      <c r="B766" s="230"/>
      <c r="C766" s="228" t="s">
        <v>121</v>
      </c>
      <c r="D766" s="228" t="s">
        <v>119</v>
      </c>
      <c r="E766" s="228" t="s">
        <v>356</v>
      </c>
      <c r="F766" s="280"/>
      <c r="G766" s="197">
        <f>SUM(G767)</f>
        <v>0</v>
      </c>
      <c r="H766" s="22">
        <f>SUM(H767)</f>
        <v>0</v>
      </c>
      <c r="I766" s="22" t="e">
        <f>SUM(H766/#REF!*100)</f>
        <v>#REF!</v>
      </c>
    </row>
    <row r="767" spans="1:9" ht="28.5" hidden="1">
      <c r="A767" s="223" t="s">
        <v>284</v>
      </c>
      <c r="B767" s="230"/>
      <c r="C767" s="228" t="s">
        <v>121</v>
      </c>
      <c r="D767" s="228" t="s">
        <v>119</v>
      </c>
      <c r="E767" s="228" t="s">
        <v>356</v>
      </c>
      <c r="F767" s="280" t="s">
        <v>285</v>
      </c>
      <c r="G767" s="197"/>
      <c r="H767" s="22">
        <f>SUM(H768)</f>
        <v>0</v>
      </c>
      <c r="I767" s="22" t="e">
        <f>SUM(H767/#REF!*100)</f>
        <v>#REF!</v>
      </c>
    </row>
    <row r="768" spans="1:9" ht="42.75">
      <c r="A768" s="187" t="s">
        <v>270</v>
      </c>
      <c r="B768" s="230"/>
      <c r="C768" s="228" t="s">
        <v>121</v>
      </c>
      <c r="D768" s="228" t="s">
        <v>119</v>
      </c>
      <c r="E768" s="228" t="s">
        <v>271</v>
      </c>
      <c r="F768" s="280"/>
      <c r="G768" s="197">
        <f>SUM(G769)</f>
        <v>7264</v>
      </c>
      <c r="H768" s="22"/>
      <c r="I768" s="22" t="e">
        <f>SUM(H768/#REF!*100)</f>
        <v>#REF!</v>
      </c>
    </row>
    <row r="769" spans="1:11" ht="28.5">
      <c r="A769" s="223" t="s">
        <v>56</v>
      </c>
      <c r="B769" s="230"/>
      <c r="C769" s="228" t="s">
        <v>121</v>
      </c>
      <c r="D769" s="228" t="s">
        <v>119</v>
      </c>
      <c r="E769" s="228" t="s">
        <v>272</v>
      </c>
      <c r="F769" s="280"/>
      <c r="G769" s="197">
        <f>SUM(G770:G772)</f>
        <v>7264</v>
      </c>
      <c r="H769" s="22" t="e">
        <f>SUM(H770+H786+#REF!+#REF!+H804)</f>
        <v>#REF!</v>
      </c>
      <c r="I769" s="22" t="e">
        <f>SUM(H769/G787*100)</f>
        <v>#REF!</v>
      </c>
      <c r="K769" s="146"/>
    </row>
    <row r="770" spans="1:9" ht="28.5">
      <c r="A770" s="223" t="s">
        <v>470</v>
      </c>
      <c r="B770" s="243"/>
      <c r="C770" s="228" t="s">
        <v>121</v>
      </c>
      <c r="D770" s="228" t="s">
        <v>119</v>
      </c>
      <c r="E770" s="228" t="s">
        <v>272</v>
      </c>
      <c r="F770" s="281" t="s">
        <v>471</v>
      </c>
      <c r="G770" s="197">
        <v>6337.8</v>
      </c>
      <c r="H770" s="22">
        <f>SUM(H771+H774)</f>
        <v>46235.5</v>
      </c>
      <c r="I770" s="22">
        <f>SUM(H770/G788*100)</f>
        <v>704.691286522077</v>
      </c>
    </row>
    <row r="771" spans="1:9" ht="15">
      <c r="A771" s="223" t="s">
        <v>475</v>
      </c>
      <c r="B771" s="243"/>
      <c r="C771" s="228" t="s">
        <v>121</v>
      </c>
      <c r="D771" s="228" t="s">
        <v>119</v>
      </c>
      <c r="E771" s="228" t="s">
        <v>272</v>
      </c>
      <c r="F771" s="281" t="s">
        <v>117</v>
      </c>
      <c r="G771" s="197">
        <v>917.3</v>
      </c>
      <c r="H771" s="22">
        <f>SUM(H772)</f>
        <v>146.8</v>
      </c>
      <c r="I771" s="22" t="e">
        <f>SUM(H771/#REF!*100)</f>
        <v>#REF!</v>
      </c>
    </row>
    <row r="772" spans="1:9" ht="15">
      <c r="A772" s="223" t="s">
        <v>476</v>
      </c>
      <c r="B772" s="243"/>
      <c r="C772" s="228" t="s">
        <v>121</v>
      </c>
      <c r="D772" s="228" t="s">
        <v>119</v>
      </c>
      <c r="E772" s="228" t="s">
        <v>272</v>
      </c>
      <c r="F772" s="281" t="s">
        <v>166</v>
      </c>
      <c r="G772" s="197">
        <v>8.9</v>
      </c>
      <c r="H772" s="22">
        <f>SUM(H773)</f>
        <v>146.8</v>
      </c>
      <c r="I772" s="22" t="e">
        <f>SUM(H772/#REF!*100)</f>
        <v>#REF!</v>
      </c>
    </row>
    <row r="773" spans="1:9" ht="15">
      <c r="A773" s="151" t="s">
        <v>125</v>
      </c>
      <c r="B773" s="230"/>
      <c r="C773" s="228" t="s">
        <v>121</v>
      </c>
      <c r="D773" s="228" t="s">
        <v>119</v>
      </c>
      <c r="E773" s="228" t="s">
        <v>126</v>
      </c>
      <c r="F773" s="280"/>
      <c r="G773" s="197">
        <f>SUM(G776)+G779+G774+G783</f>
        <v>3077</v>
      </c>
      <c r="H773" s="22">
        <v>146.8</v>
      </c>
      <c r="I773" s="22" t="e">
        <f>SUM(H773/#REF!*100)</f>
        <v>#REF!</v>
      </c>
    </row>
    <row r="774" spans="1:9" ht="42.75" hidden="1">
      <c r="A774" s="223" t="s">
        <v>191</v>
      </c>
      <c r="B774" s="230"/>
      <c r="C774" s="228" t="s">
        <v>121</v>
      </c>
      <c r="D774" s="228" t="s">
        <v>119</v>
      </c>
      <c r="E774" s="228" t="s">
        <v>277</v>
      </c>
      <c r="F774" s="280"/>
      <c r="G774" s="197">
        <f>SUM(G775)</f>
        <v>0</v>
      </c>
      <c r="H774" s="22">
        <f>SUM(H775)</f>
        <v>46088.7</v>
      </c>
      <c r="I774" s="22" t="e">
        <f>SUM(H774/#REF!*100)</f>
        <v>#REF!</v>
      </c>
    </row>
    <row r="775" spans="1:9" ht="15" hidden="1">
      <c r="A775" s="151" t="s">
        <v>57</v>
      </c>
      <c r="B775" s="230"/>
      <c r="C775" s="228" t="s">
        <v>121</v>
      </c>
      <c r="D775" s="228" t="s">
        <v>119</v>
      </c>
      <c r="E775" s="228" t="s">
        <v>277</v>
      </c>
      <c r="F775" s="280" t="s">
        <v>227</v>
      </c>
      <c r="G775" s="197"/>
      <c r="H775" s="22">
        <f>SUM(H779:H782)</f>
        <v>46088.7</v>
      </c>
      <c r="I775" s="22">
        <f>SUM(H775/G790*100)</f>
        <v>702.4538568227888</v>
      </c>
    </row>
    <row r="776" spans="1:9" ht="28.5">
      <c r="A776" s="223" t="s">
        <v>630</v>
      </c>
      <c r="B776" s="230"/>
      <c r="C776" s="228" t="s">
        <v>121</v>
      </c>
      <c r="D776" s="228" t="s">
        <v>119</v>
      </c>
      <c r="E776" s="228" t="s">
        <v>286</v>
      </c>
      <c r="F776" s="280"/>
      <c r="G776" s="197">
        <f>SUM(G777:G778)</f>
        <v>1060</v>
      </c>
      <c r="H776" s="22"/>
      <c r="I776" s="22"/>
    </row>
    <row r="777" spans="1:9" ht="15">
      <c r="A777" s="223" t="s">
        <v>475</v>
      </c>
      <c r="B777" s="230"/>
      <c r="C777" s="228" t="s">
        <v>121</v>
      </c>
      <c r="D777" s="228" t="s">
        <v>119</v>
      </c>
      <c r="E777" s="228" t="s">
        <v>286</v>
      </c>
      <c r="F777" s="280" t="s">
        <v>117</v>
      </c>
      <c r="G777" s="197">
        <v>230</v>
      </c>
      <c r="H777" s="22">
        <f>SUM(H778)</f>
        <v>0</v>
      </c>
      <c r="I777" s="22">
        <f>SUM(H777/G789*100)</f>
        <v>0</v>
      </c>
    </row>
    <row r="778" spans="1:9" ht="28.5">
      <c r="A778" s="151" t="s">
        <v>489</v>
      </c>
      <c r="B778" s="230"/>
      <c r="C778" s="228" t="s">
        <v>121</v>
      </c>
      <c r="D778" s="228" t="s">
        <v>119</v>
      </c>
      <c r="E778" s="228" t="s">
        <v>286</v>
      </c>
      <c r="F778" s="280" t="s">
        <v>487</v>
      </c>
      <c r="G778" s="197">
        <v>830</v>
      </c>
      <c r="H778" s="22"/>
      <c r="I778" s="22"/>
    </row>
    <row r="779" spans="1:9" ht="13.5" customHeight="1">
      <c r="A779" s="223" t="s">
        <v>488</v>
      </c>
      <c r="B779" s="230"/>
      <c r="C779" s="228" t="s">
        <v>121</v>
      </c>
      <c r="D779" s="228" t="s">
        <v>119</v>
      </c>
      <c r="E779" s="228" t="s">
        <v>287</v>
      </c>
      <c r="F779" s="280"/>
      <c r="G779" s="197">
        <f>SUM(G780:G782)</f>
        <v>1900</v>
      </c>
      <c r="H779" s="22">
        <v>46088.7</v>
      </c>
      <c r="I779" s="22">
        <f>SUM(H779/G797*100)</f>
        <v>702.4538568227888</v>
      </c>
    </row>
    <row r="780" spans="1:9" ht="28.5" hidden="1">
      <c r="A780" s="223" t="s">
        <v>470</v>
      </c>
      <c r="B780" s="230"/>
      <c r="C780" s="228" t="s">
        <v>121</v>
      </c>
      <c r="D780" s="228" t="s">
        <v>119</v>
      </c>
      <c r="E780" s="228" t="s">
        <v>287</v>
      </c>
      <c r="F780" s="280" t="s">
        <v>471</v>
      </c>
      <c r="G780" s="197"/>
      <c r="H780" s="22"/>
      <c r="I780" s="22">
        <f>SUM(H780/G798*100)</f>
        <v>0</v>
      </c>
    </row>
    <row r="781" spans="1:9" ht="15">
      <c r="A781" s="223" t="s">
        <v>475</v>
      </c>
      <c r="B781" s="230"/>
      <c r="C781" s="228" t="s">
        <v>121</v>
      </c>
      <c r="D781" s="228" t="s">
        <v>119</v>
      </c>
      <c r="E781" s="228" t="s">
        <v>287</v>
      </c>
      <c r="F781" s="280" t="s">
        <v>117</v>
      </c>
      <c r="G781" s="197">
        <v>1900</v>
      </c>
      <c r="H781" s="22"/>
      <c r="I781" s="22" t="e">
        <f>SUM(H781/#REF!*100)</f>
        <v>#REF!</v>
      </c>
    </row>
    <row r="782" spans="1:9" ht="15">
      <c r="A782" s="223" t="s">
        <v>476</v>
      </c>
      <c r="B782" s="230"/>
      <c r="C782" s="228" t="s">
        <v>121</v>
      </c>
      <c r="D782" s="228" t="s">
        <v>119</v>
      </c>
      <c r="E782" s="228" t="s">
        <v>287</v>
      </c>
      <c r="F782" s="280" t="s">
        <v>166</v>
      </c>
      <c r="G782" s="197"/>
      <c r="H782" s="22">
        <f>SUM(H785)</f>
        <v>0</v>
      </c>
      <c r="I782" s="22" t="e">
        <f>SUM(H782/#REF!*100)</f>
        <v>#REF!</v>
      </c>
    </row>
    <row r="783" spans="1:9" ht="28.5">
      <c r="A783" s="223" t="s">
        <v>631</v>
      </c>
      <c r="B783" s="230"/>
      <c r="C783" s="228"/>
      <c r="D783" s="228"/>
      <c r="E783" s="228" t="s">
        <v>632</v>
      </c>
      <c r="F783" s="280"/>
      <c r="G783" s="197">
        <f>SUM(G784:G785)</f>
        <v>117</v>
      </c>
      <c r="H783" s="22"/>
      <c r="I783" s="22"/>
    </row>
    <row r="784" spans="1:9" ht="15">
      <c r="A784" s="223" t="s">
        <v>475</v>
      </c>
      <c r="B784" s="230"/>
      <c r="C784" s="228" t="s">
        <v>121</v>
      </c>
      <c r="D784" s="228" t="s">
        <v>119</v>
      </c>
      <c r="E784" s="228" t="s">
        <v>632</v>
      </c>
      <c r="F784" s="280" t="s">
        <v>117</v>
      </c>
      <c r="G784" s="197">
        <v>57</v>
      </c>
      <c r="H784" s="22"/>
      <c r="I784" s="22"/>
    </row>
    <row r="785" spans="1:9" ht="28.5">
      <c r="A785" s="151" t="s">
        <v>489</v>
      </c>
      <c r="B785" s="230"/>
      <c r="C785" s="228" t="s">
        <v>121</v>
      </c>
      <c r="D785" s="228" t="s">
        <v>119</v>
      </c>
      <c r="E785" s="228" t="s">
        <v>632</v>
      </c>
      <c r="F785" s="280" t="s">
        <v>487</v>
      </c>
      <c r="G785" s="197">
        <v>60</v>
      </c>
      <c r="H785" s="22"/>
      <c r="I785" s="22" t="e">
        <f>SUM(H785/#REF!*100)</f>
        <v>#REF!</v>
      </c>
    </row>
    <row r="786" spans="1:9" ht="15">
      <c r="A786" s="229" t="s">
        <v>283</v>
      </c>
      <c r="B786" s="230" t="s">
        <v>246</v>
      </c>
      <c r="C786" s="228"/>
      <c r="D786" s="228"/>
      <c r="E786" s="228"/>
      <c r="F786" s="280"/>
      <c r="G786" s="206">
        <f>SUM(G787)</f>
        <v>44292.8</v>
      </c>
      <c r="H786" s="22" t="e">
        <f>SUM(#REF!+#REF!+#REF!+#REF!)</f>
        <v>#REF!</v>
      </c>
      <c r="I786" s="22" t="e">
        <f>SUM(H786/G799*100)</f>
        <v>#REF!</v>
      </c>
    </row>
    <row r="787" spans="1:9" ht="15">
      <c r="A787" s="223" t="s">
        <v>300</v>
      </c>
      <c r="B787" s="224"/>
      <c r="C787" s="228" t="s">
        <v>279</v>
      </c>
      <c r="D787" s="228"/>
      <c r="E787" s="228"/>
      <c r="F787" s="280"/>
      <c r="G787" s="197">
        <f>SUM(G788+G799+G817+G826)</f>
        <v>44292.8</v>
      </c>
      <c r="H787" s="22"/>
      <c r="I787" s="22"/>
    </row>
    <row r="788" spans="1:9" ht="15">
      <c r="A788" s="223" t="s">
        <v>168</v>
      </c>
      <c r="B788" s="224"/>
      <c r="C788" s="228" t="s">
        <v>279</v>
      </c>
      <c r="D788" s="228" t="s">
        <v>427</v>
      </c>
      <c r="E788" s="228"/>
      <c r="F788" s="280"/>
      <c r="G788" s="197">
        <f>SUM(G789)</f>
        <v>6561.1</v>
      </c>
      <c r="H788" s="22">
        <v>21799.8</v>
      </c>
      <c r="I788" s="22">
        <f>SUM(H788/G807*100)</f>
        <v>198.85792474344356</v>
      </c>
    </row>
    <row r="789" spans="1:9" ht="28.5">
      <c r="A789" s="223" t="s">
        <v>624</v>
      </c>
      <c r="B789" s="224"/>
      <c r="C789" s="228" t="s">
        <v>279</v>
      </c>
      <c r="D789" s="228" t="s">
        <v>427</v>
      </c>
      <c r="E789" s="228" t="s">
        <v>625</v>
      </c>
      <c r="F789" s="280"/>
      <c r="G789" s="205">
        <f>SUM(G790)</f>
        <v>6561.1</v>
      </c>
      <c r="H789" s="22"/>
      <c r="I789" s="22" t="e">
        <f>SUM(H789/#REF!*100)</f>
        <v>#REF!</v>
      </c>
    </row>
    <row r="790" spans="1:9" ht="15">
      <c r="A790" s="223" t="s">
        <v>93</v>
      </c>
      <c r="B790" s="230"/>
      <c r="C790" s="228" t="s">
        <v>279</v>
      </c>
      <c r="D790" s="228" t="s">
        <v>427</v>
      </c>
      <c r="E790" s="228" t="s">
        <v>626</v>
      </c>
      <c r="F790" s="280"/>
      <c r="G790" s="197">
        <f>SUM(G798)+G791</f>
        <v>6561.1</v>
      </c>
      <c r="H790" s="22"/>
      <c r="I790" s="22" t="e">
        <f>SUM(H790/#REF!*100)</f>
        <v>#REF!</v>
      </c>
    </row>
    <row r="791" spans="1:9" ht="15" hidden="1">
      <c r="A791" s="151" t="s">
        <v>153</v>
      </c>
      <c r="B791" s="230"/>
      <c r="C791" s="228" t="s">
        <v>279</v>
      </c>
      <c r="D791" s="228" t="s">
        <v>427</v>
      </c>
      <c r="E791" s="228" t="s">
        <v>137</v>
      </c>
      <c r="F791" s="280"/>
      <c r="G791" s="197">
        <f>SUM(G793+G795)</f>
        <v>0</v>
      </c>
      <c r="H791" s="22" t="e">
        <f>SUM(#REF!)</f>
        <v>#REF!</v>
      </c>
      <c r="I791" s="22" t="e">
        <f>SUM(H791/#REF!*100)</f>
        <v>#REF!</v>
      </c>
    </row>
    <row r="792" spans="1:9" ht="15" hidden="1">
      <c r="A792" s="151" t="s">
        <v>139</v>
      </c>
      <c r="B792" s="230"/>
      <c r="C792" s="228" t="s">
        <v>279</v>
      </c>
      <c r="D792" s="228" t="s">
        <v>427</v>
      </c>
      <c r="E792" s="228" t="s">
        <v>137</v>
      </c>
      <c r="F792" s="280" t="s">
        <v>83</v>
      </c>
      <c r="G792" s="197"/>
      <c r="H792" s="22">
        <f>SUM(H798:H798)</f>
        <v>7467.6</v>
      </c>
      <c r="I792" s="22">
        <f>SUM(H792/G809*100)</f>
        <v>62.75030460905005</v>
      </c>
    </row>
    <row r="793" spans="1:9" ht="28.5" hidden="1">
      <c r="A793" s="151" t="s">
        <v>380</v>
      </c>
      <c r="B793" s="230"/>
      <c r="C793" s="228" t="s">
        <v>279</v>
      </c>
      <c r="D793" s="228" t="s">
        <v>427</v>
      </c>
      <c r="E793" s="228" t="s">
        <v>138</v>
      </c>
      <c r="F793" s="280"/>
      <c r="G793" s="197">
        <f>SUM(G794)</f>
        <v>0</v>
      </c>
      <c r="H793" s="22"/>
      <c r="I793" s="22"/>
    </row>
    <row r="794" spans="1:9" ht="15" hidden="1">
      <c r="A794" s="151" t="s">
        <v>139</v>
      </c>
      <c r="B794" s="230"/>
      <c r="C794" s="228" t="s">
        <v>279</v>
      </c>
      <c r="D794" s="228" t="s">
        <v>427</v>
      </c>
      <c r="E794" s="228" t="s">
        <v>138</v>
      </c>
      <c r="F794" s="280" t="s">
        <v>83</v>
      </c>
      <c r="G794" s="197"/>
      <c r="H794" s="22"/>
      <c r="I794" s="22"/>
    </row>
    <row r="795" spans="1:9" ht="15" hidden="1">
      <c r="A795" s="223" t="s">
        <v>197</v>
      </c>
      <c r="B795" s="230"/>
      <c r="C795" s="228" t="s">
        <v>279</v>
      </c>
      <c r="D795" s="228" t="s">
        <v>427</v>
      </c>
      <c r="E795" s="228" t="s">
        <v>200</v>
      </c>
      <c r="F795" s="280"/>
      <c r="G795" s="197">
        <f>SUM(G796)</f>
        <v>0</v>
      </c>
      <c r="H795" s="22"/>
      <c r="I795" s="22"/>
    </row>
    <row r="796" spans="1:9" ht="15" hidden="1">
      <c r="A796" s="223" t="s">
        <v>153</v>
      </c>
      <c r="B796" s="230"/>
      <c r="C796" s="228" t="s">
        <v>279</v>
      </c>
      <c r="D796" s="228" t="s">
        <v>427</v>
      </c>
      <c r="E796" s="228" t="s">
        <v>200</v>
      </c>
      <c r="F796" s="280" t="s">
        <v>83</v>
      </c>
      <c r="G796" s="197"/>
      <c r="H796" s="22"/>
      <c r="I796" s="22"/>
    </row>
    <row r="797" spans="1:9" ht="28.5">
      <c r="A797" s="223" t="s">
        <v>280</v>
      </c>
      <c r="B797" s="230"/>
      <c r="C797" s="228" t="s">
        <v>279</v>
      </c>
      <c r="D797" s="228" t="s">
        <v>427</v>
      </c>
      <c r="E797" s="228" t="s">
        <v>627</v>
      </c>
      <c r="F797" s="280"/>
      <c r="G797" s="197">
        <f>SUM(G798)</f>
        <v>6561.1</v>
      </c>
      <c r="H797" s="22"/>
      <c r="I797" s="22"/>
    </row>
    <row r="798" spans="1:9" ht="28.5">
      <c r="A798" s="151" t="s">
        <v>489</v>
      </c>
      <c r="B798" s="243"/>
      <c r="C798" s="228" t="s">
        <v>279</v>
      </c>
      <c r="D798" s="228" t="s">
        <v>427</v>
      </c>
      <c r="E798" s="228" t="s">
        <v>627</v>
      </c>
      <c r="F798" s="281" t="s">
        <v>487</v>
      </c>
      <c r="G798" s="197">
        <v>6561.1</v>
      </c>
      <c r="H798" s="22">
        <v>7467.6</v>
      </c>
      <c r="I798" s="22">
        <f>SUM(H798/G815*100)</f>
        <v>62.75030460905005</v>
      </c>
    </row>
    <row r="799" spans="1:9" ht="15">
      <c r="A799" s="223" t="s">
        <v>223</v>
      </c>
      <c r="B799" s="224"/>
      <c r="C799" s="228" t="s">
        <v>279</v>
      </c>
      <c r="D799" s="228" t="s">
        <v>429</v>
      </c>
      <c r="E799" s="228"/>
      <c r="F799" s="280"/>
      <c r="G799" s="197">
        <f>SUM(G800)</f>
        <v>22863</v>
      </c>
      <c r="H799" s="22">
        <f>SUM(H800:H801)</f>
        <v>1817.2</v>
      </c>
      <c r="I799" s="22" t="e">
        <f>SUM(H799/#REF!*100)</f>
        <v>#REF!</v>
      </c>
    </row>
    <row r="800" spans="1:9" ht="28.5">
      <c r="A800" s="223" t="s">
        <v>624</v>
      </c>
      <c r="B800" s="224"/>
      <c r="C800" s="228" t="s">
        <v>279</v>
      </c>
      <c r="D800" s="228" t="s">
        <v>429</v>
      </c>
      <c r="E800" s="228" t="s">
        <v>625</v>
      </c>
      <c r="F800" s="280"/>
      <c r="G800" s="197">
        <f>SUM(G801)+G809</f>
        <v>22863</v>
      </c>
      <c r="H800" s="22">
        <v>1817.2</v>
      </c>
      <c r="I800" s="22" t="e">
        <f>SUM(H800/#REF!*100)</f>
        <v>#REF!</v>
      </c>
    </row>
    <row r="801" spans="1:9" ht="28.5">
      <c r="A801" s="223" t="s">
        <v>633</v>
      </c>
      <c r="B801" s="230"/>
      <c r="C801" s="228" t="s">
        <v>279</v>
      </c>
      <c r="D801" s="228" t="s">
        <v>429</v>
      </c>
      <c r="E801" s="228" t="s">
        <v>736</v>
      </c>
      <c r="F801" s="280"/>
      <c r="G801" s="197">
        <f>SUM(G802+G807)</f>
        <v>10962.5</v>
      </c>
      <c r="H801" s="22"/>
      <c r="I801" s="22" t="e">
        <f>SUM(H801/#REF!*100)</f>
        <v>#REF!</v>
      </c>
    </row>
    <row r="802" spans="1:9" ht="15" hidden="1">
      <c r="A802" s="151" t="s">
        <v>153</v>
      </c>
      <c r="B802" s="230"/>
      <c r="C802" s="228" t="s">
        <v>279</v>
      </c>
      <c r="D802" s="228" t="s">
        <v>429</v>
      </c>
      <c r="E802" s="228" t="s">
        <v>137</v>
      </c>
      <c r="F802" s="280"/>
      <c r="G802" s="197">
        <f>SUM(G805)+G803</f>
        <v>0</v>
      </c>
      <c r="H802" s="22">
        <f>SUM(H803)</f>
        <v>340</v>
      </c>
      <c r="I802" s="22" t="e">
        <f>SUM(H802/#REF!*100)</f>
        <v>#REF!</v>
      </c>
    </row>
    <row r="803" spans="1:9" ht="28.5" hidden="1">
      <c r="A803" s="151" t="s">
        <v>380</v>
      </c>
      <c r="B803" s="230"/>
      <c r="C803" s="228" t="s">
        <v>279</v>
      </c>
      <c r="D803" s="228" t="s">
        <v>429</v>
      </c>
      <c r="E803" s="228" t="s">
        <v>138</v>
      </c>
      <c r="F803" s="280"/>
      <c r="G803" s="197">
        <f>SUM(G804)</f>
        <v>0</v>
      </c>
      <c r="H803" s="22">
        <v>340</v>
      </c>
      <c r="I803" s="22" t="e">
        <f>SUM(H803/#REF!*100)</f>
        <v>#REF!</v>
      </c>
    </row>
    <row r="804" spans="1:9" ht="15" hidden="1">
      <c r="A804" s="151" t="s">
        <v>139</v>
      </c>
      <c r="B804" s="230"/>
      <c r="C804" s="228" t="s">
        <v>279</v>
      </c>
      <c r="D804" s="228" t="s">
        <v>429</v>
      </c>
      <c r="E804" s="228" t="s">
        <v>138</v>
      </c>
      <c r="F804" s="280" t="s">
        <v>83</v>
      </c>
      <c r="G804" s="197"/>
      <c r="H804" s="22">
        <f>SUM(H805)</f>
        <v>9494.7</v>
      </c>
      <c r="I804" s="22" t="e">
        <f>SUM(H804/#REF!*100)</f>
        <v>#REF!</v>
      </c>
    </row>
    <row r="805" spans="1:9" ht="15" hidden="1">
      <c r="A805" s="223" t="s">
        <v>197</v>
      </c>
      <c r="B805" s="230"/>
      <c r="C805" s="228" t="s">
        <v>279</v>
      </c>
      <c r="D805" s="228" t="s">
        <v>429</v>
      </c>
      <c r="E805" s="228" t="s">
        <v>200</v>
      </c>
      <c r="F805" s="280"/>
      <c r="G805" s="197">
        <f>SUM(G806)</f>
        <v>0</v>
      </c>
      <c r="H805" s="22">
        <f>SUM(H806)</f>
        <v>9494.7</v>
      </c>
      <c r="I805" s="22" t="e">
        <f>SUM(H805/#REF!*100)</f>
        <v>#REF!</v>
      </c>
    </row>
    <row r="806" spans="1:9" ht="15" hidden="1">
      <c r="A806" s="151" t="s">
        <v>139</v>
      </c>
      <c r="B806" s="230"/>
      <c r="C806" s="228" t="s">
        <v>279</v>
      </c>
      <c r="D806" s="228" t="s">
        <v>429</v>
      </c>
      <c r="E806" s="228" t="s">
        <v>200</v>
      </c>
      <c r="F806" s="280" t="s">
        <v>83</v>
      </c>
      <c r="G806" s="197"/>
      <c r="H806" s="22">
        <f>SUM(H807:H808)</f>
        <v>9494.7</v>
      </c>
      <c r="I806" s="22" t="e">
        <f>SUM(H806/#REF!*100)</f>
        <v>#REF!</v>
      </c>
    </row>
    <row r="807" spans="1:9" ht="28.5">
      <c r="A807" s="223" t="s">
        <v>280</v>
      </c>
      <c r="B807" s="230"/>
      <c r="C807" s="228" t="s">
        <v>279</v>
      </c>
      <c r="D807" s="228" t="s">
        <v>429</v>
      </c>
      <c r="E807" s="228" t="s">
        <v>737</v>
      </c>
      <c r="F807" s="280"/>
      <c r="G807" s="197">
        <f>SUM(G808)</f>
        <v>10962.5</v>
      </c>
      <c r="H807" s="22">
        <v>9494.7</v>
      </c>
      <c r="I807" s="22" t="e">
        <f>SUM(H807/#REF!*100)</f>
        <v>#REF!</v>
      </c>
    </row>
    <row r="808" spans="1:9" ht="28.5">
      <c r="A808" s="151" t="s">
        <v>489</v>
      </c>
      <c r="B808" s="243"/>
      <c r="C808" s="228" t="s">
        <v>279</v>
      </c>
      <c r="D808" s="228" t="s">
        <v>429</v>
      </c>
      <c r="E808" s="228" t="s">
        <v>737</v>
      </c>
      <c r="F808" s="281" t="s">
        <v>487</v>
      </c>
      <c r="G808" s="197">
        <v>10962.5</v>
      </c>
      <c r="H808" s="22"/>
      <c r="I808" s="22" t="e">
        <f>SUM(H808/#REF!*100)</f>
        <v>#REF!</v>
      </c>
    </row>
    <row r="809" spans="1:9" ht="33" customHeight="1">
      <c r="A809" s="223" t="s">
        <v>634</v>
      </c>
      <c r="B809" s="224"/>
      <c r="C809" s="228" t="s">
        <v>279</v>
      </c>
      <c r="D809" s="228" t="s">
        <v>429</v>
      </c>
      <c r="E809" s="228" t="s">
        <v>738</v>
      </c>
      <c r="F809" s="280"/>
      <c r="G809" s="197">
        <f>SUM(G815:G815)+G810</f>
        <v>11900.5</v>
      </c>
      <c r="H809" s="22">
        <v>7467.6</v>
      </c>
      <c r="I809" s="22" t="e">
        <f>SUM(H809/#REF!*100)</f>
        <v>#REF!</v>
      </c>
    </row>
    <row r="810" spans="1:9" ht="15" hidden="1">
      <c r="A810" s="151" t="s">
        <v>153</v>
      </c>
      <c r="B810" s="224"/>
      <c r="C810" s="228" t="s">
        <v>279</v>
      </c>
      <c r="D810" s="228" t="s">
        <v>429</v>
      </c>
      <c r="E810" s="228" t="s">
        <v>201</v>
      </c>
      <c r="F810" s="280"/>
      <c r="G810" s="197">
        <f>SUM(G811)+G813</f>
        <v>0</v>
      </c>
      <c r="H810" s="22">
        <f>SUM(H811)</f>
        <v>0</v>
      </c>
      <c r="I810" s="22" t="e">
        <f>SUM(H810/G824*100)</f>
        <v>#DIV/0!</v>
      </c>
    </row>
    <row r="811" spans="1:9" ht="28.5" hidden="1">
      <c r="A811" s="151" t="s">
        <v>140</v>
      </c>
      <c r="B811" s="230"/>
      <c r="C811" s="228" t="s">
        <v>279</v>
      </c>
      <c r="D811" s="228" t="s">
        <v>429</v>
      </c>
      <c r="E811" s="228" t="s">
        <v>141</v>
      </c>
      <c r="F811" s="280"/>
      <c r="G811" s="197">
        <f>SUM(G812)</f>
        <v>0</v>
      </c>
      <c r="H811" s="22"/>
      <c r="I811" s="22" t="e">
        <f>SUM(H811/G825*100)</f>
        <v>#DIV/0!</v>
      </c>
    </row>
    <row r="812" spans="1:9" ht="28.5" hidden="1">
      <c r="A812" s="151" t="s">
        <v>489</v>
      </c>
      <c r="B812" s="243"/>
      <c r="C812" s="228" t="s">
        <v>279</v>
      </c>
      <c r="D812" s="228" t="s">
        <v>429</v>
      </c>
      <c r="E812" s="228" t="s">
        <v>141</v>
      </c>
      <c r="F812" s="281" t="s">
        <v>487</v>
      </c>
      <c r="G812" s="197"/>
      <c r="H812" s="22">
        <f>SUM(H813:H814)</f>
        <v>6864.8</v>
      </c>
      <c r="I812" s="22">
        <f>SUM(H812/G830*100)</f>
        <v>53.32380493715919</v>
      </c>
    </row>
    <row r="813" spans="1:9" ht="28.5" hidden="1">
      <c r="A813" s="151" t="s">
        <v>380</v>
      </c>
      <c r="B813" s="230"/>
      <c r="C813" s="228" t="s">
        <v>279</v>
      </c>
      <c r="D813" s="228" t="s">
        <v>429</v>
      </c>
      <c r="E813" s="228" t="s">
        <v>462</v>
      </c>
      <c r="F813" s="280"/>
      <c r="G813" s="197">
        <f>SUM(G814)</f>
        <v>0</v>
      </c>
      <c r="H813" s="22">
        <v>6864.8</v>
      </c>
      <c r="I813" s="22">
        <f>SUM(H813/G831*100)</f>
        <v>60.406180704656656</v>
      </c>
    </row>
    <row r="814" spans="1:9" ht="15" hidden="1">
      <c r="A814" s="151" t="s">
        <v>139</v>
      </c>
      <c r="B814" s="230"/>
      <c r="C814" s="228" t="s">
        <v>279</v>
      </c>
      <c r="D814" s="228" t="s">
        <v>429</v>
      </c>
      <c r="E814" s="228" t="s">
        <v>462</v>
      </c>
      <c r="F814" s="280" t="s">
        <v>83</v>
      </c>
      <c r="G814" s="197"/>
      <c r="H814" s="22"/>
      <c r="I814" s="22" t="e">
        <f>SUM(H814/#REF!*100)</f>
        <v>#REF!</v>
      </c>
    </row>
    <row r="815" spans="1:9" ht="28.5">
      <c r="A815" s="151" t="s">
        <v>280</v>
      </c>
      <c r="B815" s="224"/>
      <c r="C815" s="228" t="s">
        <v>279</v>
      </c>
      <c r="D815" s="228" t="s">
        <v>429</v>
      </c>
      <c r="E815" s="228" t="s">
        <v>739</v>
      </c>
      <c r="F815" s="280"/>
      <c r="G815" s="197">
        <f>SUM(G816)</f>
        <v>11900.5</v>
      </c>
      <c r="H815" s="22" t="e">
        <f>SUM(H816+#REF!)</f>
        <v>#REF!</v>
      </c>
      <c r="I815" s="22" t="e">
        <f>SUM(H815/#REF!*100)</f>
        <v>#REF!</v>
      </c>
    </row>
    <row r="816" spans="1:9" ht="28.5">
      <c r="A816" s="151" t="s">
        <v>489</v>
      </c>
      <c r="B816" s="243"/>
      <c r="C816" s="228" t="s">
        <v>279</v>
      </c>
      <c r="D816" s="228" t="s">
        <v>429</v>
      </c>
      <c r="E816" s="228" t="s">
        <v>739</v>
      </c>
      <c r="F816" s="281" t="s">
        <v>487</v>
      </c>
      <c r="G816" s="197">
        <v>11900.5</v>
      </c>
      <c r="H816" s="22" t="e">
        <f>SUM(#REF!)</f>
        <v>#REF!</v>
      </c>
      <c r="I816" s="22" t="e">
        <f>SUM(H816/#REF!*100)</f>
        <v>#REF!</v>
      </c>
    </row>
    <row r="817" spans="1:9" ht="14.25" customHeight="1">
      <c r="A817" s="151" t="s">
        <v>224</v>
      </c>
      <c r="B817" s="224"/>
      <c r="C817" s="228" t="s">
        <v>279</v>
      </c>
      <c r="D817" s="228" t="s">
        <v>119</v>
      </c>
      <c r="E817" s="228"/>
      <c r="F817" s="280"/>
      <c r="G817" s="197">
        <f>SUM(G820)</f>
        <v>1586.9</v>
      </c>
      <c r="H817" s="22"/>
      <c r="I817" s="22"/>
    </row>
    <row r="818" spans="1:9" ht="15" hidden="1">
      <c r="A818" s="151" t="s">
        <v>355</v>
      </c>
      <c r="B818" s="224"/>
      <c r="C818" s="228" t="s">
        <v>279</v>
      </c>
      <c r="D818" s="228" t="s">
        <v>119</v>
      </c>
      <c r="E818" s="228" t="s">
        <v>356</v>
      </c>
      <c r="F818" s="280"/>
      <c r="G818" s="197">
        <f>SUM(G819)</f>
        <v>0</v>
      </c>
      <c r="H818" s="22">
        <v>340</v>
      </c>
      <c r="I818" s="22" t="e">
        <f>SUM(H818/#REF!*100)</f>
        <v>#REF!</v>
      </c>
    </row>
    <row r="819" spans="1:9" ht="15" hidden="1">
      <c r="A819" s="151" t="s">
        <v>226</v>
      </c>
      <c r="B819" s="224"/>
      <c r="C819" s="228" t="s">
        <v>279</v>
      </c>
      <c r="D819" s="228" t="s">
        <v>119</v>
      </c>
      <c r="E819" s="228" t="s">
        <v>356</v>
      </c>
      <c r="F819" s="280" t="s">
        <v>227</v>
      </c>
      <c r="G819" s="197"/>
      <c r="H819" s="22">
        <v>1424.2</v>
      </c>
      <c r="I819" s="22" t="e">
        <f>SUM(H819/#REF!*100)</f>
        <v>#REF!</v>
      </c>
    </row>
    <row r="820" spans="1:9" ht="31.5" customHeight="1">
      <c r="A820" s="223" t="s">
        <v>624</v>
      </c>
      <c r="B820" s="224"/>
      <c r="C820" s="228" t="s">
        <v>279</v>
      </c>
      <c r="D820" s="228" t="s">
        <v>119</v>
      </c>
      <c r="E820" s="228" t="s">
        <v>625</v>
      </c>
      <c r="F820" s="280"/>
      <c r="G820" s="197">
        <f>SUM(G821)</f>
        <v>1586.9</v>
      </c>
      <c r="H820" s="22"/>
      <c r="I820" s="22"/>
    </row>
    <row r="821" spans="1:9" ht="18" customHeight="1">
      <c r="A821" s="223" t="s">
        <v>93</v>
      </c>
      <c r="B821" s="224"/>
      <c r="C821" s="228" t="s">
        <v>279</v>
      </c>
      <c r="D821" s="228" t="s">
        <v>119</v>
      </c>
      <c r="E821" s="228" t="s">
        <v>626</v>
      </c>
      <c r="F821" s="280"/>
      <c r="G821" s="197">
        <f>SUM(G822)</f>
        <v>1586.9</v>
      </c>
      <c r="H821" s="22"/>
      <c r="I821" s="22"/>
    </row>
    <row r="822" spans="1:9" ht="28.5">
      <c r="A822" s="151" t="s">
        <v>280</v>
      </c>
      <c r="B822" s="224"/>
      <c r="C822" s="228" t="s">
        <v>279</v>
      </c>
      <c r="D822" s="228" t="s">
        <v>119</v>
      </c>
      <c r="E822" s="228" t="s">
        <v>627</v>
      </c>
      <c r="F822" s="280"/>
      <c r="G822" s="197">
        <f>SUM(G823)</f>
        <v>1586.9</v>
      </c>
      <c r="H822" s="22"/>
      <c r="I822" s="22" t="e">
        <f>SUM(H822/#REF!*100)</f>
        <v>#REF!</v>
      </c>
    </row>
    <row r="823" spans="1:9" ht="29.25" thickBot="1">
      <c r="A823" s="151" t="s">
        <v>489</v>
      </c>
      <c r="B823" s="243"/>
      <c r="C823" s="228" t="s">
        <v>279</v>
      </c>
      <c r="D823" s="228" t="s">
        <v>119</v>
      </c>
      <c r="E823" s="228" t="s">
        <v>627</v>
      </c>
      <c r="F823" s="281" t="s">
        <v>487</v>
      </c>
      <c r="G823" s="197">
        <v>1586.9</v>
      </c>
      <c r="H823" s="22"/>
      <c r="I823" s="22" t="e">
        <f>SUM(H823/#REF!*100)</f>
        <v>#REF!</v>
      </c>
    </row>
    <row r="824" spans="1:9" ht="15.75" hidden="1" thickBot="1">
      <c r="A824" s="187" t="s">
        <v>3</v>
      </c>
      <c r="B824" s="224"/>
      <c r="C824" s="228" t="s">
        <v>279</v>
      </c>
      <c r="D824" s="228" t="s">
        <v>427</v>
      </c>
      <c r="E824" s="228" t="s">
        <v>247</v>
      </c>
      <c r="F824" s="279"/>
      <c r="G824" s="197">
        <f>SUM(G825)</f>
        <v>0</v>
      </c>
      <c r="H824" s="22"/>
      <c r="I824" s="22" t="e">
        <f>SUM(H824/#REF!*100)</f>
        <v>#REF!</v>
      </c>
    </row>
    <row r="825" spans="1:9" ht="29.25" hidden="1" thickBot="1">
      <c r="A825" s="223" t="s">
        <v>314</v>
      </c>
      <c r="B825" s="224"/>
      <c r="C825" s="228" t="s">
        <v>279</v>
      </c>
      <c r="D825" s="228" t="s">
        <v>427</v>
      </c>
      <c r="E825" s="228" t="s">
        <v>247</v>
      </c>
      <c r="F825" s="279" t="s">
        <v>248</v>
      </c>
      <c r="G825" s="197"/>
      <c r="H825" s="120"/>
      <c r="I825" s="120" t="e">
        <f>SUM(H825/#REF!*100)</f>
        <v>#REF!</v>
      </c>
    </row>
    <row r="826" spans="1:9" ht="16.5" thickBot="1">
      <c r="A826" s="187" t="s">
        <v>222</v>
      </c>
      <c r="B826" s="232"/>
      <c r="C826" s="228" t="s">
        <v>279</v>
      </c>
      <c r="D826" s="228" t="s">
        <v>279</v>
      </c>
      <c r="E826" s="228"/>
      <c r="F826" s="280"/>
      <c r="G826" s="197">
        <f>SUM(G829)+G834</f>
        <v>13281.800000000001</v>
      </c>
      <c r="H826" s="121" t="e">
        <f>SUM(H11+H35+H54+#REF!+H334+#REF!+H546+#REF!+#REF!+H758)</f>
        <v>#REF!</v>
      </c>
      <c r="I826" s="121" t="e">
        <f>SUM(H826/G837*100)</f>
        <v>#REF!</v>
      </c>
    </row>
    <row r="827" spans="1:9" ht="43.5" hidden="1" thickBot="1">
      <c r="A827" s="187" t="s">
        <v>203</v>
      </c>
      <c r="B827" s="232"/>
      <c r="C827" s="228" t="s">
        <v>279</v>
      </c>
      <c r="D827" s="228" t="s">
        <v>279</v>
      </c>
      <c r="E827" s="228" t="s">
        <v>204</v>
      </c>
      <c r="F827" s="280"/>
      <c r="G827" s="197">
        <f>SUM(G828)</f>
        <v>0</v>
      </c>
      <c r="H827" s="122">
        <f>-76000-174.5-350</f>
        <v>-76524.5</v>
      </c>
      <c r="I827" s="122">
        <f>-76000-174.5-350</f>
        <v>-76524.5</v>
      </c>
    </row>
    <row r="828" spans="1:7" ht="15" hidden="1">
      <c r="A828" s="151" t="s">
        <v>153</v>
      </c>
      <c r="B828" s="232"/>
      <c r="C828" s="228" t="s">
        <v>279</v>
      </c>
      <c r="D828" s="228" t="s">
        <v>279</v>
      </c>
      <c r="E828" s="228" t="s">
        <v>204</v>
      </c>
      <c r="F828" s="280" t="s">
        <v>83</v>
      </c>
      <c r="G828" s="197"/>
    </row>
    <row r="829" spans="1:7" ht="28.5">
      <c r="A829" s="223" t="s">
        <v>624</v>
      </c>
      <c r="B829" s="224"/>
      <c r="C829" s="228" t="s">
        <v>279</v>
      </c>
      <c r="D829" s="228" t="s">
        <v>279</v>
      </c>
      <c r="E829" s="228" t="s">
        <v>625</v>
      </c>
      <c r="F829" s="280"/>
      <c r="G829" s="197">
        <f>SUM(G830)</f>
        <v>12873.800000000001</v>
      </c>
    </row>
    <row r="830" spans="1:7" ht="28.5">
      <c r="A830" s="223" t="s">
        <v>56</v>
      </c>
      <c r="B830" s="224"/>
      <c r="C830" s="228" t="s">
        <v>279</v>
      </c>
      <c r="D830" s="228" t="s">
        <v>279</v>
      </c>
      <c r="E830" s="228" t="s">
        <v>628</v>
      </c>
      <c r="F830" s="280"/>
      <c r="G830" s="197">
        <f>SUM(G831:G833)</f>
        <v>12873.800000000001</v>
      </c>
    </row>
    <row r="831" spans="1:7" ht="28.5">
      <c r="A831" s="223" t="s">
        <v>470</v>
      </c>
      <c r="B831" s="224"/>
      <c r="C831" s="228" t="s">
        <v>279</v>
      </c>
      <c r="D831" s="228" t="s">
        <v>279</v>
      </c>
      <c r="E831" s="228" t="s">
        <v>628</v>
      </c>
      <c r="F831" s="279" t="s">
        <v>471</v>
      </c>
      <c r="G831" s="197">
        <v>11364.4</v>
      </c>
    </row>
    <row r="832" spans="1:7" ht="15">
      <c r="A832" s="223" t="s">
        <v>475</v>
      </c>
      <c r="B832" s="224"/>
      <c r="C832" s="228" t="s">
        <v>279</v>
      </c>
      <c r="D832" s="228" t="s">
        <v>279</v>
      </c>
      <c r="E832" s="228" t="s">
        <v>628</v>
      </c>
      <c r="F832" s="279" t="s">
        <v>117</v>
      </c>
      <c r="G832" s="205">
        <v>1463.2</v>
      </c>
    </row>
    <row r="833" spans="1:7" ht="15">
      <c r="A833" s="306" t="s">
        <v>476</v>
      </c>
      <c r="B833" s="307"/>
      <c r="C833" s="308" t="s">
        <v>279</v>
      </c>
      <c r="D833" s="308" t="s">
        <v>279</v>
      </c>
      <c r="E833" s="308" t="s">
        <v>628</v>
      </c>
      <c r="F833" s="309" t="s">
        <v>166</v>
      </c>
      <c r="G833" s="420">
        <v>46.2</v>
      </c>
    </row>
    <row r="834" spans="1:7" ht="15">
      <c r="A834" s="151" t="s">
        <v>125</v>
      </c>
      <c r="B834" s="224"/>
      <c r="C834" s="308" t="s">
        <v>279</v>
      </c>
      <c r="D834" s="308" t="s">
        <v>279</v>
      </c>
      <c r="E834" s="228" t="s">
        <v>126</v>
      </c>
      <c r="F834" s="280"/>
      <c r="G834" s="216">
        <f>SUM(G835)</f>
        <v>408</v>
      </c>
    </row>
    <row r="835" spans="1:7" ht="28.5">
      <c r="A835" s="416" t="s">
        <v>740</v>
      </c>
      <c r="B835" s="417"/>
      <c r="C835" s="308" t="s">
        <v>279</v>
      </c>
      <c r="D835" s="308" t="s">
        <v>279</v>
      </c>
      <c r="E835" s="228" t="s">
        <v>741</v>
      </c>
      <c r="F835" s="418"/>
      <c r="G835" s="419">
        <f>SUM(G836)</f>
        <v>408</v>
      </c>
    </row>
    <row r="836" spans="1:7" ht="36" customHeight="1" thickBot="1">
      <c r="A836" s="151" t="s">
        <v>489</v>
      </c>
      <c r="B836" s="224"/>
      <c r="C836" s="228" t="s">
        <v>279</v>
      </c>
      <c r="D836" s="228" t="s">
        <v>279</v>
      </c>
      <c r="E836" s="228" t="s">
        <v>741</v>
      </c>
      <c r="F836" s="280"/>
      <c r="G836" s="197">
        <v>408</v>
      </c>
    </row>
    <row r="837" spans="1:11" ht="25.5" customHeight="1" thickBot="1">
      <c r="A837" s="253" t="s">
        <v>162</v>
      </c>
      <c r="B837" s="254"/>
      <c r="C837" s="255"/>
      <c r="D837" s="255"/>
      <c r="E837" s="255"/>
      <c r="F837" s="310"/>
      <c r="G837" s="214">
        <f>SUM(G11+G35+G54+G295+G341+G526+G566+G681+G786)</f>
        <v>3278108.7</v>
      </c>
      <c r="K837" s="186"/>
    </row>
    <row r="838" ht="12.75" customHeight="1">
      <c r="G838" s="147"/>
    </row>
    <row r="839" ht="15" hidden="1">
      <c r="G839" s="153">
        <v>3276110.9</v>
      </c>
    </row>
    <row r="840" ht="15" hidden="1"/>
    <row r="841" ht="15" hidden="1">
      <c r="G841" s="148">
        <f>SUM(G837-G839)</f>
        <v>1997.8000000002794</v>
      </c>
    </row>
    <row r="842" ht="15" hidden="1">
      <c r="G842" s="149">
        <f>SUM(G837-2951239.5)</f>
        <v>326869.2000000002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6" r:id="rId1"/>
  <ignoredErrors>
    <ignoredError sqref="B11 C12:C14 D13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63.125" style="112" customWidth="1"/>
    <col min="2" max="2" width="15.00390625" style="112" customWidth="1"/>
    <col min="3" max="3" width="13.25390625" style="112" customWidth="1"/>
    <col min="4" max="4" width="13.00390625" style="112" customWidth="1"/>
    <col min="5" max="16384" width="9.125" style="112" customWidth="1"/>
  </cols>
  <sheetData>
    <row r="1" spans="3:4" ht="12.75">
      <c r="C1" s="113" t="s">
        <v>707</v>
      </c>
      <c r="D1" s="114"/>
    </row>
    <row r="2" spans="3:4" ht="12.75">
      <c r="C2" s="112" t="s">
        <v>744</v>
      </c>
      <c r="D2" s="114"/>
    </row>
    <row r="3" spans="3:4" ht="12.75">
      <c r="C3" s="112" t="s">
        <v>250</v>
      </c>
      <c r="D3" s="114"/>
    </row>
    <row r="4" spans="3:4" ht="12.75">
      <c r="C4" s="112" t="s">
        <v>251</v>
      </c>
      <c r="D4" s="114"/>
    </row>
    <row r="5" spans="3:4" ht="12.75">
      <c r="C5" s="421" t="s">
        <v>746</v>
      </c>
      <c r="D5" s="421"/>
    </row>
    <row r="7" spans="1:4" ht="33.75" customHeight="1">
      <c r="A7" s="431" t="s">
        <v>730</v>
      </c>
      <c r="B7" s="431"/>
      <c r="C7" s="431"/>
      <c r="D7" s="431"/>
    </row>
    <row r="9" ht="13.5" thickBot="1">
      <c r="D9" s="112" t="s">
        <v>731</v>
      </c>
    </row>
    <row r="10" spans="1:4" s="394" customFormat="1" ht="15" thickBot="1">
      <c r="A10" s="426" t="s">
        <v>714</v>
      </c>
      <c r="B10" s="428" t="s">
        <v>715</v>
      </c>
      <c r="C10" s="429"/>
      <c r="D10" s="430"/>
    </row>
    <row r="11" spans="1:4" s="394" customFormat="1" ht="15" thickBot="1">
      <c r="A11" s="427"/>
      <c r="B11" s="395" t="s">
        <v>716</v>
      </c>
      <c r="C11" s="395" t="s">
        <v>717</v>
      </c>
      <c r="D11" s="395" t="s">
        <v>718</v>
      </c>
    </row>
    <row r="12" spans="1:4" s="394" customFormat="1" ht="28.5">
      <c r="A12" s="396" t="s">
        <v>719</v>
      </c>
      <c r="B12" s="397"/>
      <c r="C12" s="397"/>
      <c r="D12" s="397"/>
    </row>
    <row r="13" spans="1:4" s="394" customFormat="1" ht="14.25">
      <c r="A13" s="406" t="s">
        <v>720</v>
      </c>
      <c r="B13" s="407">
        <v>3000</v>
      </c>
      <c r="C13" s="408"/>
      <c r="D13" s="408"/>
    </row>
    <row r="14" spans="1:4" s="394" customFormat="1" ht="14.25">
      <c r="A14" s="409" t="s">
        <v>721</v>
      </c>
      <c r="B14" s="410">
        <v>1500</v>
      </c>
      <c r="C14" s="411"/>
      <c r="D14" s="411"/>
    </row>
    <row r="15" spans="1:4" s="394" customFormat="1" ht="14.25">
      <c r="A15" s="396" t="s">
        <v>722</v>
      </c>
      <c r="B15" s="402">
        <v>500</v>
      </c>
      <c r="C15" s="397"/>
      <c r="D15" s="397"/>
    </row>
    <row r="16" spans="1:4" s="394" customFormat="1" ht="14.25">
      <c r="A16" s="406" t="s">
        <v>723</v>
      </c>
      <c r="B16" s="407"/>
      <c r="C16" s="408"/>
      <c r="D16" s="408"/>
    </row>
    <row r="17" spans="1:4" s="394" customFormat="1" ht="14.25">
      <c r="A17" s="396" t="s">
        <v>743</v>
      </c>
      <c r="B17" s="402">
        <v>1500</v>
      </c>
      <c r="C17" s="397"/>
      <c r="D17" s="397"/>
    </row>
    <row r="18" spans="1:4" s="394" customFormat="1" ht="15" thickBot="1">
      <c r="A18" s="396" t="s">
        <v>723</v>
      </c>
      <c r="B18" s="402"/>
      <c r="C18" s="397"/>
      <c r="D18" s="397"/>
    </row>
    <row r="19" spans="1:4" s="394" customFormat="1" ht="15" thickBot="1">
      <c r="A19" s="398" t="s">
        <v>724</v>
      </c>
      <c r="B19" s="403">
        <f>SUM(B13:B17)</f>
        <v>6500</v>
      </c>
      <c r="C19" s="403">
        <v>0</v>
      </c>
      <c r="D19" s="403">
        <v>0</v>
      </c>
    </row>
    <row r="20" spans="1:4" s="394" customFormat="1" ht="57">
      <c r="A20" s="396" t="s">
        <v>725</v>
      </c>
      <c r="B20" s="402"/>
      <c r="C20" s="401"/>
      <c r="D20" s="401"/>
    </row>
    <row r="21" spans="1:4" s="394" customFormat="1" ht="14.25">
      <c r="A21" s="406" t="s">
        <v>726</v>
      </c>
      <c r="B21" s="407">
        <v>15530.7</v>
      </c>
      <c r="C21" s="412"/>
      <c r="D21" s="412"/>
    </row>
    <row r="22" spans="1:4" s="394" customFormat="1" ht="28.5">
      <c r="A22" s="409" t="s">
        <v>727</v>
      </c>
      <c r="B22" s="410">
        <v>1500</v>
      </c>
      <c r="C22" s="413"/>
      <c r="D22" s="413"/>
    </row>
    <row r="23" spans="1:4" s="394" customFormat="1" ht="29.25" thickBot="1">
      <c r="A23" s="396" t="s">
        <v>728</v>
      </c>
      <c r="B23" s="402">
        <v>100</v>
      </c>
      <c r="C23" s="401"/>
      <c r="D23" s="401"/>
    </row>
    <row r="24" spans="1:4" s="394" customFormat="1" ht="15" thickBot="1">
      <c r="A24" s="399" t="s">
        <v>724</v>
      </c>
      <c r="B24" s="404">
        <f>SUM(B21:B23)</f>
        <v>17130.7</v>
      </c>
      <c r="C24" s="403">
        <v>0</v>
      </c>
      <c r="D24" s="403">
        <v>0</v>
      </c>
    </row>
    <row r="25" spans="1:4" s="394" customFormat="1" ht="15" thickBot="1">
      <c r="A25" s="400" t="s">
        <v>729</v>
      </c>
      <c r="B25" s="405">
        <f>SUM(B19+B24)</f>
        <v>23630.7</v>
      </c>
      <c r="C25" s="414">
        <v>0</v>
      </c>
      <c r="D25" s="414">
        <v>0</v>
      </c>
    </row>
    <row r="26" ht="16.5">
      <c r="A26" s="393"/>
    </row>
  </sheetData>
  <sheetProtection/>
  <mergeCells count="4">
    <mergeCell ref="A10:A11"/>
    <mergeCell ref="B10:D10"/>
    <mergeCell ref="C5:D5"/>
    <mergeCell ref="A7:D7"/>
  </mergeCells>
  <printOptions/>
  <pageMargins left="1.1023622047244095" right="0.31496062992125984" top="0.7480314960629921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4.875" style="78" customWidth="1"/>
    <col min="2" max="2" width="22.375" style="78" customWidth="1"/>
    <col min="3" max="3" width="0.875" style="78" hidden="1" customWidth="1"/>
    <col min="4" max="4" width="16.125" style="78" hidden="1" customWidth="1"/>
    <col min="5" max="5" width="9.125" style="78" customWidth="1"/>
    <col min="6" max="6" width="10.875" style="78" bestFit="1" customWidth="1"/>
    <col min="7" max="16384" width="9.125" style="78" customWidth="1"/>
  </cols>
  <sheetData>
    <row r="1" spans="2:7" ht="18" customHeight="1">
      <c r="B1" s="16" t="s">
        <v>708</v>
      </c>
      <c r="C1" s="79"/>
      <c r="D1" s="27" t="s">
        <v>433</v>
      </c>
      <c r="G1" s="80"/>
    </row>
    <row r="2" spans="2:7" ht="12.75">
      <c r="B2" s="4" t="s">
        <v>744</v>
      </c>
      <c r="C2" s="79"/>
      <c r="D2" s="79"/>
      <c r="G2" s="80"/>
    </row>
    <row r="3" spans="2:7" ht="12.75">
      <c r="B3" s="4" t="s">
        <v>250</v>
      </c>
      <c r="C3" s="79"/>
      <c r="D3" s="79"/>
      <c r="G3" s="80"/>
    </row>
    <row r="4" spans="2:7" ht="12.75">
      <c r="B4" s="81" t="s">
        <v>251</v>
      </c>
      <c r="C4" s="79"/>
      <c r="D4" s="79"/>
      <c r="G4" s="80"/>
    </row>
    <row r="5" spans="2:7" ht="15" customHeight="1">
      <c r="B5" s="421" t="s">
        <v>747</v>
      </c>
      <c r="C5" s="421"/>
      <c r="D5" s="29"/>
      <c r="G5" s="80"/>
    </row>
    <row r="6" ht="12.75">
      <c r="B6" s="80"/>
    </row>
    <row r="9" s="80" customFormat="1" ht="15">
      <c r="A9" s="82" t="s">
        <v>434</v>
      </c>
    </row>
    <row r="10" spans="1:4" s="80" customFormat="1" ht="15">
      <c r="A10" s="82" t="s">
        <v>620</v>
      </c>
      <c r="C10" s="82"/>
      <c r="D10" s="82"/>
    </row>
    <row r="11" ht="15.75">
      <c r="A11" s="83"/>
    </row>
    <row r="12" s="82" customFormat="1" ht="15"/>
    <row r="13" s="82" customFormat="1" ht="15">
      <c r="A13" s="82" t="s">
        <v>435</v>
      </c>
    </row>
    <row r="14" s="82" customFormat="1" ht="15"/>
    <row r="15" s="82" customFormat="1" ht="15.75" thickBot="1">
      <c r="B15" s="82" t="s">
        <v>436</v>
      </c>
    </row>
    <row r="16" spans="1:4" s="82" customFormat="1" ht="40.5" customHeight="1" thickBot="1">
      <c r="A16" s="84" t="s">
        <v>255</v>
      </c>
      <c r="B16" s="85" t="s">
        <v>712</v>
      </c>
      <c r="C16" s="85" t="s">
        <v>437</v>
      </c>
      <c r="D16" s="85" t="s">
        <v>437</v>
      </c>
    </row>
    <row r="17" spans="1:6" s="82" customFormat="1" ht="45.75" customHeight="1">
      <c r="A17" s="86" t="s">
        <v>438</v>
      </c>
      <c r="B17" s="87">
        <f>SUM(B18-B19)</f>
        <v>79119.4</v>
      </c>
      <c r="C17" s="87">
        <f>SUM(C18-C19)</f>
        <v>31656.5</v>
      </c>
      <c r="D17" s="87">
        <f>SUM(D18-D19)</f>
        <v>148939.8</v>
      </c>
      <c r="F17" s="176"/>
    </row>
    <row r="18" spans="1:4" s="82" customFormat="1" ht="24" customHeight="1">
      <c r="A18" s="88" t="s">
        <v>439</v>
      </c>
      <c r="B18" s="89">
        <v>246737.9</v>
      </c>
      <c r="C18" s="89">
        <f>31656.5+100580.5</f>
        <v>132237</v>
      </c>
      <c r="D18" s="89">
        <f>259071.6+50000</f>
        <v>309071.6</v>
      </c>
    </row>
    <row r="19" spans="1:4" s="82" customFormat="1" ht="25.5" customHeight="1" thickBot="1">
      <c r="A19" s="90" t="s">
        <v>440</v>
      </c>
      <c r="B19" s="89">
        <v>167618.5</v>
      </c>
      <c r="C19" s="89">
        <v>100580.5</v>
      </c>
      <c r="D19" s="89">
        <v>160131.8</v>
      </c>
    </row>
    <row r="20" spans="1:4" s="82" customFormat="1" ht="45.75" thickBot="1">
      <c r="A20" s="91" t="s">
        <v>441</v>
      </c>
      <c r="B20" s="92">
        <f>SUM(B22-B23)</f>
        <v>-35000</v>
      </c>
      <c r="C20" s="92">
        <f>SUM(C22-C23)</f>
        <v>0</v>
      </c>
      <c r="D20" s="92">
        <f>SUM(D22-D23)</f>
        <v>-50000</v>
      </c>
    </row>
    <row r="21" spans="1:4" s="82" customFormat="1" ht="15" hidden="1">
      <c r="A21" s="93"/>
      <c r="B21" s="89"/>
      <c r="C21" s="89"/>
      <c r="D21" s="89"/>
    </row>
    <row r="22" spans="1:4" s="82" customFormat="1" ht="24" customHeight="1">
      <c r="A22" s="88" t="s">
        <v>439</v>
      </c>
      <c r="B22" s="89"/>
      <c r="C22" s="89"/>
      <c r="D22" s="89"/>
    </row>
    <row r="23" spans="1:4" s="82" customFormat="1" ht="25.5" customHeight="1" thickBot="1">
      <c r="A23" s="94" t="s">
        <v>440</v>
      </c>
      <c r="B23" s="95">
        <v>35000</v>
      </c>
      <c r="C23" s="95"/>
      <c r="D23" s="95">
        <v>50000</v>
      </c>
    </row>
    <row r="24" spans="1:4" s="82" customFormat="1" ht="21" customHeight="1" thickBot="1">
      <c r="A24" s="96" t="s">
        <v>442</v>
      </c>
      <c r="B24" s="92">
        <f>SUM(B25-B26)</f>
        <v>44119.399999999994</v>
      </c>
      <c r="C24" s="92">
        <f>SUM(C25-C26)</f>
        <v>31656.5</v>
      </c>
      <c r="D24" s="92">
        <f>SUM(D25-D26)</f>
        <v>98939.79999999999</v>
      </c>
    </row>
    <row r="25" spans="1:4" s="82" customFormat="1" ht="24" customHeight="1">
      <c r="A25" s="97" t="s">
        <v>439</v>
      </c>
      <c r="B25" s="87">
        <f>SUM(B18+B22)</f>
        <v>246737.9</v>
      </c>
      <c r="C25" s="87">
        <f>SUM(C18+C22)</f>
        <v>132237</v>
      </c>
      <c r="D25" s="87">
        <f>SUM(D18+D22)</f>
        <v>309071.6</v>
      </c>
    </row>
    <row r="26" spans="1:4" s="82" customFormat="1" ht="21.75" customHeight="1" thickBot="1">
      <c r="A26" s="90" t="s">
        <v>440</v>
      </c>
      <c r="B26" s="98">
        <f>SUM(B23)+B19</f>
        <v>202618.5</v>
      </c>
      <c r="C26" s="98">
        <f>SUM(C23)+C19</f>
        <v>100580.5</v>
      </c>
      <c r="D26" s="98">
        <f>SUM(D23)+D19</f>
        <v>210131.8</v>
      </c>
    </row>
  </sheetData>
  <sheetProtection/>
  <mergeCells count="1">
    <mergeCell ref="B5:C5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4.625" style="78" customWidth="1"/>
    <col min="2" max="2" width="12.75390625" style="78" hidden="1" customWidth="1"/>
    <col min="3" max="3" width="17.375" style="78" customWidth="1"/>
    <col min="4" max="4" width="15.875" style="78" customWidth="1"/>
    <col min="5" max="16384" width="9.125" style="78" customWidth="1"/>
  </cols>
  <sheetData>
    <row r="1" spans="4:7" ht="18" customHeight="1">
      <c r="D1" s="16" t="s">
        <v>460</v>
      </c>
      <c r="G1" s="80"/>
    </row>
    <row r="2" spans="4:7" ht="12.75">
      <c r="D2" s="4" t="s">
        <v>744</v>
      </c>
      <c r="G2" s="80"/>
    </row>
    <row r="3" spans="4:7" ht="12.75">
      <c r="D3" s="4" t="s">
        <v>250</v>
      </c>
      <c r="G3" s="80"/>
    </row>
    <row r="4" spans="4:7" ht="12.75">
      <c r="D4" s="4" t="s">
        <v>251</v>
      </c>
      <c r="G4" s="80"/>
    </row>
    <row r="5" spans="4:7" ht="14.25" customHeight="1">
      <c r="D5" s="421" t="s">
        <v>746</v>
      </c>
      <c r="E5" s="421"/>
      <c r="G5" s="80"/>
    </row>
    <row r="6" ht="12.75">
      <c r="C6" s="80"/>
    </row>
    <row r="9" s="80" customFormat="1" ht="15">
      <c r="A9" s="82" t="s">
        <v>434</v>
      </c>
    </row>
    <row r="10" spans="1:4" s="80" customFormat="1" ht="15">
      <c r="A10" s="82" t="s">
        <v>621</v>
      </c>
      <c r="C10" s="82"/>
      <c r="D10" s="82"/>
    </row>
    <row r="11" ht="15.75">
      <c r="A11" s="83"/>
    </row>
    <row r="12" s="82" customFormat="1" ht="15"/>
    <row r="13" s="82" customFormat="1" ht="15">
      <c r="A13" s="82" t="s">
        <v>435</v>
      </c>
    </row>
    <row r="14" s="82" customFormat="1" ht="15"/>
    <row r="15" spans="2:3" s="82" customFormat="1" ht="15.75" thickBot="1">
      <c r="B15" s="82" t="s">
        <v>436</v>
      </c>
      <c r="C15" s="82" t="s">
        <v>436</v>
      </c>
    </row>
    <row r="16" spans="1:4" s="82" customFormat="1" ht="40.5" customHeight="1" thickBot="1">
      <c r="A16" s="84" t="s">
        <v>255</v>
      </c>
      <c r="B16" s="85" t="s">
        <v>437</v>
      </c>
      <c r="C16" s="85" t="s">
        <v>584</v>
      </c>
      <c r="D16" s="85" t="s">
        <v>622</v>
      </c>
    </row>
    <row r="17" spans="1:4" s="82" customFormat="1" ht="45.75" customHeight="1">
      <c r="A17" s="86" t="s">
        <v>438</v>
      </c>
      <c r="B17" s="87">
        <f>SUM(B18-B19)</f>
        <v>98939.80000000002</v>
      </c>
      <c r="C17" s="87">
        <f>SUM(C18-C19)</f>
        <v>78712.9</v>
      </c>
      <c r="D17" s="87">
        <f>SUM(D18-D19)</f>
        <v>79603.79999999999</v>
      </c>
    </row>
    <row r="18" spans="1:4" s="82" customFormat="1" ht="24" customHeight="1">
      <c r="A18" s="88" t="s">
        <v>439</v>
      </c>
      <c r="B18" s="89">
        <v>259071.6</v>
      </c>
      <c r="C18" s="89">
        <v>325450.8</v>
      </c>
      <c r="D18" s="89">
        <v>405054.6</v>
      </c>
    </row>
    <row r="19" spans="1:4" s="82" customFormat="1" ht="25.5" customHeight="1" thickBot="1">
      <c r="A19" s="90" t="s">
        <v>440</v>
      </c>
      <c r="B19" s="89">
        <v>160131.8</v>
      </c>
      <c r="C19" s="89">
        <v>246737.9</v>
      </c>
      <c r="D19" s="89">
        <v>325450.8</v>
      </c>
    </row>
    <row r="20" spans="1:4" s="82" customFormat="1" ht="45.75" thickBot="1">
      <c r="A20" s="91" t="s">
        <v>441</v>
      </c>
      <c r="B20" s="92">
        <f>SUM(B22-B23)</f>
        <v>0</v>
      </c>
      <c r="C20" s="92">
        <f>SUM(C22-C23)</f>
        <v>-31400</v>
      </c>
      <c r="D20" s="92">
        <f>SUM(D22-D23)</f>
        <v>-27000</v>
      </c>
    </row>
    <row r="21" spans="1:4" s="82" customFormat="1" ht="15" hidden="1">
      <c r="A21" s="93"/>
      <c r="B21" s="89"/>
      <c r="C21" s="89"/>
      <c r="D21" s="89"/>
    </row>
    <row r="22" spans="1:4" s="82" customFormat="1" ht="24" customHeight="1">
      <c r="A22" s="88" t="s">
        <v>439</v>
      </c>
      <c r="B22" s="89">
        <v>50000</v>
      </c>
      <c r="C22" s="89"/>
      <c r="D22" s="89"/>
    </row>
    <row r="23" spans="1:4" s="82" customFormat="1" ht="25.5" customHeight="1" thickBot="1">
      <c r="A23" s="94" t="s">
        <v>440</v>
      </c>
      <c r="B23" s="95">
        <v>50000</v>
      </c>
      <c r="C23" s="95">
        <v>31400</v>
      </c>
      <c r="D23" s="95">
        <v>27000</v>
      </c>
    </row>
    <row r="24" spans="1:4" s="82" customFormat="1" ht="21" customHeight="1" thickBot="1">
      <c r="A24" s="96" t="s">
        <v>442</v>
      </c>
      <c r="B24" s="92">
        <f>SUM(B25-B26)</f>
        <v>98939.79999999999</v>
      </c>
      <c r="C24" s="92">
        <f>SUM(C25-C26)</f>
        <v>47312.899999999965</v>
      </c>
      <c r="D24" s="92">
        <f>SUM(D25-D26)</f>
        <v>52603.79999999999</v>
      </c>
    </row>
    <row r="25" spans="1:4" s="82" customFormat="1" ht="24" customHeight="1">
      <c r="A25" s="97" t="s">
        <v>439</v>
      </c>
      <c r="B25" s="87">
        <f>SUM(B18+B22)</f>
        <v>309071.6</v>
      </c>
      <c r="C25" s="87">
        <f>SUM(C18+C22)</f>
        <v>325450.8</v>
      </c>
      <c r="D25" s="87">
        <f>SUM(D18+D22)</f>
        <v>405054.6</v>
      </c>
    </row>
    <row r="26" spans="1:4" s="82" customFormat="1" ht="21.75" customHeight="1" thickBot="1">
      <c r="A26" s="90" t="s">
        <v>440</v>
      </c>
      <c r="B26" s="98">
        <f>SUM(B23)+B19</f>
        <v>210131.8</v>
      </c>
      <c r="C26" s="98">
        <f>SUM(C23)+C19</f>
        <v>278137.9</v>
      </c>
      <c r="D26" s="98">
        <f>SUM(D23)+D19</f>
        <v>352450.8</v>
      </c>
    </row>
  </sheetData>
  <sheetProtection/>
  <mergeCells count="1">
    <mergeCell ref="D5:E5"/>
  </mergeCells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625" style="42" customWidth="1"/>
    <col min="2" max="2" width="57.75390625" style="45" customWidth="1"/>
    <col min="3" max="3" width="18.875" style="46" hidden="1" customWidth="1"/>
    <col min="4" max="4" width="12.25390625" style="43" hidden="1" customWidth="1"/>
    <col min="5" max="5" width="21.25390625" style="46" customWidth="1"/>
    <col min="6" max="6" width="17.625" style="43" hidden="1" customWidth="1"/>
    <col min="7" max="7" width="10.125" style="43" hidden="1" customWidth="1"/>
    <col min="8" max="16384" width="9.125" style="43" customWidth="1"/>
  </cols>
  <sheetData>
    <row r="1" spans="2:5" ht="12.75">
      <c r="B1" s="178"/>
      <c r="C1" s="178" t="s">
        <v>460</v>
      </c>
      <c r="D1" s="178"/>
      <c r="E1" s="76" t="s">
        <v>709</v>
      </c>
    </row>
    <row r="2" spans="2:5" ht="12" customHeight="1">
      <c r="B2" s="44"/>
      <c r="C2" s="44" t="s">
        <v>249</v>
      </c>
      <c r="D2" s="178"/>
      <c r="E2" s="44" t="s">
        <v>744</v>
      </c>
    </row>
    <row r="3" spans="1:5" ht="15.75" customHeight="1">
      <c r="A3" s="73"/>
      <c r="B3" s="44"/>
      <c r="C3" s="44" t="s">
        <v>250</v>
      </c>
      <c r="D3" s="178"/>
      <c r="E3" s="44" t="s">
        <v>250</v>
      </c>
    </row>
    <row r="4" spans="3:5" ht="15">
      <c r="C4" s="44" t="s">
        <v>251</v>
      </c>
      <c r="D4" s="178"/>
      <c r="E4" s="44" t="s">
        <v>251</v>
      </c>
    </row>
    <row r="5" spans="3:6" ht="19.5" customHeight="1">
      <c r="C5" s="421" t="s">
        <v>581</v>
      </c>
      <c r="D5" s="421"/>
      <c r="E5" s="185" t="s">
        <v>746</v>
      </c>
      <c r="F5" s="179"/>
    </row>
    <row r="6" spans="1:5" ht="74.25" customHeight="1">
      <c r="A6" s="433" t="s">
        <v>617</v>
      </c>
      <c r="B6" s="434"/>
      <c r="C6" s="434"/>
      <c r="E6" s="43"/>
    </row>
    <row r="7" spans="1:2" s="46" customFormat="1" ht="15">
      <c r="A7" s="42"/>
      <c r="B7" s="45"/>
    </row>
    <row r="8" spans="1:5" s="46" customFormat="1" ht="12.75" customHeight="1">
      <c r="A8" s="435" t="s">
        <v>63</v>
      </c>
      <c r="B8" s="438" t="s">
        <v>9</v>
      </c>
      <c r="C8" s="432" t="s">
        <v>10</v>
      </c>
      <c r="D8" s="432" t="s">
        <v>10</v>
      </c>
      <c r="E8" s="432" t="s">
        <v>10</v>
      </c>
    </row>
    <row r="9" spans="1:5" s="46" customFormat="1" ht="11.25" customHeight="1">
      <c r="A9" s="436"/>
      <c r="B9" s="438"/>
      <c r="C9" s="432"/>
      <c r="D9" s="432"/>
      <c r="E9" s="432"/>
    </row>
    <row r="10" spans="1:5" s="180" customFormat="1" ht="37.5" customHeight="1">
      <c r="A10" s="437"/>
      <c r="B10" s="438"/>
      <c r="C10" s="432"/>
      <c r="D10" s="432"/>
      <c r="E10" s="432"/>
    </row>
    <row r="11" spans="1:6" s="54" customFormat="1" ht="30" customHeight="1">
      <c r="A11" s="49" t="s">
        <v>11</v>
      </c>
      <c r="B11" s="56" t="s">
        <v>12</v>
      </c>
      <c r="C11" s="177">
        <f>C12+C17+C22+C27</f>
        <v>73995.59999999998</v>
      </c>
      <c r="D11" s="51">
        <f>D12+D17+D22+D27</f>
        <v>98939.79999999999</v>
      </c>
      <c r="E11" s="177">
        <f>E12+E17+E27+E22</f>
        <v>54119.399999999994</v>
      </c>
      <c r="F11" s="54">
        <v>73995.6</v>
      </c>
    </row>
    <row r="12" spans="1:5" s="54" customFormat="1" ht="30" customHeight="1">
      <c r="A12" s="49" t="s">
        <v>32</v>
      </c>
      <c r="B12" s="184" t="s">
        <v>33</v>
      </c>
      <c r="C12" s="177">
        <f>SUM(C13-C15)</f>
        <v>73995.59999999998</v>
      </c>
      <c r="D12" s="51">
        <f>SUM(D13-D15)</f>
        <v>148939.8</v>
      </c>
      <c r="E12" s="177">
        <f>SUM(E13-E15)</f>
        <v>79119.4</v>
      </c>
    </row>
    <row r="13" spans="1:7" s="54" customFormat="1" ht="33" customHeight="1">
      <c r="A13" s="49" t="s">
        <v>34</v>
      </c>
      <c r="B13" s="50" t="s">
        <v>35</v>
      </c>
      <c r="C13" s="177">
        <f>SUM(C14)</f>
        <v>291614.1</v>
      </c>
      <c r="D13" s="51">
        <f>259071.6+50000</f>
        <v>309071.6</v>
      </c>
      <c r="E13" s="177">
        <f>SUM(E14)</f>
        <v>246737.9</v>
      </c>
      <c r="G13" s="181">
        <f>SUM(C13+C18)</f>
        <v>291614.1</v>
      </c>
    </row>
    <row r="14" spans="1:5" s="54" customFormat="1" ht="50.25" customHeight="1">
      <c r="A14" s="49" t="s">
        <v>36</v>
      </c>
      <c r="B14" s="61" t="s">
        <v>585</v>
      </c>
      <c r="C14" s="177">
        <f>223995.6-15000+82618.5</f>
        <v>291614.1</v>
      </c>
      <c r="D14" s="51">
        <v>100580.5</v>
      </c>
      <c r="E14" s="177">
        <v>246737.9</v>
      </c>
    </row>
    <row r="15" spans="1:5" s="54" customFormat="1" ht="49.5" customHeight="1">
      <c r="A15" s="49" t="s">
        <v>37</v>
      </c>
      <c r="B15" s="103" t="s">
        <v>315</v>
      </c>
      <c r="C15" s="177">
        <f>SUM(C16)</f>
        <v>217618.5</v>
      </c>
      <c r="D15" s="51">
        <v>160131.8</v>
      </c>
      <c r="E15" s="177">
        <f>SUM(E16)</f>
        <v>167618.5</v>
      </c>
    </row>
    <row r="16" spans="1:5" s="54" customFormat="1" ht="46.5" customHeight="1">
      <c r="A16" s="49" t="s">
        <v>316</v>
      </c>
      <c r="B16" s="61" t="s">
        <v>586</v>
      </c>
      <c r="C16" s="177">
        <v>217618.5</v>
      </c>
      <c r="D16" s="51">
        <v>60000</v>
      </c>
      <c r="E16" s="177">
        <v>167618.5</v>
      </c>
    </row>
    <row r="17" spans="1:5" s="54" customFormat="1" ht="36" customHeight="1">
      <c r="A17" s="49" t="s">
        <v>589</v>
      </c>
      <c r="B17" s="52" t="s">
        <v>163</v>
      </c>
      <c r="C17" s="177">
        <f>SUM(C18)-C20</f>
        <v>-15000</v>
      </c>
      <c r="D17" s="51">
        <f>SUM(D18)-D20</f>
        <v>-50000</v>
      </c>
      <c r="E17" s="177">
        <f>SUM(E18)-E20</f>
        <v>-35000</v>
      </c>
    </row>
    <row r="18" spans="1:5" s="54" customFormat="1" ht="45" customHeight="1" hidden="1">
      <c r="A18" s="49" t="s">
        <v>317</v>
      </c>
      <c r="B18" s="53" t="s">
        <v>318</v>
      </c>
      <c r="C18" s="177"/>
      <c r="D18" s="51"/>
      <c r="E18" s="177"/>
    </row>
    <row r="19" spans="1:5" s="54" customFormat="1" ht="20.25" customHeight="1" hidden="1">
      <c r="A19" s="49" t="s">
        <v>404</v>
      </c>
      <c r="B19" s="52" t="s">
        <v>164</v>
      </c>
      <c r="C19" s="177"/>
      <c r="D19" s="51"/>
      <c r="E19" s="177"/>
    </row>
    <row r="20" spans="1:5" s="54" customFormat="1" ht="49.5" customHeight="1">
      <c r="A20" s="49" t="s">
        <v>590</v>
      </c>
      <c r="B20" s="55" t="s">
        <v>405</v>
      </c>
      <c r="C20" s="177">
        <v>15000</v>
      </c>
      <c r="D20" s="51">
        <v>50000</v>
      </c>
      <c r="E20" s="177">
        <v>35000</v>
      </c>
    </row>
    <row r="21" spans="1:5" s="54" customFormat="1" ht="66.75" customHeight="1">
      <c r="A21" s="49" t="s">
        <v>591</v>
      </c>
      <c r="B21" s="61" t="s">
        <v>588</v>
      </c>
      <c r="C21" s="177">
        <v>15000</v>
      </c>
      <c r="D21" s="51"/>
      <c r="E21" s="177">
        <v>35000</v>
      </c>
    </row>
    <row r="22" spans="1:5" s="54" customFormat="1" ht="31.5" customHeight="1">
      <c r="A22" s="49" t="s">
        <v>319</v>
      </c>
      <c r="B22" s="56" t="s">
        <v>587</v>
      </c>
      <c r="C22" s="177">
        <f aca="true" t="shared" si="0" ref="C22:E25">SUM(C23)</f>
        <v>15000</v>
      </c>
      <c r="D22" s="51">
        <f t="shared" si="0"/>
        <v>0</v>
      </c>
      <c r="E22" s="177">
        <f>SUM(E23)</f>
        <v>10000</v>
      </c>
    </row>
    <row r="23" spans="1:5" s="54" customFormat="1" ht="32.25" customHeight="1">
      <c r="A23" s="49" t="s">
        <v>321</v>
      </c>
      <c r="B23" s="56" t="s">
        <v>322</v>
      </c>
      <c r="C23" s="177">
        <f>SUM(C24)</f>
        <v>15000</v>
      </c>
      <c r="D23" s="51">
        <f t="shared" si="0"/>
        <v>0</v>
      </c>
      <c r="E23" s="177">
        <f>SUM(E24)</f>
        <v>10000</v>
      </c>
    </row>
    <row r="24" spans="1:5" s="54" customFormat="1" ht="31.5" customHeight="1">
      <c r="A24" s="49" t="s">
        <v>323</v>
      </c>
      <c r="B24" s="56" t="s">
        <v>324</v>
      </c>
      <c r="C24" s="177">
        <f>SUM(C25)</f>
        <v>15000</v>
      </c>
      <c r="D24" s="51">
        <f t="shared" si="0"/>
        <v>0</v>
      </c>
      <c r="E24" s="177">
        <f>SUM(E25)</f>
        <v>10000</v>
      </c>
    </row>
    <row r="25" spans="1:5" s="54" customFormat="1" ht="32.25" customHeight="1">
      <c r="A25" s="49" t="s">
        <v>325</v>
      </c>
      <c r="B25" s="56" t="s">
        <v>326</v>
      </c>
      <c r="C25" s="177">
        <f t="shared" si="0"/>
        <v>15000</v>
      </c>
      <c r="D25" s="51">
        <f t="shared" si="0"/>
        <v>0</v>
      </c>
      <c r="E25" s="177">
        <f t="shared" si="0"/>
        <v>10000</v>
      </c>
    </row>
    <row r="26" spans="1:5" s="54" customFormat="1" ht="38.25" customHeight="1">
      <c r="A26" s="49" t="s">
        <v>327</v>
      </c>
      <c r="B26" s="56" t="s">
        <v>328</v>
      </c>
      <c r="C26" s="177">
        <v>15000</v>
      </c>
      <c r="D26" s="51"/>
      <c r="E26" s="177">
        <v>10000</v>
      </c>
    </row>
    <row r="27" spans="1:7" ht="35.25" customHeight="1" hidden="1">
      <c r="A27" s="57" t="s">
        <v>329</v>
      </c>
      <c r="B27" s="182" t="s">
        <v>167</v>
      </c>
      <c r="C27" s="59">
        <f>C28+C31</f>
        <v>0</v>
      </c>
      <c r="D27" s="59">
        <f>D28+D31</f>
        <v>0</v>
      </c>
      <c r="E27" s="59">
        <f>E28+E31</f>
        <v>0</v>
      </c>
      <c r="F27" s="54"/>
      <c r="G27" s="54"/>
    </row>
    <row r="28" spans="1:7" ht="30.75" customHeight="1" hidden="1">
      <c r="A28" s="57" t="s">
        <v>330</v>
      </c>
      <c r="B28" s="58" t="s">
        <v>331</v>
      </c>
      <c r="C28" s="59">
        <f>SUM(C29)</f>
        <v>0</v>
      </c>
      <c r="D28" s="59">
        <f>SUM(D29)</f>
        <v>0</v>
      </c>
      <c r="E28" s="59">
        <f>SUM(E29)</f>
        <v>0</v>
      </c>
      <c r="F28" s="54"/>
      <c r="G28" s="54"/>
    </row>
    <row r="29" spans="1:7" ht="123.75" customHeight="1" hidden="1">
      <c r="A29" s="57" t="s">
        <v>332</v>
      </c>
      <c r="B29" s="60" t="s">
        <v>215</v>
      </c>
      <c r="C29" s="59"/>
      <c r="D29" s="59">
        <f>SUM(D30)</f>
        <v>0</v>
      </c>
      <c r="E29" s="59"/>
      <c r="F29" s="54"/>
      <c r="G29" s="54"/>
    </row>
    <row r="30" spans="1:7" ht="110.25" customHeight="1" hidden="1">
      <c r="A30" s="57" t="s">
        <v>216</v>
      </c>
      <c r="B30" s="61" t="s">
        <v>288</v>
      </c>
      <c r="C30" s="59">
        <v>-10000</v>
      </c>
      <c r="D30" s="59"/>
      <c r="E30" s="59"/>
      <c r="F30" s="54"/>
      <c r="G30" s="54"/>
    </row>
    <row r="31" spans="1:7" ht="30" customHeight="1" hidden="1">
      <c r="A31" s="57" t="s">
        <v>289</v>
      </c>
      <c r="B31" s="58" t="s">
        <v>290</v>
      </c>
      <c r="C31" s="59">
        <f>SUM(C32)</f>
        <v>0</v>
      </c>
      <c r="D31" s="59">
        <f>SUM(D32)</f>
        <v>0</v>
      </c>
      <c r="E31" s="59">
        <f>SUM(E32)</f>
        <v>0</v>
      </c>
      <c r="F31" s="54"/>
      <c r="G31" s="54"/>
    </row>
    <row r="32" spans="1:7" ht="30" customHeight="1" hidden="1">
      <c r="A32" s="57" t="s">
        <v>291</v>
      </c>
      <c r="B32" s="58" t="s">
        <v>292</v>
      </c>
      <c r="C32" s="59"/>
      <c r="D32" s="59">
        <f>SUM(D33)</f>
        <v>0</v>
      </c>
      <c r="E32" s="59"/>
      <c r="F32" s="54"/>
      <c r="G32" s="54"/>
    </row>
    <row r="33" spans="1:7" ht="45" customHeight="1" hidden="1">
      <c r="A33" s="57" t="s">
        <v>293</v>
      </c>
      <c r="B33" s="61" t="s">
        <v>294</v>
      </c>
      <c r="C33" s="59">
        <v>10000</v>
      </c>
      <c r="D33" s="59"/>
      <c r="E33" s="59"/>
      <c r="F33" s="54"/>
      <c r="G33" s="54"/>
    </row>
    <row r="34" spans="1:7" ht="15" hidden="1">
      <c r="A34" s="62"/>
      <c r="C34" s="63"/>
      <c r="D34" s="54"/>
      <c r="E34" s="63"/>
      <c r="F34" s="54"/>
      <c r="G34" s="54"/>
    </row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/>
  <mergeCells count="7">
    <mergeCell ref="E8:E10"/>
    <mergeCell ref="C5:D5"/>
    <mergeCell ref="A6:C6"/>
    <mergeCell ref="A8:A10"/>
    <mergeCell ref="B8:B10"/>
    <mergeCell ref="C8:C10"/>
    <mergeCell ref="D8:D10"/>
  </mergeCells>
  <printOptions/>
  <pageMargins left="1.1023622047244095" right="0.31496062992125984" top="0.7480314960629921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0.625" style="42" customWidth="1"/>
    <col min="2" max="2" width="55.00390625" style="101" customWidth="1"/>
    <col min="3" max="3" width="16.375" style="46" hidden="1" customWidth="1"/>
    <col min="4" max="4" width="15.25390625" style="43" hidden="1" customWidth="1"/>
    <col min="5" max="5" width="14.75390625" style="43" customWidth="1"/>
    <col min="6" max="6" width="15.125" style="43" customWidth="1"/>
    <col min="7" max="16384" width="9.125" style="43" customWidth="1"/>
  </cols>
  <sheetData>
    <row r="1" spans="2:6" ht="12.75">
      <c r="B1" s="99"/>
      <c r="C1" s="76" t="s">
        <v>461</v>
      </c>
      <c r="D1" s="79"/>
      <c r="E1" s="76" t="s">
        <v>713</v>
      </c>
      <c r="F1" s="79"/>
    </row>
    <row r="2" spans="2:6" ht="12" customHeight="1">
      <c r="B2" s="100"/>
      <c r="C2" s="44" t="s">
        <v>249</v>
      </c>
      <c r="D2" s="79"/>
      <c r="E2" s="44" t="s">
        <v>744</v>
      </c>
      <c r="F2" s="79"/>
    </row>
    <row r="3" spans="2:6" ht="12.75">
      <c r="B3" s="100"/>
      <c r="C3" s="44" t="s">
        <v>250</v>
      </c>
      <c r="D3" s="79"/>
      <c r="E3" s="44" t="s">
        <v>250</v>
      </c>
      <c r="F3" s="79"/>
    </row>
    <row r="4" spans="3:6" ht="15">
      <c r="C4" s="44" t="s">
        <v>251</v>
      </c>
      <c r="D4" s="79"/>
      <c r="E4" s="44" t="s">
        <v>251</v>
      </c>
      <c r="F4" s="79"/>
    </row>
    <row r="5" spans="3:6" ht="17.25" customHeight="1">
      <c r="C5" s="421" t="s">
        <v>582</v>
      </c>
      <c r="D5" s="421"/>
      <c r="E5" s="421" t="s">
        <v>746</v>
      </c>
      <c r="F5" s="421"/>
    </row>
    <row r="6" spans="1:3" ht="75.75" customHeight="1">
      <c r="A6" s="433" t="s">
        <v>618</v>
      </c>
      <c r="B6" s="434"/>
      <c r="C6" s="434"/>
    </row>
    <row r="7" spans="1:2" s="46" customFormat="1" ht="15">
      <c r="A7" s="42"/>
      <c r="B7" s="101"/>
    </row>
    <row r="8" spans="1:6" s="46" customFormat="1" ht="12.75" customHeight="1">
      <c r="A8" s="435" t="s">
        <v>63</v>
      </c>
      <c r="B8" s="438" t="s">
        <v>9</v>
      </c>
      <c r="C8" s="432" t="s">
        <v>443</v>
      </c>
      <c r="D8" s="432" t="s">
        <v>583</v>
      </c>
      <c r="E8" s="432" t="s">
        <v>583</v>
      </c>
      <c r="F8" s="432" t="s">
        <v>619</v>
      </c>
    </row>
    <row r="9" spans="1:6" s="46" customFormat="1" ht="11.25" customHeight="1">
      <c r="A9" s="436"/>
      <c r="B9" s="438"/>
      <c r="C9" s="432"/>
      <c r="D9" s="432"/>
      <c r="E9" s="432"/>
      <c r="F9" s="432"/>
    </row>
    <row r="10" spans="1:6" s="47" customFormat="1" ht="37.5" customHeight="1">
      <c r="A10" s="437"/>
      <c r="B10" s="438"/>
      <c r="C10" s="432"/>
      <c r="D10" s="432"/>
      <c r="E10" s="432"/>
      <c r="F10" s="432"/>
    </row>
    <row r="11" spans="1:6" s="48" customFormat="1" ht="34.5" customHeight="1">
      <c r="A11" s="49" t="s">
        <v>11</v>
      </c>
      <c r="B11" s="56" t="s">
        <v>12</v>
      </c>
      <c r="C11" s="177" t="e">
        <f>C12+C17+C22+#REF!</f>
        <v>#REF!</v>
      </c>
      <c r="D11" s="177" t="e">
        <f>D12+D17+D22+#REF!</f>
        <v>#REF!</v>
      </c>
      <c r="E11" s="177">
        <f>E12+E17+E22</f>
        <v>47312.899999999994</v>
      </c>
      <c r="F11" s="177">
        <f>F12+F17+F22</f>
        <v>52603.79999999999</v>
      </c>
    </row>
    <row r="12" spans="1:6" s="48" customFormat="1" ht="30" customHeight="1">
      <c r="A12" s="49" t="s">
        <v>32</v>
      </c>
      <c r="B12" s="102" t="s">
        <v>33</v>
      </c>
      <c r="C12" s="177">
        <f>SUM(C13-C15)</f>
        <v>53800.5</v>
      </c>
      <c r="D12" s="177">
        <f>SUM(D13-D15)</f>
        <v>26307.70000000001</v>
      </c>
      <c r="E12" s="177">
        <f>SUM(E13-E15)</f>
        <v>78712.9</v>
      </c>
      <c r="F12" s="177">
        <f>SUM(F13-F15)</f>
        <v>79603.79999999999</v>
      </c>
    </row>
    <row r="13" spans="1:6" s="48" customFormat="1" ht="30" customHeight="1">
      <c r="A13" s="49" t="s">
        <v>34</v>
      </c>
      <c r="B13" s="102" t="s">
        <v>35</v>
      </c>
      <c r="C13" s="177">
        <f>SUM(C14)</f>
        <v>345414.6</v>
      </c>
      <c r="D13" s="177">
        <f>SUM(D14)</f>
        <v>371722.3</v>
      </c>
      <c r="E13" s="177">
        <f>SUM(E14)</f>
        <v>325450.8</v>
      </c>
      <c r="F13" s="177">
        <f>SUM(F14)</f>
        <v>405054.6</v>
      </c>
    </row>
    <row r="14" spans="1:6" s="48" customFormat="1" ht="45">
      <c r="A14" s="49" t="s">
        <v>36</v>
      </c>
      <c r="B14" s="61" t="s">
        <v>585</v>
      </c>
      <c r="C14" s="177">
        <f>233995.6+28800.5+82618.5</f>
        <v>345414.6</v>
      </c>
      <c r="D14" s="177">
        <f>229342+33454.1+4907.7+82618.5+21400</f>
        <v>371722.3</v>
      </c>
      <c r="E14" s="177">
        <f>246737.9+78912.4-199.5</f>
        <v>325450.8</v>
      </c>
      <c r="F14" s="177">
        <f>325450.8+79603.8</f>
        <v>405054.6</v>
      </c>
    </row>
    <row r="15" spans="1:6" s="48" customFormat="1" ht="46.5" customHeight="1">
      <c r="A15" s="49" t="s">
        <v>37</v>
      </c>
      <c r="B15" s="103" t="s">
        <v>315</v>
      </c>
      <c r="C15" s="177">
        <f>SUM(C16)</f>
        <v>291614.1</v>
      </c>
      <c r="D15" s="177">
        <f>SUM(D16)</f>
        <v>345414.6</v>
      </c>
      <c r="E15" s="177">
        <f>SUM(E16)</f>
        <v>246737.9</v>
      </c>
      <c r="F15" s="177">
        <f>SUM(F16)</f>
        <v>325450.8</v>
      </c>
    </row>
    <row r="16" spans="1:6" s="48" customFormat="1" ht="57" customHeight="1">
      <c r="A16" s="49" t="s">
        <v>316</v>
      </c>
      <c r="B16" s="61" t="s">
        <v>586</v>
      </c>
      <c r="C16" s="177">
        <f>208995.6+82618.5</f>
        <v>291614.1</v>
      </c>
      <c r="D16" s="177">
        <f>233995.6+28800.5+82618.5</f>
        <v>345414.6</v>
      </c>
      <c r="E16" s="177">
        <v>246737.9</v>
      </c>
      <c r="F16" s="177">
        <v>325450.8</v>
      </c>
    </row>
    <row r="17" spans="1:6" s="48" customFormat="1" ht="30" customHeight="1">
      <c r="A17" s="49" t="s">
        <v>589</v>
      </c>
      <c r="B17" s="52" t="s">
        <v>163</v>
      </c>
      <c r="C17" s="177">
        <f>SUM(C18)-C20</f>
        <v>-25000</v>
      </c>
      <c r="D17" s="177">
        <f>SUM(D18)-D20</f>
        <v>-21400</v>
      </c>
      <c r="E17" s="177">
        <f>SUM(E18)-E20</f>
        <v>-31400</v>
      </c>
      <c r="F17" s="177">
        <f>SUM(F18)-F20</f>
        <v>-27000</v>
      </c>
    </row>
    <row r="18" spans="1:6" s="48" customFormat="1" ht="45" customHeight="1" hidden="1">
      <c r="A18" s="49" t="s">
        <v>317</v>
      </c>
      <c r="B18" s="52" t="s">
        <v>318</v>
      </c>
      <c r="C18" s="177"/>
      <c r="D18" s="177"/>
      <c r="E18" s="177"/>
      <c r="F18" s="177"/>
    </row>
    <row r="19" spans="1:6" s="54" customFormat="1" ht="45" customHeight="1" hidden="1">
      <c r="A19" s="49" t="s">
        <v>404</v>
      </c>
      <c r="B19" s="52" t="s">
        <v>164</v>
      </c>
      <c r="C19" s="177"/>
      <c r="D19" s="177"/>
      <c r="E19" s="177"/>
      <c r="F19" s="177"/>
    </row>
    <row r="20" spans="1:6" s="54" customFormat="1" ht="53.25" customHeight="1">
      <c r="A20" s="49" t="s">
        <v>590</v>
      </c>
      <c r="B20" s="55" t="s">
        <v>405</v>
      </c>
      <c r="C20" s="177">
        <f>SUM(C21)</f>
        <v>25000</v>
      </c>
      <c r="D20" s="177">
        <f>SUM(D21)</f>
        <v>21400</v>
      </c>
      <c r="E20" s="177">
        <f>SUM(E21)</f>
        <v>31400</v>
      </c>
      <c r="F20" s="177">
        <f>SUM(F21)</f>
        <v>27000</v>
      </c>
    </row>
    <row r="21" spans="1:6" s="54" customFormat="1" ht="60" customHeight="1">
      <c r="A21" s="49" t="s">
        <v>591</v>
      </c>
      <c r="B21" s="61" t="s">
        <v>592</v>
      </c>
      <c r="C21" s="177">
        <v>25000</v>
      </c>
      <c r="D21" s="177">
        <v>21400</v>
      </c>
      <c r="E21" s="177">
        <f>21400+10000</f>
        <v>31400</v>
      </c>
      <c r="F21" s="177">
        <v>27000</v>
      </c>
    </row>
    <row r="22" spans="1:6" s="48" customFormat="1" ht="32.25" customHeight="1" hidden="1">
      <c r="A22" s="49" t="s">
        <v>319</v>
      </c>
      <c r="B22" s="56" t="s">
        <v>320</v>
      </c>
      <c r="C22" s="51">
        <f aca="true" t="shared" si="0" ref="C22:D25">SUM(C23)</f>
        <v>0</v>
      </c>
      <c r="D22" s="51">
        <f t="shared" si="0"/>
        <v>0</v>
      </c>
      <c r="E22" s="54"/>
      <c r="F22" s="54"/>
    </row>
    <row r="23" spans="1:6" s="48" customFormat="1" ht="32.25" customHeight="1" hidden="1">
      <c r="A23" s="49" t="s">
        <v>321</v>
      </c>
      <c r="B23" s="56" t="s">
        <v>322</v>
      </c>
      <c r="C23" s="51">
        <f t="shared" si="0"/>
        <v>0</v>
      </c>
      <c r="D23" s="51">
        <f t="shared" si="0"/>
        <v>0</v>
      </c>
      <c r="E23" s="54"/>
      <c r="F23" s="54"/>
    </row>
    <row r="24" spans="1:6" s="48" customFormat="1" ht="32.25" customHeight="1" hidden="1">
      <c r="A24" s="49" t="s">
        <v>323</v>
      </c>
      <c r="B24" s="56" t="s">
        <v>324</v>
      </c>
      <c r="C24" s="51">
        <f t="shared" si="0"/>
        <v>0</v>
      </c>
      <c r="D24" s="51">
        <f t="shared" si="0"/>
        <v>0</v>
      </c>
      <c r="E24" s="54"/>
      <c r="F24" s="54"/>
    </row>
    <row r="25" spans="1:6" s="48" customFormat="1" ht="32.25" customHeight="1" hidden="1">
      <c r="A25" s="49" t="s">
        <v>325</v>
      </c>
      <c r="B25" s="56" t="s">
        <v>326</v>
      </c>
      <c r="C25" s="51">
        <f t="shared" si="0"/>
        <v>0</v>
      </c>
      <c r="D25" s="51">
        <f t="shared" si="0"/>
        <v>0</v>
      </c>
      <c r="E25" s="54"/>
      <c r="F25" s="54"/>
    </row>
    <row r="26" spans="1:4" s="54" customFormat="1" ht="38.25" customHeight="1" hidden="1">
      <c r="A26" s="49" t="s">
        <v>327</v>
      </c>
      <c r="B26" s="56" t="s">
        <v>328</v>
      </c>
      <c r="C26" s="51"/>
      <c r="D26" s="51"/>
    </row>
    <row r="27" spans="1:6" ht="33" customHeight="1" hidden="1">
      <c r="A27" s="57" t="s">
        <v>329</v>
      </c>
      <c r="B27" s="191" t="s">
        <v>167</v>
      </c>
      <c r="C27" s="59">
        <f>C28+C31</f>
        <v>0</v>
      </c>
      <c r="D27" s="59">
        <f>D28+D31</f>
        <v>0</v>
      </c>
      <c r="E27" s="54"/>
      <c r="F27" s="54"/>
    </row>
    <row r="28" spans="1:6" ht="0.75" customHeight="1" hidden="1">
      <c r="A28" s="57" t="s">
        <v>330</v>
      </c>
      <c r="B28" s="104" t="s">
        <v>331</v>
      </c>
      <c r="C28" s="59">
        <f>SUM(C29)</f>
        <v>0</v>
      </c>
      <c r="D28" s="59">
        <f>SUM(D29)</f>
        <v>0</v>
      </c>
      <c r="E28" s="54"/>
      <c r="F28" s="54"/>
    </row>
    <row r="29" spans="1:6" ht="128.25" customHeight="1" hidden="1">
      <c r="A29" s="57" t="s">
        <v>332</v>
      </c>
      <c r="B29" s="105" t="s">
        <v>215</v>
      </c>
      <c r="C29" s="59">
        <f>SUM(C30)</f>
        <v>0</v>
      </c>
      <c r="D29" s="59">
        <f>SUM(D30)</f>
        <v>0</v>
      </c>
      <c r="E29" s="54"/>
      <c r="F29" s="54"/>
    </row>
    <row r="30" spans="1:6" ht="42.75" customHeight="1" hidden="1">
      <c r="A30" s="57" t="s">
        <v>216</v>
      </c>
      <c r="B30" s="61" t="s">
        <v>288</v>
      </c>
      <c r="C30" s="59"/>
      <c r="D30" s="59"/>
      <c r="E30" s="54"/>
      <c r="F30" s="54"/>
    </row>
    <row r="31" spans="1:6" ht="30" customHeight="1" hidden="1">
      <c r="A31" s="57" t="s">
        <v>289</v>
      </c>
      <c r="B31" s="104" t="s">
        <v>290</v>
      </c>
      <c r="C31" s="59">
        <f>SUM(C32)</f>
        <v>0</v>
      </c>
      <c r="D31" s="59">
        <f>SUM(D32)</f>
        <v>0</v>
      </c>
      <c r="E31" s="54"/>
      <c r="F31" s="54"/>
    </row>
    <row r="32" spans="1:6" ht="30" customHeight="1" hidden="1">
      <c r="A32" s="57" t="s">
        <v>291</v>
      </c>
      <c r="B32" s="104" t="s">
        <v>292</v>
      </c>
      <c r="C32" s="59">
        <f>SUM(C33)</f>
        <v>0</v>
      </c>
      <c r="D32" s="59">
        <f>SUM(D33)</f>
        <v>0</v>
      </c>
      <c r="E32" s="54"/>
      <c r="F32" s="54"/>
    </row>
    <row r="33" spans="1:6" ht="45" customHeight="1" hidden="1">
      <c r="A33" s="57" t="s">
        <v>293</v>
      </c>
      <c r="B33" s="61" t="s">
        <v>294</v>
      </c>
      <c r="C33" s="59"/>
      <c r="D33" s="59"/>
      <c r="E33" s="54"/>
      <c r="F33" s="54"/>
    </row>
    <row r="34" spans="1:6" ht="15" hidden="1">
      <c r="A34" s="62"/>
      <c r="C34" s="63"/>
      <c r="D34" s="54"/>
      <c r="E34" s="54"/>
      <c r="F34" s="54"/>
    </row>
  </sheetData>
  <sheetProtection/>
  <mergeCells count="9">
    <mergeCell ref="E8:E10"/>
    <mergeCell ref="F8:F10"/>
    <mergeCell ref="E5:F5"/>
    <mergeCell ref="C5:D5"/>
    <mergeCell ref="A6:C6"/>
    <mergeCell ref="A8:A10"/>
    <mergeCell ref="B8:B10"/>
    <mergeCell ref="C8:C10"/>
    <mergeCell ref="D8:D10"/>
  </mergeCells>
  <printOptions/>
  <pageMargins left="1.1023622047244095" right="0.5118110236220472" top="0.7480314960629921" bottom="0.35433070866141736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2014-12-17T11:11:20Z</cp:lastPrinted>
  <dcterms:created xsi:type="dcterms:W3CDTF">2010-10-13T06:28:56Z</dcterms:created>
  <dcterms:modified xsi:type="dcterms:W3CDTF">2014-12-23T06:58:45Z</dcterms:modified>
  <cp:category/>
  <cp:version/>
  <cp:contentType/>
  <cp:contentStatus/>
</cp:coreProperties>
</file>