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5805" windowHeight="7470" activeTab="1"/>
  </bookViews>
  <sheets>
    <sheet name="функцион.2014" sheetId="1" r:id="rId1"/>
    <sheet name="ведомствен.2014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<sst xmlns="http://schemas.openxmlformats.org/spreadsheetml/2006/main" count="6521" uniqueCount="661">
  <si>
    <t>Целевой финансовый резерв для предупреждения и ликвидации чрезвычайных ситуаций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</si>
  <si>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</si>
  <si>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</si>
  <si>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Региональные целевые программы</t>
  </si>
  <si>
    <t>522 00 00</t>
  </si>
  <si>
    <t>10</t>
  </si>
  <si>
    <t>Отдельные мероприятия в области автомобильного транспорта</t>
  </si>
  <si>
    <t>Субсидии юридическим лицам</t>
  </si>
  <si>
    <t>006</t>
  </si>
  <si>
    <t>795 00 28</t>
  </si>
  <si>
    <t>795 00 29</t>
  </si>
  <si>
    <t>Предоставление субсидий бюджетным и автономным учреждениям</t>
  </si>
  <si>
    <t>Субсидии бюджетным и автономным учреждениям на финансовое обеспечение муниципального задания на оказание муниципальных услуг (выполнение работ)</t>
  </si>
  <si>
    <t>Расходы за счет субвенций из областного бюджета на содержание учреждений социального обслуживания населения</t>
  </si>
  <si>
    <t>507 99 00</t>
  </si>
  <si>
    <t>Расходы за счет бюджета округа на содержание учреждений социального обслуживания населения</t>
  </si>
  <si>
    <t>507 99 01</t>
  </si>
  <si>
    <t>508 00 00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</si>
  <si>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</si>
  <si>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</si>
  <si>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</si>
  <si>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Социальное обеспечение населения</t>
  </si>
  <si>
    <t>Социальная помощь</t>
  </si>
  <si>
    <t>505 00 00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</si>
  <si>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</si>
  <si>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098 01 01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</si>
  <si>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</si>
  <si>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098 01 02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</si>
  <si>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</si>
  <si>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</si>
  <si>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600 05 00</t>
  </si>
  <si>
    <t>Мероприятия в области коммунального хозяйства</t>
  </si>
  <si>
    <t>795 19 11</t>
  </si>
  <si>
    <t>Благоустройство</t>
  </si>
  <si>
    <t>ОАП "Капитальный ремонт многоквартирных домов в Челябинской области на 2008-2011 гг. за счет средств Фонда реформирования ЖКХ</t>
  </si>
  <si>
    <t>522 21 22</t>
  </si>
  <si>
    <t>ОАП "Капитальный ремонт многоквартирных домов в Челябинской области на 2008-2011 гг. за счет средств областного бюджета</t>
  </si>
  <si>
    <t>522 21 23</t>
  </si>
  <si>
    <t>Программа  "Лифт МГО на 2008-2010"</t>
  </si>
  <si>
    <t>795 00 08</t>
  </si>
  <si>
    <t>Национальный проект "Доступное и комфортное жилье - гражданам России" на территории МГО на 2006-2010 гг.</t>
  </si>
  <si>
    <t xml:space="preserve">795 19 00 </t>
  </si>
  <si>
    <t>795 19 13</t>
  </si>
  <si>
    <t>Программа "Капитальное строительство на территории Миасского городского округа на 2009-2011 годы"</t>
  </si>
  <si>
    <t>795 25 00</t>
  </si>
  <si>
    <t>Коммунальное хозяйство</t>
  </si>
  <si>
    <t>Обеспечение деятельности (оказание услуг) подведомственных казенных учреждений</t>
  </si>
  <si>
    <t>Выполнение функций казенными учреждениями</t>
  </si>
  <si>
    <t>611</t>
  </si>
  <si>
    <t>Органы юстиции</t>
  </si>
  <si>
    <t>Лицензирование розничной продажи алкогольной продукции за счет субвенций из областного бюджета</t>
  </si>
  <si>
    <t>002 04 98</t>
  </si>
  <si>
    <t>Расходы на выплату библиотечным работникам лечебного пособия и ежемесячной надбавки к заработной плате за выслугу лет за счет субсидий из областного бюджета</t>
  </si>
  <si>
    <t>Другие вопросы в области жилищно-коммунального хозяйства</t>
  </si>
  <si>
    <t xml:space="preserve">Бюджетные инвестиции </t>
  </si>
  <si>
    <t>Подпрограмма "Обеспечение земельных участков объектами коммунальной инфраструктуры"</t>
  </si>
  <si>
    <t>Охрана окружающей  среды</t>
  </si>
  <si>
    <t>Природоохранные учреждения</t>
  </si>
  <si>
    <t>Другие вопросы в области охраны окружающей среды</t>
  </si>
  <si>
    <t>795 00 22</t>
  </si>
  <si>
    <t>600 00 00</t>
  </si>
  <si>
    <t>Уличное освещение</t>
  </si>
  <si>
    <t>600 01 00</t>
  </si>
  <si>
    <t>Учреждения социального обслуживания населения</t>
  </si>
  <si>
    <t>507 00 00</t>
  </si>
  <si>
    <t>317 82 00</t>
  </si>
  <si>
    <t>317 82 10</t>
  </si>
  <si>
    <t>423 82 00</t>
  </si>
  <si>
    <t>423 82 10</t>
  </si>
  <si>
    <t>423 82 70</t>
  </si>
  <si>
    <t>441 82 00</t>
  </si>
  <si>
    <t>441 82 10</t>
  </si>
  <si>
    <t>612</t>
  </si>
  <si>
    <t>470 82 00</t>
  </si>
  <si>
    <t>420 82 00</t>
  </si>
  <si>
    <t>420 82 10</t>
  </si>
  <si>
    <t>421 82 00</t>
  </si>
  <si>
    <t>421 82 10</t>
  </si>
  <si>
    <t>421 82 88</t>
  </si>
  <si>
    <t>Мероприятия по проведению оздоровительной кампании детей, за исключением детей, находящихся в трудной жизненной ситуации</t>
  </si>
  <si>
    <t>432 01 00</t>
  </si>
  <si>
    <t>Расходы на организацию отдыха детей в лагерях с дневным пребыванием, в загородных лагерях, проведению походов и культурно-массовых мероприятий для детей</t>
  </si>
  <si>
    <t>432 01 71</t>
  </si>
  <si>
    <t>Финансовое обеспечение муниципального задания на оказание муниципальных услуг ( выполнение работ)</t>
  </si>
  <si>
    <t>Предоставление субсидий бюджетным  и автономным учреждениям</t>
  </si>
  <si>
    <t xml:space="preserve">Мероприятия по поддержке и развитию культуры, искусства, кинематографии, средств массовой информации и архивного дела
</t>
  </si>
  <si>
    <t>795 00 70</t>
  </si>
  <si>
    <t>795 00 71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</si>
  <si>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</si>
  <si>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</si>
  <si>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</si>
  <si>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</si>
  <si>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</si>
  <si>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</si>
  <si>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</si>
  <si>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</si>
  <si>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</si>
  <si>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 xml:space="preserve"> 01 </t>
  </si>
  <si>
    <t>002 04 00</t>
  </si>
  <si>
    <t>Депутаты представительного органа муниципального образования</t>
  </si>
  <si>
    <t>002 12 00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</si>
  <si>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</si>
  <si>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</si>
  <si>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</si>
  <si>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</si>
  <si>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Образование</t>
  </si>
  <si>
    <t>07</t>
  </si>
  <si>
    <t>Молодежная политика и оздоровление детей</t>
  </si>
  <si>
    <t>432 00 00</t>
  </si>
  <si>
    <t>200</t>
  </si>
  <si>
    <t>Национальная экономика</t>
  </si>
  <si>
    <t>04</t>
  </si>
  <si>
    <t>Транспорт</t>
  </si>
  <si>
    <t>08</t>
  </si>
  <si>
    <t>Другие виды транспорта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</si>
  <si>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</si>
  <si>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002 04 58</t>
  </si>
  <si>
    <t>Целевые программы муниципальных образований</t>
  </si>
  <si>
    <t>795 00 00</t>
  </si>
  <si>
    <t>Судебная система</t>
  </si>
  <si>
    <t>05</t>
  </si>
  <si>
    <t>Бюджетные инвестиции в объекты капитального строительства, собственности муниципальных образований</t>
  </si>
  <si>
    <t>102 01 02</t>
  </si>
  <si>
    <t>Бюджетные инвестиции</t>
  </si>
  <si>
    <t>003</t>
  </si>
  <si>
    <t>440 00 00</t>
  </si>
  <si>
    <t>440 99 00</t>
  </si>
  <si>
    <t>795 00 01</t>
  </si>
  <si>
    <t>Национальная безопасность и правоохранительная деятельность</t>
  </si>
  <si>
    <t>098 01 04</t>
  </si>
  <si>
    <t>470 82 20</t>
  </si>
  <si>
    <t>470 82 23</t>
  </si>
  <si>
    <t>Субсидии бюджетным и автономным учреждениям на  иные цели</t>
  </si>
  <si>
    <t>Субсидии бюджетным и автономным учреждениям на текущий ремонт зданий</t>
  </si>
  <si>
    <t>471 82 22</t>
  </si>
  <si>
    <t>Муниципальная целевая программа " Капитальное строительство на территории Миасского городского округа на 2012-2014 годы"</t>
  </si>
  <si>
    <t>Дорожное хозяйство (дорожные фонды)</t>
  </si>
  <si>
    <t>Реализация переданных государственных полномочий в области охраны труда</t>
  </si>
  <si>
    <t>002 04 99</t>
  </si>
  <si>
    <t>795 00 68</t>
  </si>
  <si>
    <t>423 82 20</t>
  </si>
  <si>
    <t>Муниципальная целевая программа "Содержание, ремонт и реконструкция спортивных сооружений Миасского городского округа в 2012-2015гг."</t>
  </si>
  <si>
    <t>441 82 23</t>
  </si>
  <si>
    <t>Другие субсидии бюджетным и автономным учреждениям на иные цели</t>
  </si>
  <si>
    <t>Массовый спорт</t>
  </si>
  <si>
    <t xml:space="preserve">Субсидии бюджетным и автономным учреждениям на финансовое обеспечение муниципального задания на оказание муниципальных услуг (выполнение работ) </t>
  </si>
  <si>
    <t>Субсидии бюджетным и автономным учреждениям на иные цели</t>
  </si>
  <si>
    <t>Охрана семьи и детства</t>
  </si>
  <si>
    <t>Иные  безвозмездные и безвозвратные перечисления</t>
  </si>
  <si>
    <t>Компенсация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</si>
  <si>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520 10 00 </t>
  </si>
  <si>
    <t>520 13 00</t>
  </si>
  <si>
    <t>Выплаты приемной семье на содержание подопечных детей</t>
  </si>
  <si>
    <t>520 13 11</t>
  </si>
  <si>
    <t>520 13 12</t>
  </si>
  <si>
    <t>Другие вопросы в области социальной политики</t>
  </si>
  <si>
    <t xml:space="preserve">Организация работы органов управления социальной защиты населения муниципальных образований </t>
  </si>
  <si>
    <t>002 04 46</t>
  </si>
  <si>
    <t>002 04 34</t>
  </si>
  <si>
    <t>Расходы за счет субвенции из областного бюджета на организацию и осуществление деятельности по опеке и попечительству</t>
  </si>
  <si>
    <t>002 04 74</t>
  </si>
  <si>
    <t>ВСЕГО РАСХОДОВ</t>
  </si>
  <si>
    <t>700</t>
  </si>
  <si>
    <t>800</t>
  </si>
  <si>
    <t>Стационарная медицинская помощь</t>
  </si>
  <si>
    <t>Учреждения, обеспечивающие предоставление услуг в сфере здравоохранения</t>
  </si>
  <si>
    <t>469 00 00</t>
  </si>
  <si>
    <t>469 99 00</t>
  </si>
  <si>
    <t>470 00 00</t>
  </si>
  <si>
    <t>505 86 00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</si>
  <si>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</si>
  <si>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</si>
  <si>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</si>
  <si>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</si>
  <si>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Социальная политика</t>
  </si>
  <si>
    <t>00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</si>
  <si>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</si>
  <si>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</si>
  <si>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</si>
  <si>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</si>
  <si>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</si>
  <si>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обслуживание населения</t>
  </si>
  <si>
    <t xml:space="preserve"> Собрание депутатов Миасского городского округа</t>
  </si>
  <si>
    <t>291</t>
  </si>
  <si>
    <t>Контрольно - Счетная палата Миасского городского округа</t>
  </si>
  <si>
    <t>292</t>
  </si>
  <si>
    <t>Администрация Миасского городского округа</t>
  </si>
  <si>
    <t>283</t>
  </si>
  <si>
    <t>Больницы, клиники, госпитали, МСЧ</t>
  </si>
  <si>
    <t>287</t>
  </si>
  <si>
    <t>440 82 00</t>
  </si>
  <si>
    <t>Финансовое обеспечение муниципального задания на оказание муниципальных услуг (выполнение работ)</t>
  </si>
  <si>
    <t>440 82 10</t>
  </si>
  <si>
    <t>505 21 00</t>
  </si>
  <si>
    <t>Муниципальная целевая программа "Энергосбережение и повышение энергетической эффективности Миасского городского округа на 2011-2020 годы"</t>
  </si>
  <si>
    <t>810</t>
  </si>
  <si>
    <t>Муниципальная целевая программа "Пожарная безопасность Миасского городского округа на 2011-2013гг"</t>
  </si>
  <si>
    <t>Расходы за счет субсидий из областного бюджета на выплату ежемесячной надбавки к заработной плате молодым специалистам и оказание единовременной материальной помощи молодым специалистам</t>
  </si>
  <si>
    <t>420 82 01</t>
  </si>
  <si>
    <t>423 82 01</t>
  </si>
  <si>
    <t>431 01 39</t>
  </si>
  <si>
    <t>Другие субсидии бюджетным и автономным учреждениям на иные цели.</t>
  </si>
  <si>
    <t>440 82 24</t>
  </si>
  <si>
    <t>441 82 20</t>
  </si>
  <si>
    <t>470 82 24</t>
  </si>
  <si>
    <t>471 82 20</t>
  </si>
  <si>
    <t>423 82 24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</si>
  <si>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</si>
  <si>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096 01 00</t>
  </si>
  <si>
    <t>Меры социальной поддержки граждан</t>
  </si>
  <si>
    <t>520 00 00</t>
  </si>
  <si>
    <t>Мероприятия в сфере образования</t>
  </si>
  <si>
    <t>022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</si>
  <si>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</si>
  <si>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</si>
  <si>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</si>
  <si>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</si>
  <si>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431 99 00</t>
  </si>
  <si>
    <t xml:space="preserve">Мероприятия по проведению оздоровительной кампании детей </t>
  </si>
  <si>
    <t>Другие вопросы в области образования</t>
  </si>
  <si>
    <t>Государственная поддержка в сфере образования</t>
  </si>
  <si>
    <t xml:space="preserve">Другие вопросы в области культуры, кинематографии </t>
  </si>
  <si>
    <t>13</t>
  </si>
  <si>
    <t>Обслуживание внутреннего государственного и муниципального долга</t>
  </si>
  <si>
    <t xml:space="preserve">Физическая культура </t>
  </si>
  <si>
    <t>Другие вопросы в области физической культуры и спорта</t>
  </si>
  <si>
    <t>Другие вопросы в области здравоохранения</t>
  </si>
  <si>
    <t>Амбулаторная помощь</t>
  </si>
  <si>
    <t>Поликлиники, амбулатории, диагностические центры</t>
  </si>
  <si>
    <t>471 00 00</t>
  </si>
  <si>
    <t>Скорая медицинская помощь</t>
  </si>
  <si>
    <t>Физическая культура и спорт</t>
  </si>
  <si>
    <t>Выполнение функций бюджетными учреждениями</t>
  </si>
  <si>
    <t>001</t>
  </si>
  <si>
    <t>092 03 00</t>
  </si>
  <si>
    <t>Бюджетные инвестиции в объекты капитального строительства, не включенные в целевые программы</t>
  </si>
  <si>
    <t>Составление (изменение) списков кандидатов в присяжные заседатели  федеральных судов общей юрисдикции в Российской Федерации</t>
  </si>
  <si>
    <t xml:space="preserve"> 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</si>
  <si>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</si>
  <si>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</si>
  <si>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</si>
  <si>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</si>
  <si>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</si>
  <si>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Организация и осуществление мероприятий по работе с детьми и молодежью за счет субсидий из областного бюджета</t>
  </si>
  <si>
    <t>Расходы на оплату ТЭР, услуг водоснабжения, водоотведения, потребляемых МБУ и эл.энергии, расходуемой на уличное освещение за счет субсидий из областного  бюджета</t>
  </si>
  <si>
    <t xml:space="preserve">Финансовое управление Администрации Миасского городского округа </t>
  </si>
  <si>
    <t>284</t>
  </si>
  <si>
    <t>Управление социальной защиты населения Администрации Миасского городского округа</t>
  </si>
  <si>
    <t>285</t>
  </si>
  <si>
    <t>288</t>
  </si>
  <si>
    <t>433 99 01</t>
  </si>
  <si>
    <t>289</t>
  </si>
  <si>
    <t>290</t>
  </si>
  <si>
    <t xml:space="preserve">522 00 00 </t>
  </si>
  <si>
    <t>455</t>
  </si>
  <si>
    <t xml:space="preserve">депутатов Миасского </t>
  </si>
  <si>
    <t>городского округа</t>
  </si>
  <si>
    <t>ПО РАЗДЕЛАМ И ПОДРАЗДЕЛАМ, ЦЕЛЕВЫМ СТАТЬЯМ И ВИДАМ</t>
  </si>
  <si>
    <t>РАСХОДОВ КЛАССИФИКАЦИИ РАСХОДОВ БЮДЖЕТА</t>
  </si>
  <si>
    <t>МИАССКОГО ГОРОДСКОГО ОКРУГА</t>
  </si>
  <si>
    <t>Наименование</t>
  </si>
  <si>
    <t>Коды ведомственной классификации</t>
  </si>
  <si>
    <t>Сумма</t>
  </si>
  <si>
    <t>Исполнено</t>
  </si>
  <si>
    <t xml:space="preserve">% </t>
  </si>
  <si>
    <t>ведомство</t>
  </si>
  <si>
    <t>раздел</t>
  </si>
  <si>
    <t>подраздел</t>
  </si>
  <si>
    <t>целевая статья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</si>
  <si>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</si>
  <si>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</si>
  <si>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</si>
  <si>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>505 48 00</t>
  </si>
  <si>
    <t>Капитальный ремонт государственного жилищного фонда субъектов Российской Федерации и муниципального жилищного фонда</t>
  </si>
  <si>
    <t>Реализация мер социальной поддержки отдельных категорий граждан</t>
  </si>
  <si>
    <t>436 01 73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</si>
  <si>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</si>
  <si>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</si>
  <si>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</si>
  <si>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436 01 00</t>
  </si>
  <si>
    <t xml:space="preserve">Поддержка коммунального хозяйства </t>
  </si>
  <si>
    <t>Социальные выплаты</t>
  </si>
  <si>
    <t>005</t>
  </si>
  <si>
    <t>795 00 27</t>
  </si>
  <si>
    <t>Защита населения и территории от последствий  чрезвычайных ситуаций природного и техногенного характера гражданская оборона</t>
  </si>
  <si>
    <t>09</t>
  </si>
  <si>
    <t>470 82 30</t>
  </si>
  <si>
    <t>Финансовое обеспечение государственного задания на оказание государственных услуг (выполнение работ)</t>
  </si>
  <si>
    <t>471 82 00</t>
  </si>
  <si>
    <t>471 82 30</t>
  </si>
  <si>
    <t>МКУ МГО "Образование"</t>
  </si>
  <si>
    <t>МКУ "Управление культуры" МГО</t>
  </si>
  <si>
    <t>МКУ "Управление здравоохранения" МГО</t>
  </si>
  <si>
    <t>Мероприятия по поддержке и развитию культуры, искусства, кинематографии средств массовой информации и архивного дела</t>
  </si>
  <si>
    <t>023</t>
  </si>
  <si>
    <t>795 00 52</t>
  </si>
  <si>
    <t>795 00 53</t>
  </si>
  <si>
    <t>421 99 88</t>
  </si>
  <si>
    <t>Учреждения по внешкольной работе с детьми</t>
  </si>
  <si>
    <t xml:space="preserve">423 00 00 </t>
  </si>
  <si>
    <t>423 99 00</t>
  </si>
  <si>
    <t>Детские дома</t>
  </si>
  <si>
    <t>424 00 00</t>
  </si>
  <si>
    <t>424 99 00</t>
  </si>
  <si>
    <t>424 99 70</t>
  </si>
  <si>
    <t>Здравоохранение</t>
  </si>
  <si>
    <t>Культура, кинематография</t>
  </si>
  <si>
    <t>424 99 75</t>
  </si>
  <si>
    <t xml:space="preserve">Специальные (коррекционные) учреждения </t>
  </si>
  <si>
    <t>433 00 00</t>
  </si>
  <si>
    <t>433 99 00</t>
  </si>
  <si>
    <t>433 99 82</t>
  </si>
  <si>
    <t>Мероприятия в области образования</t>
  </si>
  <si>
    <t>436 00 00</t>
  </si>
  <si>
    <t>Иные безвозмездные и безвозвратные перечисления</t>
  </si>
  <si>
    <t xml:space="preserve">520 00 00 </t>
  </si>
  <si>
    <t>Дошкольное образование</t>
  </si>
  <si>
    <t>Детские дошкольные учреждения</t>
  </si>
  <si>
    <t>420 00 00</t>
  </si>
  <si>
    <t>420 99 00</t>
  </si>
  <si>
    <t>420 99 01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</si>
  <si>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</si>
  <si>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</si>
  <si>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</si>
  <si>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</si>
  <si>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Мероприятия в области здравоохранения, спорта и физической культуры, туризма</t>
  </si>
  <si>
    <t>795 00 67</t>
  </si>
  <si>
    <t>795 00 42</t>
  </si>
  <si>
    <t xml:space="preserve">Культура </t>
  </si>
  <si>
    <t>795 00 77</t>
  </si>
  <si>
    <t>Муниципальная целевая программа "Организация временной трудовой занятости несовершеннолетних граждан Миасского городского округа на 2012-2013 годы"</t>
  </si>
  <si>
    <t>Ремонт и противопожарные мероприятия в учреждениях культуры муниципальных образований за счет субсидий из областного бюджета</t>
  </si>
  <si>
    <t>902</t>
  </si>
  <si>
    <t>440 99 68</t>
  </si>
  <si>
    <t>Музей и постоянные выставки</t>
  </si>
  <si>
    <t>441 00 00</t>
  </si>
  <si>
    <t>Библиотеки</t>
  </si>
  <si>
    <t>442 00 00</t>
  </si>
  <si>
    <t>442 99 00</t>
  </si>
  <si>
    <t>442 99 70</t>
  </si>
  <si>
    <t>Комплектование книжных фондов библиотек муниципальных образований</t>
  </si>
  <si>
    <t>450 06 00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</si>
  <si>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</si>
  <si>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450 06 03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</si>
  <si>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</si>
  <si>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002 04 97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</si>
  <si>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</si>
  <si>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</si>
  <si>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 местных администраций</t>
  </si>
  <si>
    <t>070 05 00</t>
  </si>
  <si>
    <t xml:space="preserve">00 140 00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</si>
  <si>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</si>
  <si>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</si>
  <si>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Организация работы финансовых органов муниципальных образований за счет субсидий из областного бюджета</t>
  </si>
  <si>
    <t>002 04 60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</si>
  <si>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</si>
  <si>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</si>
  <si>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</si>
  <si>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</si>
  <si>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</si>
  <si>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</si>
  <si>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</si>
  <si>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</si>
  <si>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</si>
  <si>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</si>
  <si>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</si>
  <si>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</si>
  <si>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</si>
  <si>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Резервные фонды</t>
  </si>
  <si>
    <t>12</t>
  </si>
  <si>
    <t>070 00 00</t>
  </si>
  <si>
    <t>Руководство и управление в сфере установленных функций</t>
  </si>
  <si>
    <t>001 00 00</t>
  </si>
  <si>
    <t>795 00 74</t>
  </si>
  <si>
    <t>440 82 23</t>
  </si>
  <si>
    <t>Субсидии бюджетным и автономным учреждениям на приобретение оборудования</t>
  </si>
  <si>
    <t>440 82 20</t>
  </si>
  <si>
    <t>440 82 22</t>
  </si>
  <si>
    <t>317 00 00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</si>
  <si>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</si>
  <si>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</si>
  <si>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</si>
  <si>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</si>
  <si>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102 00 00</t>
  </si>
  <si>
    <t>Мероприятия по землеустройству и землепользованию</t>
  </si>
  <si>
    <t>Жилищно-коммунальное хозяйство</t>
  </si>
  <si>
    <t>Жилищное хозяйство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</si>
  <si>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</si>
  <si>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</si>
  <si>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</si>
  <si>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</si>
  <si>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</si>
  <si>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</si>
  <si>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</si>
  <si>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Субсидии юридическим лицам на капитальный ремонт многоквартирных домов</t>
  </si>
  <si>
    <t>910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</si>
  <si>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</si>
  <si>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</si>
  <si>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</si>
  <si>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098 02 04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</si>
  <si>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</si>
  <si>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</si>
  <si>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</si>
  <si>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</si>
  <si>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</si>
  <si>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>350 02 00</t>
  </si>
  <si>
    <t>Областная целевая программа профилактики правонарушений и усилия борьбы с преступностью в Челябинской области на 2006-2008 годы"</t>
  </si>
  <si>
    <t>522 12 00</t>
  </si>
  <si>
    <t>Областная целевая программа по реализации национального проекта "Доступное и комфортное жилье - гражданам России" в Челябинской обл.</t>
  </si>
  <si>
    <t>522 19 00</t>
  </si>
  <si>
    <t>Подпрограмма "Мероприятия по переселению граждан из жилищного фонда, признанного непригодным для проживания"</t>
  </si>
  <si>
    <t>522 19 13</t>
  </si>
  <si>
    <t>Проведение капитального ремонта многоквартирных домов</t>
  </si>
  <si>
    <t>522 19 16</t>
  </si>
  <si>
    <t xml:space="preserve">ОАП "Капитальный ремонт многоквартирных домов в Челябинской области на 2008-2011 гг. </t>
  </si>
  <si>
    <t>522 21 00</t>
  </si>
  <si>
    <t>на 9 мес.2010 года                (тыс. руб.)</t>
  </si>
  <si>
    <t>исполнения (%)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</si>
  <si>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</si>
  <si>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</si>
  <si>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</si>
  <si>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</si>
  <si>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Субсидии бюджетным и автономным учреждениям на текущий ремонт здания</t>
  </si>
  <si>
    <t>423 82 22</t>
  </si>
  <si>
    <t>441 82 22</t>
  </si>
  <si>
    <t>505 21 04</t>
  </si>
  <si>
    <t>Расходы за счет субвенций из областного бюджета на социальную поддержку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</si>
  <si>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Ежемесячное пособие по уходу за ребенком в возрасте от полутора до трех лет (Закон Челябинской области "О ежемесячном пособии по уходу за ребенком в возрасте от полутора до трех лет")</t>
  </si>
  <si>
    <t>Ежемесячное пособие на ребенка (Закон Челябинской области "О ежемесячном пособи на ребенка")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</si>
  <si>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(ежемесячная денежная выплата)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</si>
  <si>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(ежемесячная денежная выплата)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</si>
  <si>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(компенсация расходов на оплату жилых помещений и коммунальных услуг)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</si>
  <si>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(ежемесячная денежная выплата)</t>
  </si>
  <si>
    <t>Расходы за счет субвенции из областного бюджета на обеспечение дополнительных мер социальной защиты ветеранов в Челябинской области по Закону Челябинской области "О дополнительных мерах социальной защиты ветеранов в Челябинской области" (компенсация расходов на оплату жилых помещений и коммунальных услуг)</t>
  </si>
  <si>
    <t>Расходы за счет субвенции из областного бюджета на обеспечение мер социальной поддержки граждан, работающих и проживающих в сельских населенных пунктах и рабочих поселках Челябинской области</t>
  </si>
  <si>
    <t>Расходы за счет субвенции из областного бюджета на выплату областного единовременного пособия при рождении ребенка</t>
  </si>
  <si>
    <t xml:space="preserve">Расходы за счет субвенции из областного бюджета на возмещение стоимости услуг по погребению и выплату социального пособия на погребение </t>
  </si>
  <si>
    <t>Расходы за счет субвенции из областного бюджета на ежемесячную денежную выплату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</si>
  <si>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приемному родителю</t>
  </si>
  <si>
    <t>Вознаграждение, причитающееся приемному родителю</t>
  </si>
  <si>
    <t>Содержание ребенка в семье опекуна</t>
  </si>
  <si>
    <t>520 13 76</t>
  </si>
  <si>
    <t xml:space="preserve">Муниципальная целевая программа "Безопасность учреждений культуры" на 2013-2015 годы </t>
  </si>
  <si>
    <t>471 82 23</t>
  </si>
  <si>
    <t>Транспортное обеспечение органов местного самоуправления</t>
  </si>
  <si>
    <t>Эксплуатация оборудования, помещений, зданий органами местного самоуправления</t>
  </si>
  <si>
    <t>Муниципальное казенное учреждение "Управление по физической культуре, спорту, туризму"</t>
  </si>
  <si>
    <t>Реализация государственных функций в области физической культуры и спорта</t>
  </si>
  <si>
    <t>487 00 00</t>
  </si>
  <si>
    <t>487 99 00</t>
  </si>
  <si>
    <t>Целевая "Программа энергосбережения и повышения энергетической эффективности бюджетных организаций Миасского городского округа на 2011-2020 годы"</t>
  </si>
  <si>
    <t>на 2014 год                 (тыс. руб.)</t>
  </si>
  <si>
    <t>НА 2014 ГОД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</si>
  <si>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</si>
  <si>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</si>
  <si>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Общее руководство и управление общими службами и услугами органов местного самоуправления</t>
  </si>
  <si>
    <t>005 00 00</t>
  </si>
  <si>
    <t>005 01 02</t>
  </si>
  <si>
    <t>Закупка товаров, работ и услуг для муниципальных нужд</t>
  </si>
  <si>
    <t>Иные бюджетные ассигнования</t>
  </si>
  <si>
    <t>005 02 02</t>
  </si>
  <si>
    <t>Реализация муниципальных функций, связанных с общегосударственным управлением</t>
  </si>
  <si>
    <t>005 03 00</t>
  </si>
  <si>
    <t>Социальное обеспечение и иные выплаты населению</t>
  </si>
  <si>
    <t>300</t>
  </si>
  <si>
    <t>004 00 00</t>
  </si>
  <si>
    <t>Обслуживание муниципального долга</t>
  </si>
  <si>
    <t>вид расходов (группы)</t>
  </si>
  <si>
    <t>РАСПРЕДЕЛЕНИЕ БЮДЖЕТНЫХ АССИГНОВАНИЙ НА 2014 ГОД</t>
  </si>
  <si>
    <t>Расходы на оплату задолженности по договорам 2013 года</t>
  </si>
  <si>
    <t>655 00 10</t>
  </si>
  <si>
    <t>600</t>
  </si>
  <si>
    <t>477 82 00</t>
  </si>
  <si>
    <t>477 82 30</t>
  </si>
  <si>
    <t>Программа "Культура. Искусство. Творчество." на 2014-2016гг.</t>
  </si>
  <si>
    <t>Предоставление субсидий бюджетным и автономным учреждениям и иным некоммерческим организациям</t>
  </si>
  <si>
    <t>Иные закупки товаров, работ и услуг для обеспечения муниципальных нужд</t>
  </si>
  <si>
    <t>240</t>
  </si>
  <si>
    <t>Прочая закупка товаров, работ и услуг для обеспечения муниципальных нужд</t>
  </si>
  <si>
    <t>244</t>
  </si>
  <si>
    <t>Оценка недвижимости, признание прав и регулирование отношений по муниципальной собственности</t>
  </si>
  <si>
    <t>005 02 03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</si>
  <si>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</si>
  <si>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</si>
  <si>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</si>
  <si>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Субсидии бюджетным учреждениям на финансовое обеспечение муниципального (государственного) задания на оказание муниципальных (государственных) услуг (выполнение работ)</t>
  </si>
  <si>
    <t>007 00 00</t>
  </si>
  <si>
    <t>007 99 00</t>
  </si>
  <si>
    <t>Расходы на выплаты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</si>
  <si>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</si>
  <si>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</si>
  <si>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</si>
  <si>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</si>
  <si>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</si>
  <si>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008 00 00</t>
  </si>
  <si>
    <t>008 01 00</t>
  </si>
  <si>
    <t>008 01 50</t>
  </si>
  <si>
    <t>009 00 00</t>
  </si>
  <si>
    <t>009 01 00</t>
  </si>
  <si>
    <t>Реализация муниципальных функций в области национальной экономики</t>
  </si>
  <si>
    <t>310 00 00</t>
  </si>
  <si>
    <t>Мероприятия в области автомобильного транспорта</t>
  </si>
  <si>
    <t>313 00 00</t>
  </si>
  <si>
    <t>313 02 00</t>
  </si>
  <si>
    <t>Субсидии юридическим лицам (кроме некоммерческих организаций), индивидуальным предпринимателям, физическим лицам</t>
  </si>
  <si>
    <t>Прочая закупка товаров, работ и услуг для обеспечения муниципальных нужд (дорожный фонд)</t>
  </si>
  <si>
    <t>314 00 00</t>
  </si>
  <si>
    <t>314 03 00</t>
  </si>
  <si>
    <t>314 82 10</t>
  </si>
  <si>
    <t xml:space="preserve">Муниципальные программы  </t>
  </si>
  <si>
    <t>Отдельные мероприятия по землеустройству и землепользованию</t>
  </si>
  <si>
    <t>314 82 00</t>
  </si>
  <si>
    <t>651  00 00</t>
  </si>
  <si>
    <t>651 05 00</t>
  </si>
  <si>
    <t>Муниципальная  программа "Чистая вода" на территории МГО на 2014-2020 г.г.</t>
  </si>
  <si>
    <t>Муниципальная программа "Обеспечение безопасности гидротехнических сооружений на территории Миасского городского округа на 2014-2015 годы"</t>
  </si>
  <si>
    <t xml:space="preserve">05 </t>
  </si>
  <si>
    <t>Капитальные вложения в объекты недвижимого имущества
муниципальной собственности</t>
  </si>
  <si>
    <t>400</t>
  </si>
  <si>
    <t>006 00 00</t>
  </si>
  <si>
    <t>006 99 00</t>
  </si>
  <si>
    <t xml:space="preserve">795 25 00 </t>
  </si>
  <si>
    <t>Федеральный закон от 21 декабря 1996 года №159-ФЗ "О дополнительных гарантиях по социальной поддержке детей-сирот и детей, оставшихся без попечения родителей"</t>
  </si>
  <si>
    <t>505 21 03</t>
  </si>
  <si>
    <t>Капитальные вложения в объекты недвижимого имущества муниципальной собственности</t>
  </si>
  <si>
    <t>410</t>
  </si>
  <si>
    <t>Бюджетные инвестиции на приобретение объектов
недвижимого имущества в муниципальную собственность</t>
  </si>
  <si>
    <t>412</t>
  </si>
  <si>
    <t>487 99 01</t>
  </si>
  <si>
    <t>505 52 50</t>
  </si>
  <si>
    <t>505 52 80</t>
  </si>
  <si>
    <t>505 53 80</t>
  </si>
  <si>
    <t xml:space="preserve"> 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</si>
  <si>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505 63 65</t>
  </si>
  <si>
    <t xml:space="preserve">Предоставление субсидий бюджетным,
автономным учреждениям и иным некоммерческим организациям
</t>
  </si>
  <si>
    <t>505 75 00</t>
  </si>
  <si>
    <t>505 75 08</t>
  </si>
  <si>
    <t>505 75 10</t>
  </si>
  <si>
    <t>505 75 22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</si>
  <si>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(компенсация расходов на оплату жилых помещений и коммнальных услуг)</t>
  </si>
  <si>
    <t>505 75 25</t>
  </si>
  <si>
    <t>505 75 32</t>
  </si>
  <si>
    <t>505 75 35</t>
  </si>
  <si>
    <t>505 75 42</t>
  </si>
  <si>
    <t>505 75 51</t>
  </si>
  <si>
    <t>Расходы за счет субвенции из областного бюджета на обеспечение дополнительных мер социальной защиты ветеранов в Челябинской области "О дополнительных мерах социальной защиты ветеранов в Челябинской области" (компенсационные выплаты за пользование услугами связи)</t>
  </si>
  <si>
    <t>505 75 53</t>
  </si>
  <si>
    <t>505 75 60</t>
  </si>
  <si>
    <t>505 75 70</t>
  </si>
  <si>
    <t>505 75 80</t>
  </si>
  <si>
    <t>Предоставление субсидий бюджетным,
автономным учреждениям и иным некоммерческим организациям</t>
  </si>
  <si>
    <t>505 75 90</t>
  </si>
  <si>
    <t>Муниципальные программы</t>
  </si>
  <si>
    <t>795 00 80</t>
  </si>
  <si>
    <t>Расходы на выплаты персоналу в целях обеспечения
выполнения функций муниципальными органами, казенными учреждениями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</si>
  <si>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</si>
  <si>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Муниципальная программа "Оптимизация функций государственного (муниципального) управления в Миасском городском округе и повышение эффективности их обеспечения" на 2014-2016 годы</t>
  </si>
  <si>
    <t>Учреждения культуры, мероприятия в сфере культуры и кинематографии, архивного дела</t>
  </si>
  <si>
    <t>Реализция других функций, связанных с обеспечением национальной безопасности и правоохранительной деятельности</t>
  </si>
  <si>
    <t>Предупреждение и ликвидация последствий чрезвычайных ситуаций и стихийных бедствий</t>
  </si>
  <si>
    <t xml:space="preserve">Мероприятия по предупреждению и ликвидации последствий чрезвычайных ситуаций и стихийных бедствий 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</si>
  <si>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</si>
  <si>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600 05 91</t>
  </si>
  <si>
    <t>Прочие мероприятия по благоустройству
городских округов и поселений</t>
  </si>
  <si>
    <t>Предоставление субсидий бюджетным и автономным организациям</t>
  </si>
  <si>
    <t>Расходы за счет субвенций из областного бюджета на получение общедоступного и бесплатного дошкольного образования в муниципальных дошкольных образовательных организациях на финансовое обеспечение муниципального задания на оказание государственых услуг (выполнение работ)</t>
  </si>
  <si>
    <t>Расходы за счет субвенций из областного бюджета на получение общедоступного и бесплатного дошкольного образования в муниципальных дошкольных образовательных организациях</t>
  </si>
  <si>
    <t>Муниципальная программа "Поддержка и  развитие дошкольного образования в МГО на 2014-2015гг."</t>
  </si>
  <si>
    <t xml:space="preserve">Расходы за счет субвенций местным бюджетам на обеспечение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</t>
  </si>
  <si>
    <t>433 9901</t>
  </si>
  <si>
    <t>Расходы за счет субвенции из областного бюджета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</si>
  <si>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Расходы за счет субвенций из областного бюджета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</si>
  <si>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Муниципальная программа "Молодежь Миасса на 2014-2016 годы"</t>
  </si>
  <si>
    <t>Компенсация затрат родителей (законных представителей) детей – инвалидов в части организации обучения по основным общеобразовательным программам на дому.</t>
  </si>
  <si>
    <t>Реализация полномочий Российской Федерации на государственную регистрацию актов гражданского состояния</t>
  </si>
  <si>
    <t>340 82 00</t>
  </si>
  <si>
    <t>340 82 10</t>
  </si>
  <si>
    <t>655 00 20</t>
  </si>
  <si>
    <t>Расходы на реализацию мероприятий по обеспечению своевременной и полной выплаты заработной платы</t>
  </si>
  <si>
    <t>на 2014 год  (тыс. руб.)</t>
  </si>
  <si>
    <t>Коды бюджетной  классификации</t>
  </si>
  <si>
    <t>Муниципальная  программа "Развитие физической культуры и спорта в Миасском городском округе на 2012-2016 годы"</t>
  </si>
  <si>
    <t>Финансовое обеспечение муниципального задания на оказание государственных услуг</t>
  </si>
  <si>
    <t>Организации по внешкольной работе с детьми</t>
  </si>
  <si>
    <t>Обеспечение деятельности  (оказание услуг) подведомственных казенных учреждений в области физической культуры и спорта</t>
  </si>
  <si>
    <t>Обеспечение деятельности (оказание услуг) подведомственных казенных учреждений в области физической культуры и спорта</t>
  </si>
  <si>
    <t>Охрана объектов растительного и животного мира и среды их обитания</t>
  </si>
  <si>
    <t>Обеспечение жилыми помещениями  детей-сирот и детей, оставшихся без попечения родителей при наличии судебных решений о предоставлении жилых помещений по договорам социального найма, вынесенных  до 1 января 2013 года и вступивших в законную силу</t>
  </si>
  <si>
    <t xml:space="preserve">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</si>
  <si>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441 82 24</t>
  </si>
  <si>
    <t>МП "Экология Миасского городского округа 2014-2016 гг."</t>
  </si>
  <si>
    <t>МП "Экология Миасского городского округа 2014-2016гг"</t>
  </si>
  <si>
    <t>471 82 24</t>
  </si>
  <si>
    <t>Муниципальная программа " Развитие здравоохранения Миасского городского округа на 2014 год и плановый период 2015 и 2016 годов"</t>
  </si>
  <si>
    <t>795 00 38</t>
  </si>
  <si>
    <t>001 59 30</t>
  </si>
  <si>
    <t>Национальный проект "Доступное и комфортное жилье - гражданам России" на территории Миасского городского округа на 2011-2015 годы.</t>
  </si>
  <si>
    <t>795 19 00</t>
  </si>
  <si>
    <t>Подпрограмма "Подготовка земельных участков для освоения в целях жилищного строительства"</t>
  </si>
  <si>
    <t>795 19 12</t>
  </si>
  <si>
    <t>Областная целевая программа реализации национального проекта "Доступное и комфортное жилье  - гражданам России" в Челябинской области на 2011-2015гг.</t>
  </si>
  <si>
    <t>Подпрограмма "Оказание молодым семьям господдержки для улучшения жил.условий"</t>
  </si>
  <si>
    <t>522 19 14</t>
  </si>
  <si>
    <t>Национальный проект "Доступное и комфортное жилье - гражданам России" на территории МГО на 2011-2015 гг.</t>
  </si>
  <si>
    <t>795 19 14</t>
  </si>
  <si>
    <t>795 00 79</t>
  </si>
  <si>
    <t>Озеленение</t>
  </si>
  <si>
    <t>600 03 00</t>
  </si>
  <si>
    <t>795 00 69</t>
  </si>
  <si>
    <t>Национальный проект "Доступное и комфортное жилье - гражданам России" на территории МГО на 2011-2015гг.</t>
  </si>
  <si>
    <t xml:space="preserve">Подпрограмма "Модернизация объектов коммунальной инфраструктуры" </t>
  </si>
  <si>
    <t>Бюджетные инвестиции в объекты капитального строительства государственной (муниципальной) собственности</t>
  </si>
  <si>
    <t>795 00 21</t>
  </si>
  <si>
    <t>303 02 00</t>
  </si>
  <si>
    <t>420 82 24</t>
  </si>
  <si>
    <t>420 82 20</t>
  </si>
  <si>
    <t>421 82 24</t>
  </si>
  <si>
    <t>421 82 20</t>
  </si>
  <si>
    <t>Приложение 1</t>
  </si>
  <si>
    <t>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</si>
  <si>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421 99 59</t>
  </si>
  <si>
    <t>421 82 59</t>
  </si>
  <si>
    <t>Муниципальная программа "Снижение административных барьеров, оптимизация и повышение качества государственных и муниицпальных услуг на базе Муниципального автономного учреждения "Многофункциональный центр предоставления государственных и муниципальных услуг" на 2014-2016 годы"</t>
  </si>
  <si>
    <t>Муниципальная программа  "Миасс - безопасный город" на 2014-2016 годы</t>
  </si>
  <si>
    <t>МП "Капитальное строительство на территории Миасского городского округа на 2014-2016 годы"</t>
  </si>
  <si>
    <t>Муниципальная программа "Капитальное строительство на территории Миасского городского округа на 2014-2016 годы"</t>
  </si>
  <si>
    <t>Муниципальная  программа "Организация мероприятий и создание условий  для содержания объектов инженерной инфраструктуры на территории Миасского городского округа на 2013 - 2015 годы"</t>
  </si>
  <si>
    <t>Муниципальная программа "Снос и обрезка сухих, аварийных , больных деревьев, посадка деревьев и кустарников на территории МГО на 2011-2013 годы"</t>
  </si>
  <si>
    <t xml:space="preserve">Муниципальная программа улучшения водоснабжения частного сектора МГО на 2013 - 2015 годы  </t>
  </si>
  <si>
    <t>МП по реализации НП "Доступное и комфортное жилье - гражданам России"  на территории МГО на 2014-2020 г.г., подпрограмма "Модернизация объектов коммунальной инфраструктуры"</t>
  </si>
  <si>
    <t>МП по реализации НП "Доступное и комфортное жилье - гражданам России"  на территории МГО на 2014-2020 г.г.</t>
  </si>
  <si>
    <t>Подпрограмма "Оказание молодым семьям господдержки для улучшения жилищных условий"</t>
  </si>
  <si>
    <t>Муниципальная программа "Внедрение спутниковых навигационных технологий с использованием системы ГЛОНАСС в Миасском городском округе на 2014-2015гг."</t>
  </si>
  <si>
    <t>795 00 47</t>
  </si>
  <si>
    <t>Государственные программы Челябинской области</t>
  </si>
  <si>
    <t>Государственная программа Челябинской области "Развитие образования в Челябинской области" на 2014-2015 годы</t>
  </si>
  <si>
    <t>544 00 00</t>
  </si>
  <si>
    <t>544 29 00</t>
  </si>
  <si>
    <t xml:space="preserve">Муниципальная программа "Доступная среда на 2014-2015 годы" </t>
  </si>
  <si>
    <t>Государственная программа Челябинской области "Развитие физической культуры и спорта в Челябинской области" на 2014 год</t>
  </si>
  <si>
    <t>544 16 00</t>
  </si>
  <si>
    <t xml:space="preserve">Обеспечение мероприятий по капитальному ремонту многоквартирных домов,  переселению граждан из аварийного жилищного фонда и модернизации систем коммунальной инфраструктуры за счет средств бюджетов </t>
  </si>
  <si>
    <t>Обеспечение мероприятий по капитальному ремонту многоквартирных домов,  переселению граждан из аварийного жилищного фонда и модернизации систем коммунальной инфраструктуры</t>
  </si>
  <si>
    <t>098 96 00</t>
  </si>
  <si>
    <t>Другие мероприятия по реализации муниципальных функций</t>
  </si>
  <si>
    <t>005 15 01</t>
  </si>
  <si>
    <t>Государственная программа Челябинской области "Поддержка и развитие дошкольного образования в Челябинской области" на 2014 год</t>
  </si>
  <si>
    <t>544 40 00</t>
  </si>
  <si>
    <t>Подпрограмма "Развитие адаптивной физической культуры и спорта" на 2014 год</t>
  </si>
  <si>
    <t>544 16 02</t>
  </si>
  <si>
    <t>Приложение 3</t>
  </si>
  <si>
    <t>098 96 01</t>
  </si>
  <si>
    <t>Обеспечение мероприятий по капитальному ремонту многоквартирных домов</t>
  </si>
  <si>
    <t>098 96 02</t>
  </si>
  <si>
    <t>Обеспечение мероприятий по переселению граждан из аварийного жилищного фонда</t>
  </si>
  <si>
    <t>098 95 00</t>
  </si>
  <si>
    <t>098 95 02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</si>
  <si>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 содействия реформированию жилищно-коммунального хозяйства</t>
  </si>
  <si>
    <t>к Решению Собрания</t>
  </si>
  <si>
    <t>от 25.04.2014 г. №2</t>
  </si>
  <si>
    <t>от  25.04.2014 г. №2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</si>
</sst>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(* #,##0.0_);_(* \(#,##0.0\);_(* &quot;-&quot;??_);_(@_)"/>
    <numFmt numFmtId="188" formatCode="_-* #,##0.0_р_._-;\-* #,##0.0_р_._-;_-* &quot;-&quot;?_р_._-;_-@_-"/>
    <numFmt numFmtId="189" formatCode="[$-FC19]d\ mmmm\ yyyy\ &quot;г.&quot;"/>
  </numFmts>
  <fonts count="38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name val="Arial Cyr"/>
      <family val="2"/>
    </font>
    <font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1.5"/>
      <name val="Arial Cyr"/>
      <family val="2"/>
    </font>
    <font>
      <b/>
      <sz val="11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 vertical="justify"/>
    </xf>
    <xf numFmtId="164" fontId="3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5" fillId="0" borderId="13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64" fontId="5" fillId="0" borderId="13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64" fontId="8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14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4" fontId="3" fillId="0" borderId="11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5" fontId="5" fillId="0" borderId="13" xfId="0" applyNumberFormat="1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4" fontId="0" fillId="24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164" fontId="3" fillId="0" borderId="14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49" fontId="7" fillId="0" borderId="15" xfId="0" applyNumberFormat="1" applyFont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43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5" fillId="0" borderId="13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164" fontId="2" fillId="0" borderId="0" xfId="0" applyNumberFormat="1" applyFont="1" applyAlignment="1">
      <alignment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164" fontId="9" fillId="0" borderId="13" xfId="0" applyNumberFormat="1" applyFont="1" applyFill="1" applyBorder="1" applyAlignment="1">
      <alignment horizontal="center" vertical="center"/>
    </xf>
    <xf numFmtId="49" fontId="7" fillId="25" borderId="15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/>
    </xf>
    <xf numFmtId="4" fontId="0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2" fillId="0" borderId="0" xfId="0" applyNumberFormat="1" applyFont="1" applyAlignment="1">
      <alignment horizontal="center"/>
    </xf>
    <xf numFmtId="164" fontId="12" fillId="0" borderId="17" xfId="0" applyNumberFormat="1" applyFont="1" applyFill="1" applyBorder="1" applyAlignment="1">
      <alignment horizontal="center"/>
    </xf>
    <xf numFmtId="164" fontId="12" fillId="0" borderId="13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 wrapText="1"/>
    </xf>
    <xf numFmtId="164" fontId="9" fillId="25" borderId="13" xfId="0" applyNumberFormat="1" applyFont="1" applyFill="1" applyBorder="1" applyAlignment="1">
      <alignment horizontal="center"/>
    </xf>
    <xf numFmtId="164" fontId="9" fillId="0" borderId="14" xfId="0" applyNumberFormat="1" applyFont="1" applyFill="1" applyBorder="1" applyAlignment="1">
      <alignment horizontal="center"/>
    </xf>
    <xf numFmtId="164" fontId="12" fillId="0" borderId="18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justify"/>
    </xf>
    <xf numFmtId="0" fontId="9" fillId="24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0" fontId="9" fillId="25" borderId="0" xfId="0" applyFont="1" applyFill="1" applyAlignment="1">
      <alignment horizontal="center"/>
    </xf>
    <xf numFmtId="0" fontId="9" fillId="25" borderId="0" xfId="0" applyFont="1" applyFill="1" applyAlignment="1">
      <alignment/>
    </xf>
    <xf numFmtId="0" fontId="32" fillId="25" borderId="0" xfId="0" applyFont="1" applyFill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/>
    </xf>
    <xf numFmtId="164" fontId="32" fillId="0" borderId="13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32" fillId="0" borderId="0" xfId="0" applyFont="1" applyAlignment="1">
      <alignment/>
    </xf>
    <xf numFmtId="164" fontId="9" fillId="0" borderId="0" xfId="0" applyNumberFormat="1" applyFont="1" applyAlignment="1">
      <alignment/>
    </xf>
    <xf numFmtId="43" fontId="9" fillId="0" borderId="0" xfId="61" applyFont="1" applyAlignment="1">
      <alignment horizontal="center"/>
    </xf>
    <xf numFmtId="43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1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25" borderId="20" xfId="0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left" vertical="center" wrapText="1"/>
    </xf>
    <xf numFmtId="49" fontId="7" fillId="25" borderId="20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6" fillId="25" borderId="20" xfId="0" applyFont="1" applyFill="1" applyBorder="1" applyAlignment="1">
      <alignment horizontal="left" vertical="center" wrapText="1"/>
    </xf>
    <xf numFmtId="0" fontId="6" fillId="25" borderId="22" xfId="0" applyFont="1" applyFill="1" applyBorder="1" applyAlignment="1">
      <alignment horizontal="left" wrapText="1"/>
    </xf>
    <xf numFmtId="43" fontId="7" fillId="0" borderId="0" xfId="0" applyNumberFormat="1" applyFont="1" applyAlignment="1">
      <alignment horizontal="center"/>
    </xf>
    <xf numFmtId="49" fontId="4" fillId="0" borderId="16" xfId="0" applyNumberFormat="1" applyFont="1" applyFill="1" applyBorder="1" applyAlignment="1">
      <alignment horizontal="left"/>
    </xf>
    <xf numFmtId="49" fontId="7" fillId="25" borderId="16" xfId="0" applyNumberFormat="1" applyFont="1" applyFill="1" applyBorder="1" applyAlignment="1">
      <alignment horizontal="left" vertical="center" wrapText="1"/>
    </xf>
    <xf numFmtId="49" fontId="7" fillId="0" borderId="23" xfId="0" applyNumberFormat="1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 vertical="justify"/>
    </xf>
    <xf numFmtId="49" fontId="11" fillId="0" borderId="26" xfId="0" applyNumberFormat="1" applyFont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/>
    </xf>
    <xf numFmtId="49" fontId="11" fillId="0" borderId="16" xfId="0" applyNumberFormat="1" applyFont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49" fontId="7" fillId="25" borderId="16" xfId="0" applyNumberFormat="1" applyFont="1" applyFill="1" applyBorder="1" applyAlignment="1">
      <alignment horizontal="left"/>
    </xf>
    <xf numFmtId="0" fontId="7" fillId="0" borderId="16" xfId="0" applyFont="1" applyBorder="1" applyAlignment="1">
      <alignment horizontal="left" vertical="center" wrapText="1"/>
    </xf>
    <xf numFmtId="49" fontId="11" fillId="0" borderId="25" xfId="0" applyNumberFormat="1" applyFont="1" applyFill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vertical="justify"/>
    </xf>
    <xf numFmtId="0" fontId="7" fillId="0" borderId="28" xfId="0" applyFont="1" applyBorder="1" applyAlignment="1">
      <alignment/>
    </xf>
    <xf numFmtId="49" fontId="11" fillId="0" borderId="30" xfId="0" applyNumberFormat="1" applyFont="1" applyBorder="1" applyAlignment="1">
      <alignment horizontal="left" vertical="center" wrapText="1"/>
    </xf>
    <xf numFmtId="49" fontId="11" fillId="0" borderId="31" xfId="0" applyNumberFormat="1" applyFont="1" applyBorder="1" applyAlignment="1">
      <alignment horizontal="left" vertical="center" wrapText="1"/>
    </xf>
    <xf numFmtId="49" fontId="7" fillId="0" borderId="32" xfId="0" applyNumberFormat="1" applyFont="1" applyBorder="1" applyAlignment="1">
      <alignment horizontal="left" vertical="center" wrapText="1"/>
    </xf>
    <xf numFmtId="49" fontId="7" fillId="0" borderId="32" xfId="0" applyNumberFormat="1" applyFont="1" applyFill="1" applyBorder="1" applyAlignment="1">
      <alignment horizontal="left" vertical="center" wrapText="1"/>
    </xf>
    <xf numFmtId="49" fontId="7" fillId="24" borderId="32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left" vertical="center" wrapText="1"/>
    </xf>
    <xf numFmtId="49" fontId="11" fillId="0" borderId="32" xfId="0" applyNumberFormat="1" applyFont="1" applyFill="1" applyBorder="1" applyAlignment="1">
      <alignment horizontal="left" vertical="center" wrapText="1"/>
    </xf>
    <xf numFmtId="49" fontId="7" fillId="0" borderId="32" xfId="0" applyNumberFormat="1" applyFont="1" applyFill="1" applyBorder="1" applyAlignment="1">
      <alignment horizontal="left"/>
    </xf>
    <xf numFmtId="49" fontId="11" fillId="0" borderId="32" xfId="0" applyNumberFormat="1" applyFont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left" vertical="center" wrapText="1"/>
    </xf>
    <xf numFmtId="49" fontId="11" fillId="24" borderId="32" xfId="0" applyNumberFormat="1" applyFont="1" applyFill="1" applyBorder="1" applyAlignment="1">
      <alignment horizontal="left" vertical="center" wrapText="1"/>
    </xf>
    <xf numFmtId="49" fontId="33" fillId="0" borderId="15" xfId="0" applyNumberFormat="1" applyFont="1" applyFill="1" applyBorder="1" applyAlignment="1">
      <alignment horizontal="left" vertical="center" wrapText="1"/>
    </xf>
    <xf numFmtId="49" fontId="11" fillId="25" borderId="15" xfId="0" applyNumberFormat="1" applyFont="1" applyFill="1" applyBorder="1" applyAlignment="1">
      <alignment horizontal="left" vertical="center" wrapText="1"/>
    </xf>
    <xf numFmtId="49" fontId="33" fillId="25" borderId="15" xfId="0" applyNumberFormat="1" applyFont="1" applyFill="1" applyBorder="1" applyAlignment="1">
      <alignment horizontal="left" vertical="center" wrapText="1"/>
    </xf>
    <xf numFmtId="49" fontId="7" fillId="25" borderId="15" xfId="0" applyNumberFormat="1" applyFont="1" applyFill="1" applyBorder="1" applyAlignment="1">
      <alignment horizontal="left"/>
    </xf>
    <xf numFmtId="49" fontId="11" fillId="0" borderId="33" xfId="0" applyNumberFormat="1" applyFont="1" applyBorder="1" applyAlignment="1">
      <alignment horizontal="left" vertical="center" wrapText="1"/>
    </xf>
    <xf numFmtId="49" fontId="11" fillId="0" borderId="34" xfId="0" applyNumberFormat="1" applyFont="1" applyFill="1" applyBorder="1" applyAlignment="1">
      <alignment horizontal="left" vertical="center" wrapText="1"/>
    </xf>
    <xf numFmtId="165" fontId="35" fillId="0" borderId="35" xfId="61" applyNumberFormat="1" applyFont="1" applyFill="1" applyBorder="1" applyAlignment="1">
      <alignment horizontal="center"/>
    </xf>
    <xf numFmtId="165" fontId="34" fillId="0" borderId="36" xfId="0" applyNumberFormat="1" applyFont="1" applyFill="1" applyBorder="1" applyAlignment="1">
      <alignment horizontal="center" vertical="center"/>
    </xf>
    <xf numFmtId="165" fontId="35" fillId="0" borderId="35" xfId="0" applyNumberFormat="1" applyFont="1" applyFill="1" applyBorder="1" applyAlignment="1">
      <alignment horizontal="center" vertical="center" wrapText="1"/>
    </xf>
    <xf numFmtId="165" fontId="35" fillId="0" borderId="35" xfId="0" applyNumberFormat="1" applyFont="1" applyFill="1" applyBorder="1" applyAlignment="1">
      <alignment horizontal="center" vertical="center"/>
    </xf>
    <xf numFmtId="165" fontId="34" fillId="0" borderId="35" xfId="0" applyNumberFormat="1" applyFont="1" applyFill="1" applyBorder="1" applyAlignment="1">
      <alignment horizontal="center" vertical="center"/>
    </xf>
    <xf numFmtId="165" fontId="35" fillId="25" borderId="35" xfId="61" applyNumberFormat="1" applyFont="1" applyFill="1" applyBorder="1" applyAlignment="1">
      <alignment horizontal="center"/>
    </xf>
    <xf numFmtId="165" fontId="35" fillId="0" borderId="35" xfId="0" applyNumberFormat="1" applyFont="1" applyBorder="1" applyAlignment="1">
      <alignment horizontal="center"/>
    </xf>
    <xf numFmtId="165" fontId="35" fillId="25" borderId="35" xfId="0" applyNumberFormat="1" applyFont="1" applyFill="1" applyBorder="1" applyAlignment="1">
      <alignment horizontal="center" vertical="center" wrapText="1"/>
    </xf>
    <xf numFmtId="165" fontId="35" fillId="25" borderId="35" xfId="0" applyNumberFormat="1" applyFont="1" applyFill="1" applyBorder="1" applyAlignment="1">
      <alignment horizontal="center" vertical="center"/>
    </xf>
    <xf numFmtId="165" fontId="34" fillId="0" borderId="35" xfId="0" applyNumberFormat="1" applyFont="1" applyFill="1" applyBorder="1" applyAlignment="1">
      <alignment horizontal="center" vertical="center" wrapText="1"/>
    </xf>
    <xf numFmtId="165" fontId="35" fillId="25" borderId="35" xfId="0" applyNumberFormat="1" applyFont="1" applyFill="1" applyBorder="1" applyAlignment="1">
      <alignment horizontal="center"/>
    </xf>
    <xf numFmtId="49" fontId="7" fillId="0" borderId="19" xfId="0" applyNumberFormat="1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49" fontId="7" fillId="0" borderId="39" xfId="0" applyNumberFormat="1" applyFont="1" applyBorder="1" applyAlignment="1">
      <alignment horizontal="left" vertical="justify"/>
    </xf>
    <xf numFmtId="0" fontId="7" fillId="0" borderId="40" xfId="0" applyFont="1" applyBorder="1" applyAlignment="1">
      <alignment horizontal="left" vertical="justify"/>
    </xf>
    <xf numFmtId="49" fontId="11" fillId="0" borderId="41" xfId="0" applyNumberFormat="1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/>
    </xf>
    <xf numFmtId="0" fontId="7" fillId="0" borderId="44" xfId="0" applyFont="1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left"/>
    </xf>
    <xf numFmtId="0" fontId="7" fillId="0" borderId="20" xfId="0" applyFont="1" applyFill="1" applyBorder="1" applyAlignment="1">
      <alignment horizontal="left" vertical="justify"/>
    </xf>
    <xf numFmtId="49" fontId="7" fillId="25" borderId="32" xfId="0" applyNumberFormat="1" applyFont="1" applyFill="1" applyBorder="1" applyAlignment="1">
      <alignment horizontal="left"/>
    </xf>
    <xf numFmtId="49" fontId="11" fillId="0" borderId="15" xfId="0" applyNumberFormat="1" applyFont="1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left" vertical="top" wrapText="1"/>
    </xf>
    <xf numFmtId="49" fontId="7" fillId="0" borderId="16" xfId="0" applyNumberFormat="1" applyFont="1" applyFill="1" applyBorder="1" applyAlignment="1">
      <alignment horizontal="left" vertical="top" wrapText="1"/>
    </xf>
    <xf numFmtId="49" fontId="7" fillId="0" borderId="32" xfId="0" applyNumberFormat="1" applyFont="1" applyFill="1" applyBorder="1" applyAlignment="1">
      <alignment horizontal="left" vertical="top" wrapText="1"/>
    </xf>
    <xf numFmtId="49" fontId="7" fillId="0" borderId="16" xfId="0" applyNumberFormat="1" applyFont="1" applyFill="1" applyBorder="1" applyAlignment="1">
      <alignment horizontal="left" wrapText="1"/>
    </xf>
    <xf numFmtId="49" fontId="7" fillId="0" borderId="32" xfId="0" applyNumberFormat="1" applyFont="1" applyFill="1" applyBorder="1" applyAlignment="1">
      <alignment horizontal="left" wrapText="1"/>
    </xf>
    <xf numFmtId="186" fontId="7" fillId="0" borderId="32" xfId="61" applyNumberFormat="1" applyFont="1" applyFill="1" applyBorder="1" applyAlignment="1">
      <alignment horizontal="left"/>
    </xf>
    <xf numFmtId="49" fontId="7" fillId="25" borderId="16" xfId="0" applyNumberFormat="1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/>
    </xf>
    <xf numFmtId="0" fontId="7" fillId="25" borderId="20" xfId="0" applyFont="1" applyFill="1" applyBorder="1" applyAlignment="1">
      <alignment horizontal="left" vertical="justify" wrapText="1"/>
    </xf>
    <xf numFmtId="0" fontId="7" fillId="25" borderId="20" xfId="0" applyNumberFormat="1" applyFont="1" applyFill="1" applyBorder="1" applyAlignment="1">
      <alignment horizontal="left" vertical="center" wrapText="1"/>
    </xf>
    <xf numFmtId="49" fontId="33" fillId="25" borderId="15" xfId="0" applyNumberFormat="1" applyFont="1" applyFill="1" applyBorder="1" applyAlignment="1">
      <alignment horizontal="left"/>
    </xf>
    <xf numFmtId="0" fontId="7" fillId="0" borderId="26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9" fontId="7" fillId="25" borderId="32" xfId="0" applyNumberFormat="1" applyFont="1" applyFill="1" applyBorder="1" applyAlignment="1">
      <alignment horizontal="left" vertical="center" wrapText="1"/>
    </xf>
    <xf numFmtId="0" fontId="6" fillId="25" borderId="22" xfId="0" applyFont="1" applyFill="1" applyBorder="1" applyAlignment="1">
      <alignment horizontal="left"/>
    </xf>
    <xf numFmtId="49" fontId="6" fillId="25" borderId="15" xfId="0" applyNumberFormat="1" applyFont="1" applyFill="1" applyBorder="1" applyAlignment="1">
      <alignment horizontal="left"/>
    </xf>
    <xf numFmtId="0" fontId="6" fillId="25" borderId="32" xfId="0" applyFont="1" applyFill="1" applyBorder="1" applyAlignment="1">
      <alignment horizontal="left"/>
    </xf>
    <xf numFmtId="0" fontId="7" fillId="0" borderId="34" xfId="0" applyFont="1" applyBorder="1" applyAlignment="1">
      <alignment horizontal="left" vertical="justify" wrapText="1"/>
    </xf>
    <xf numFmtId="0" fontId="7" fillId="0" borderId="20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49" fontId="7" fillId="0" borderId="45" xfId="0" applyNumberFormat="1" applyFont="1" applyBorder="1" applyAlignment="1">
      <alignment horizontal="left" vertical="center" wrapText="1"/>
    </xf>
    <xf numFmtId="49" fontId="7" fillId="0" borderId="40" xfId="0" applyNumberFormat="1" applyFont="1" applyFill="1" applyBorder="1" applyAlignment="1">
      <alignment horizontal="left" vertical="center" wrapText="1"/>
    </xf>
    <xf numFmtId="49" fontId="7" fillId="0" borderId="46" xfId="0" applyNumberFormat="1" applyFont="1" applyFill="1" applyBorder="1" applyAlignment="1">
      <alignment horizontal="left" vertical="center" wrapText="1"/>
    </xf>
    <xf numFmtId="165" fontId="35" fillId="0" borderId="44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left" vertical="center" wrapText="1"/>
    </xf>
    <xf numFmtId="0" fontId="7" fillId="25" borderId="21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wrapText="1"/>
    </xf>
    <xf numFmtId="49" fontId="4" fillId="0" borderId="16" xfId="0" applyNumberFormat="1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center"/>
    </xf>
    <xf numFmtId="164" fontId="34" fillId="0" borderId="47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64" fontId="36" fillId="0" borderId="35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25" borderId="20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left" vertical="center" wrapText="1"/>
    </xf>
    <xf numFmtId="164" fontId="5" fillId="0" borderId="35" xfId="0" applyNumberFormat="1" applyFont="1" applyFill="1" applyBorder="1" applyAlignment="1">
      <alignment horizontal="center" vertical="center" wrapText="1"/>
    </xf>
    <xf numFmtId="164" fontId="5" fillId="0" borderId="35" xfId="0" applyNumberFormat="1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 vertical="center" wrapText="1"/>
    </xf>
    <xf numFmtId="164" fontId="5" fillId="0" borderId="35" xfId="0" applyNumberFormat="1" applyFont="1" applyFill="1" applyBorder="1" applyAlignment="1">
      <alignment horizontal="center" vertical="center"/>
    </xf>
    <xf numFmtId="0" fontId="7" fillId="0" borderId="48" xfId="0" applyFont="1" applyBorder="1" applyAlignment="1">
      <alignment horizontal="left"/>
    </xf>
    <xf numFmtId="0" fontId="7" fillId="0" borderId="46" xfId="0" applyFont="1" applyBorder="1" applyAlignment="1">
      <alignment horizontal="left" vertical="justify" wrapText="1"/>
    </xf>
    <xf numFmtId="49" fontId="4" fillId="0" borderId="15" xfId="0" applyNumberFormat="1" applyFont="1" applyFill="1" applyBorder="1" applyAlignment="1">
      <alignment horizontal="left"/>
    </xf>
    <xf numFmtId="49" fontId="4" fillId="0" borderId="32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32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top" wrapText="1"/>
    </xf>
    <xf numFmtId="49" fontId="7" fillId="0" borderId="32" xfId="0" applyNumberFormat="1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justify" vertical="top" wrapText="1"/>
    </xf>
    <xf numFmtId="49" fontId="4" fillId="0" borderId="32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 vertical="center" wrapText="1"/>
    </xf>
    <xf numFmtId="49" fontId="37" fillId="24" borderId="15" xfId="0" applyNumberFormat="1" applyFont="1" applyFill="1" applyBorder="1" applyAlignment="1">
      <alignment horizontal="left" vertical="center" wrapText="1"/>
    </xf>
    <xf numFmtId="49" fontId="4" fillId="0" borderId="32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49" fontId="4" fillId="0" borderId="32" xfId="0" applyNumberFormat="1" applyFont="1" applyBorder="1" applyAlignment="1">
      <alignment horizontal="left" vertical="center" wrapText="1"/>
    </xf>
    <xf numFmtId="49" fontId="37" fillId="0" borderId="15" xfId="0" applyNumberFormat="1" applyFont="1" applyBorder="1" applyAlignment="1">
      <alignment horizontal="left" vertical="center" wrapText="1"/>
    </xf>
    <xf numFmtId="49" fontId="37" fillId="0" borderId="49" xfId="0" applyNumberFormat="1" applyFont="1" applyBorder="1" applyAlignment="1">
      <alignment horizontal="left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vertical="justify"/>
    </xf>
    <xf numFmtId="49" fontId="7" fillId="0" borderId="15" xfId="0" applyNumberFormat="1" applyFont="1" applyFill="1" applyBorder="1" applyAlignment="1">
      <alignment horizontal="left" wrapText="1"/>
    </xf>
    <xf numFmtId="49" fontId="7" fillId="0" borderId="15" xfId="0" applyNumberFormat="1" applyFont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7" fillId="0" borderId="30" xfId="0" applyNumberFormat="1" applyFont="1" applyFill="1" applyBorder="1" applyAlignment="1">
      <alignment horizontal="left" vertical="center" wrapText="1"/>
    </xf>
    <xf numFmtId="49" fontId="11" fillId="0" borderId="33" xfId="0" applyNumberFormat="1" applyFont="1" applyFill="1" applyBorder="1" applyAlignment="1">
      <alignment horizontal="left" vertical="center" wrapText="1"/>
    </xf>
    <xf numFmtId="49" fontId="0" fillId="0" borderId="24" xfId="0" applyNumberFormat="1" applyBorder="1" applyAlignment="1">
      <alignment/>
    </xf>
    <xf numFmtId="2" fontId="2" fillId="0" borderId="0" xfId="0" applyNumberFormat="1" applyFont="1" applyAlignment="1">
      <alignment/>
    </xf>
    <xf numFmtId="49" fontId="7" fillId="0" borderId="50" xfId="0" applyNumberFormat="1" applyFont="1" applyBorder="1" applyAlignment="1">
      <alignment horizontal="left" vertical="center" wrapText="1"/>
    </xf>
    <xf numFmtId="49" fontId="11" fillId="0" borderId="51" xfId="0" applyNumberFormat="1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49" fontId="7" fillId="0" borderId="4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49" fontId="7" fillId="0" borderId="49" xfId="0" applyNumberFormat="1" applyFont="1" applyFill="1" applyBorder="1" applyAlignment="1">
      <alignment horizontal="center"/>
    </xf>
    <xf numFmtId="49" fontId="11" fillId="0" borderId="49" xfId="0" applyNumberFormat="1" applyFont="1" applyBorder="1" applyAlignment="1">
      <alignment horizontal="center" vertical="center" wrapText="1"/>
    </xf>
    <xf numFmtId="49" fontId="7" fillId="25" borderId="49" xfId="0" applyNumberFormat="1" applyFont="1" applyFill="1" applyBorder="1" applyAlignment="1">
      <alignment horizontal="center"/>
    </xf>
    <xf numFmtId="49" fontId="11" fillId="0" borderId="49" xfId="0" applyNumberFormat="1" applyFont="1" applyFill="1" applyBorder="1" applyAlignment="1">
      <alignment horizontal="center"/>
    </xf>
    <xf numFmtId="49" fontId="7" fillId="0" borderId="49" xfId="0" applyNumberFormat="1" applyFont="1" applyFill="1" applyBorder="1" applyAlignment="1">
      <alignment horizontal="center" vertical="top" wrapText="1"/>
    </xf>
    <xf numFmtId="49" fontId="7" fillId="0" borderId="50" xfId="0" applyNumberFormat="1" applyFont="1" applyFill="1" applyBorder="1" applyAlignment="1">
      <alignment horizontal="left"/>
    </xf>
    <xf numFmtId="49" fontId="7" fillId="25" borderId="50" xfId="0" applyNumberFormat="1" applyFont="1" applyFill="1" applyBorder="1" applyAlignment="1">
      <alignment horizontal="left"/>
    </xf>
    <xf numFmtId="49" fontId="4" fillId="0" borderId="49" xfId="0" applyNumberFormat="1" applyFont="1" applyFill="1" applyBorder="1" applyAlignment="1">
      <alignment horizontal="left" vertical="center" wrapText="1"/>
    </xf>
    <xf numFmtId="49" fontId="11" fillId="0" borderId="49" xfId="0" applyNumberFormat="1" applyFont="1" applyFill="1" applyBorder="1" applyAlignment="1">
      <alignment horizontal="center" vertical="center" wrapText="1"/>
    </xf>
    <xf numFmtId="49" fontId="33" fillId="0" borderId="49" xfId="0" applyNumberFormat="1" applyFont="1" applyFill="1" applyBorder="1" applyAlignment="1">
      <alignment horizontal="center" vertical="center" wrapText="1"/>
    </xf>
    <xf numFmtId="49" fontId="7" fillId="0" borderId="50" xfId="0" applyNumberFormat="1" applyFont="1" applyFill="1" applyBorder="1" applyAlignment="1">
      <alignment horizontal="left" vertical="top" wrapText="1"/>
    </xf>
    <xf numFmtId="49" fontId="7" fillId="0" borderId="49" xfId="0" applyNumberFormat="1" applyFont="1" applyBorder="1" applyAlignment="1">
      <alignment horizontal="left" vertical="top" wrapText="1"/>
    </xf>
    <xf numFmtId="49" fontId="7" fillId="0" borderId="49" xfId="0" applyNumberFormat="1" applyFont="1" applyBorder="1" applyAlignment="1">
      <alignment horizontal="justify" vertical="top" wrapText="1"/>
    </xf>
    <xf numFmtId="49" fontId="7" fillId="0" borderId="49" xfId="0" applyNumberFormat="1" applyFont="1" applyBorder="1" applyAlignment="1">
      <alignment horizontal="left" vertical="center" wrapText="1"/>
    </xf>
    <xf numFmtId="49" fontId="7" fillId="0" borderId="49" xfId="0" applyNumberFormat="1" applyFont="1" applyFill="1" applyBorder="1" applyAlignment="1">
      <alignment horizontal="left" vertical="top" wrapText="1"/>
    </xf>
    <xf numFmtId="49" fontId="4" fillId="0" borderId="49" xfId="0" applyNumberFormat="1" applyFont="1" applyBorder="1" applyAlignment="1">
      <alignment horizontal="left" vertical="center" wrapText="1"/>
    </xf>
    <xf numFmtId="49" fontId="11" fillId="25" borderId="49" xfId="0" applyNumberFormat="1" applyFont="1" applyFill="1" applyBorder="1" applyAlignment="1">
      <alignment horizontal="center" vertical="center" wrapText="1"/>
    </xf>
    <xf numFmtId="49" fontId="7" fillId="25" borderId="49" xfId="0" applyNumberFormat="1" applyFont="1" applyFill="1" applyBorder="1" applyAlignment="1">
      <alignment horizontal="center" vertical="center" wrapText="1"/>
    </xf>
    <xf numFmtId="49" fontId="11" fillId="25" borderId="50" xfId="0" applyNumberFormat="1" applyFont="1" applyFill="1" applyBorder="1" applyAlignment="1">
      <alignment horizontal="left" vertical="center" wrapText="1"/>
    </xf>
    <xf numFmtId="49" fontId="33" fillId="25" borderId="49" xfId="0" applyNumberFormat="1" applyFont="1" applyFill="1" applyBorder="1" applyAlignment="1">
      <alignment horizontal="center" vertical="center" wrapText="1"/>
    </xf>
    <xf numFmtId="49" fontId="6" fillId="25" borderId="49" xfId="0" applyNumberFormat="1" applyFont="1" applyFill="1" applyBorder="1" applyAlignment="1">
      <alignment horizontal="center"/>
    </xf>
    <xf numFmtId="49" fontId="6" fillId="25" borderId="49" xfId="0" applyNumberFormat="1" applyFont="1" applyFill="1" applyBorder="1" applyAlignment="1">
      <alignment horizontal="left"/>
    </xf>
    <xf numFmtId="49" fontId="11" fillId="25" borderId="49" xfId="0" applyNumberFormat="1" applyFont="1" applyFill="1" applyBorder="1" applyAlignment="1">
      <alignment horizontal="left" vertical="center" wrapText="1"/>
    </xf>
    <xf numFmtId="49" fontId="37" fillId="24" borderId="49" xfId="0" applyNumberFormat="1" applyFont="1" applyFill="1" applyBorder="1" applyAlignment="1">
      <alignment horizontal="left" vertical="center" wrapText="1"/>
    </xf>
    <xf numFmtId="49" fontId="7" fillId="25" borderId="50" xfId="0" applyNumberFormat="1" applyFont="1" applyFill="1" applyBorder="1" applyAlignment="1">
      <alignment horizontal="left" vertical="center" wrapText="1"/>
    </xf>
    <xf numFmtId="49" fontId="33" fillId="25" borderId="5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49" xfId="0" applyNumberFormat="1" applyFont="1" applyFill="1" applyBorder="1" applyAlignment="1">
      <alignment horizontal="left" vertical="center" wrapText="1"/>
    </xf>
    <xf numFmtId="49" fontId="7" fillId="25" borderId="49" xfId="0" applyNumberFormat="1" applyFont="1" applyFill="1" applyBorder="1" applyAlignment="1">
      <alignment horizontal="left"/>
    </xf>
    <xf numFmtId="49" fontId="8" fillId="0" borderId="49" xfId="0" applyNumberFormat="1" applyFont="1" applyBorder="1" applyAlignment="1">
      <alignment horizontal="left" vertical="center" wrapText="1"/>
    </xf>
    <xf numFmtId="49" fontId="33" fillId="25" borderId="49" xfId="0" applyNumberFormat="1" applyFont="1" applyFill="1" applyBorder="1" applyAlignment="1">
      <alignment horizontal="center"/>
    </xf>
    <xf numFmtId="49" fontId="33" fillId="25" borderId="49" xfId="0" applyNumberFormat="1" applyFont="1" applyFill="1" applyBorder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vertical="justify"/>
    </xf>
    <xf numFmtId="0" fontId="7" fillId="25" borderId="13" xfId="0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25" borderId="13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6" fillId="25" borderId="52" xfId="0" applyFont="1" applyFill="1" applyBorder="1" applyAlignment="1">
      <alignment horizontal="justify"/>
    </xf>
    <xf numFmtId="0" fontId="6" fillId="25" borderId="52" xfId="0" applyFont="1" applyFill="1" applyBorder="1" applyAlignment="1">
      <alignment horizontal="left" wrapText="1"/>
    </xf>
    <xf numFmtId="0" fontId="6" fillId="25" borderId="13" xfId="0" applyFont="1" applyFill="1" applyBorder="1" applyAlignment="1">
      <alignment horizontal="left" vertical="center" wrapText="1"/>
    </xf>
    <xf numFmtId="0" fontId="6" fillId="25" borderId="52" xfId="0" applyFont="1" applyFill="1" applyBorder="1" applyAlignment="1">
      <alignment wrapText="1"/>
    </xf>
    <xf numFmtId="0" fontId="7" fillId="25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25" borderId="13" xfId="0" applyFont="1" applyFill="1" applyBorder="1" applyAlignment="1">
      <alignment horizontal="left" vertical="justify" wrapText="1"/>
    </xf>
    <xf numFmtId="0" fontId="7" fillId="25" borderId="13" xfId="0" applyFont="1" applyFill="1" applyBorder="1" applyAlignment="1">
      <alignment vertical="center" wrapText="1"/>
    </xf>
    <xf numFmtId="0" fontId="7" fillId="25" borderId="13" xfId="0" applyNumberFormat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6" fillId="25" borderId="13" xfId="0" applyFont="1" applyFill="1" applyBorder="1" applyAlignment="1">
      <alignment vertical="center" wrapText="1"/>
    </xf>
    <xf numFmtId="0" fontId="7" fillId="0" borderId="53" xfId="0" applyFont="1" applyBorder="1" applyAlignment="1">
      <alignment horizontal="left" vertical="center" wrapText="1"/>
    </xf>
    <xf numFmtId="49" fontId="7" fillId="0" borderId="54" xfId="0" applyNumberFormat="1" applyFont="1" applyBorder="1" applyAlignment="1">
      <alignment vertical="justify"/>
    </xf>
    <xf numFmtId="0" fontId="11" fillId="0" borderId="12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164" fontId="34" fillId="0" borderId="48" xfId="0" applyNumberFormat="1" applyFont="1" applyFill="1" applyBorder="1" applyAlignment="1">
      <alignment horizontal="center" vertical="center" wrapText="1"/>
    </xf>
    <xf numFmtId="164" fontId="35" fillId="0" borderId="35" xfId="0" applyNumberFormat="1" applyFont="1" applyFill="1" applyBorder="1" applyAlignment="1">
      <alignment horizontal="center" vertical="center" wrapText="1"/>
    </xf>
    <xf numFmtId="164" fontId="35" fillId="0" borderId="35" xfId="0" applyNumberFormat="1" applyFont="1" applyFill="1" applyBorder="1" applyAlignment="1">
      <alignment horizontal="center" vertical="center"/>
    </xf>
    <xf numFmtId="164" fontId="34" fillId="0" borderId="35" xfId="0" applyNumberFormat="1" applyFont="1" applyFill="1" applyBorder="1" applyAlignment="1">
      <alignment horizontal="center" vertical="center" wrapText="1"/>
    </xf>
    <xf numFmtId="164" fontId="35" fillId="0" borderId="35" xfId="61" applyNumberFormat="1" applyFont="1" applyFill="1" applyBorder="1" applyAlignment="1">
      <alignment horizontal="center"/>
    </xf>
    <xf numFmtId="164" fontId="35" fillId="25" borderId="35" xfId="61" applyNumberFormat="1" applyFont="1" applyFill="1" applyBorder="1" applyAlignment="1">
      <alignment horizontal="center"/>
    </xf>
    <xf numFmtId="164" fontId="36" fillId="0" borderId="35" xfId="61" applyNumberFormat="1" applyFont="1" applyFill="1" applyBorder="1" applyAlignment="1">
      <alignment horizontal="center"/>
    </xf>
    <xf numFmtId="164" fontId="35" fillId="0" borderId="35" xfId="0" applyNumberFormat="1" applyFont="1" applyBorder="1" applyAlignment="1">
      <alignment horizontal="center"/>
    </xf>
    <xf numFmtId="164" fontId="35" fillId="25" borderId="35" xfId="0" applyNumberFormat="1" applyFont="1" applyFill="1" applyBorder="1" applyAlignment="1">
      <alignment horizontal="center" vertical="center" wrapText="1"/>
    </xf>
    <xf numFmtId="164" fontId="35" fillId="25" borderId="35" xfId="0" applyNumberFormat="1" applyFont="1" applyFill="1" applyBorder="1" applyAlignment="1">
      <alignment horizontal="center"/>
    </xf>
    <xf numFmtId="164" fontId="34" fillId="0" borderId="36" xfId="0" applyNumberFormat="1" applyFont="1" applyFill="1" applyBorder="1" applyAlignment="1">
      <alignment horizontal="center" vertical="center" wrapText="1"/>
    </xf>
    <xf numFmtId="164" fontId="35" fillId="25" borderId="35" xfId="0" applyNumberFormat="1" applyFont="1" applyFill="1" applyBorder="1" applyAlignment="1">
      <alignment horizontal="center" vertical="center"/>
    </xf>
    <xf numFmtId="164" fontId="35" fillId="0" borderId="44" xfId="0" applyNumberFormat="1" applyFont="1" applyFill="1" applyBorder="1" applyAlignment="1">
      <alignment horizontal="center" vertical="center" wrapText="1"/>
    </xf>
    <xf numFmtId="164" fontId="34" fillId="0" borderId="47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7" fillId="0" borderId="23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66-3\&#1084;&#1086;&#1080;%20&#1076;&#1086;&#1082;&#1091;&#1084;&#1077;&#1085;&#1090;&#1099;\&#1050;%20&#1091;&#1090;&#1086;&#1095;&#1085;&#1077;&#1085;&#1080;&#1102;%202008%20&#1075;&#1086;&#1076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."/>
      <sheetName val="Ведомств."/>
      <sheetName val="Госполномочия"/>
      <sheetName val="заимс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702"/>
  <sheetViews>
    <sheetView zoomScalePageLayoutView="0" workbookViewId="0" topLeftCell="A4">
      <selection activeCell="F6" sqref="F6"/>
    </sheetView>
  </sheetViews>
  <sheetFormatPr defaultColWidth="9.125" defaultRowHeight="12.75"/>
  <cols>
    <col min="1" max="1" width="64.875" style="44" customWidth="1"/>
    <col min="2" max="2" width="7.00390625" style="1" hidden="1" customWidth="1"/>
    <col min="3" max="3" width="7.75390625" style="0" customWidth="1"/>
    <col min="4" max="4" width="7.875" style="0" customWidth="1"/>
    <col min="5" max="5" width="12.25390625" style="0" customWidth="1"/>
    <col min="6" max="6" width="11.375" style="0" customWidth="1"/>
    <col min="7" max="7" width="14.125" style="3" customWidth="1"/>
    <col min="8" max="8" width="6.125" style="3" hidden="1" customWidth="1"/>
    <col min="9" max="9" width="10.25390625" style="3" hidden="1" customWidth="1"/>
    <col min="10" max="10" width="13.25390625" style="36" hidden="1" customWidth="1"/>
    <col min="11" max="11" width="11.625" style="0" hidden="1" customWidth="1"/>
    <col min="12" max="13" width="11.375" style="0" hidden="1" customWidth="1"/>
    <col min="14" max="14" width="5.25390625" style="0" hidden="1" customWidth="1"/>
    <col min="15" max="16" width="9.125" style="0" hidden="1" customWidth="1"/>
  </cols>
  <sheetData>
    <row r="1" spans="6:7" ht="12.75">
      <c r="F1" s="16" t="s">
        <v>618</v>
      </c>
      <c r="G1" s="35"/>
    </row>
    <row r="2" spans="6:7" ht="12.75">
      <c r="F2" s="4" t="s">
        <v>658</v>
      </c>
      <c r="G2" s="35"/>
    </row>
    <row r="3" spans="6:7" ht="12.75">
      <c r="F3" s="4" t="s">
        <v>255</v>
      </c>
      <c r="G3" s="35"/>
    </row>
    <row r="4" spans="6:7" ht="12.75">
      <c r="F4" s="4" t="s">
        <v>256</v>
      </c>
      <c r="G4" s="35"/>
    </row>
    <row r="5" spans="6:9" ht="12.75">
      <c r="F5" s="326" t="s">
        <v>659</v>
      </c>
      <c r="G5" s="326"/>
      <c r="H5" s="5"/>
      <c r="I5" s="5"/>
    </row>
    <row r="6" spans="3:6" ht="12.75">
      <c r="C6" s="6" t="s">
        <v>468</v>
      </c>
      <c r="F6" s="4"/>
    </row>
    <row r="7" spans="3:6" ht="12.75">
      <c r="C7" s="6" t="s">
        <v>257</v>
      </c>
      <c r="F7" s="7"/>
    </row>
    <row r="8" spans="3:6" ht="12.75">
      <c r="C8" s="6" t="s">
        <v>258</v>
      </c>
      <c r="F8" s="7"/>
    </row>
    <row r="9" ht="12.75">
      <c r="C9" s="8" t="s">
        <v>259</v>
      </c>
    </row>
    <row r="10" spans="2:9" ht="16.5" thickBot="1">
      <c r="B10" s="9"/>
      <c r="G10" s="5"/>
      <c r="H10" s="5"/>
      <c r="I10" s="5"/>
    </row>
    <row r="11" spans="1:15" ht="15" thickBot="1">
      <c r="A11" s="310" t="s">
        <v>260</v>
      </c>
      <c r="B11" s="240"/>
      <c r="C11" s="112" t="s">
        <v>580</v>
      </c>
      <c r="D11" s="113"/>
      <c r="E11" s="113"/>
      <c r="F11" s="126"/>
      <c r="G11" s="124" t="s">
        <v>262</v>
      </c>
      <c r="H11" s="10" t="s">
        <v>263</v>
      </c>
      <c r="I11" s="10" t="s">
        <v>264</v>
      </c>
      <c r="O11" s="43"/>
    </row>
    <row r="12" spans="1:9" ht="42" customHeight="1" thickBot="1">
      <c r="A12" s="309"/>
      <c r="B12" s="307" t="s">
        <v>265</v>
      </c>
      <c r="C12" s="234" t="s">
        <v>266</v>
      </c>
      <c r="D12" s="114" t="s">
        <v>267</v>
      </c>
      <c r="E12" s="114" t="s">
        <v>268</v>
      </c>
      <c r="F12" s="187" t="s">
        <v>467</v>
      </c>
      <c r="G12" s="125" t="s">
        <v>579</v>
      </c>
      <c r="H12" s="11" t="s">
        <v>416</v>
      </c>
      <c r="I12" s="11" t="s">
        <v>417</v>
      </c>
    </row>
    <row r="13" spans="1:13" s="13" customFormat="1" ht="15.75">
      <c r="A13" s="308" t="s">
        <v>418</v>
      </c>
      <c r="B13" s="243"/>
      <c r="C13" s="127" t="s">
        <v>419</v>
      </c>
      <c r="D13" s="115"/>
      <c r="E13" s="115"/>
      <c r="F13" s="128"/>
      <c r="G13" s="145">
        <f>SUM(G14+G18+G25+G47+G62+G65)</f>
        <v>177953.89999999997</v>
      </c>
      <c r="H13" s="12" t="e">
        <f>SUM(H14+H18+H25+H44+H47+H62+H65+#REF!+H56)</f>
        <v>#REF!</v>
      </c>
      <c r="I13" s="12" t="e">
        <f>SUM(H13/G13*100)</f>
        <v>#REF!</v>
      </c>
      <c r="K13" s="46">
        <f>SUM(J14:J85)</f>
        <v>177953.90000000002</v>
      </c>
      <c r="L13" s="13">
        <f>SUM('ведомствен.2014'!G12+'ведомствен.2014'!G36+'ведомствен.2014'!G55+'ведомствен.2014'!G313)</f>
        <v>177953.9</v>
      </c>
      <c r="M13" s="46">
        <f>SUM(L13-K13)</f>
        <v>-2.9103830456733704E-11</v>
      </c>
    </row>
    <row r="14" spans="1:15" ht="28.5">
      <c r="A14" s="279" t="s">
        <v>420</v>
      </c>
      <c r="B14" s="244"/>
      <c r="C14" s="45" t="s">
        <v>419</v>
      </c>
      <c r="D14" s="54" t="s">
        <v>421</v>
      </c>
      <c r="E14" s="54"/>
      <c r="F14" s="129"/>
      <c r="G14" s="146">
        <f>SUM(G15)</f>
        <v>1725</v>
      </c>
      <c r="H14" s="14">
        <f>SUM(H15)</f>
        <v>983.5</v>
      </c>
      <c r="I14" s="14">
        <f>SUM(H14/G14*100)</f>
        <v>57.014492753623195</v>
      </c>
      <c r="J14"/>
      <c r="O14" s="43" t="e">
        <f>SUM(G14+G18+G25+G47+#REF!)</f>
        <v>#REF!</v>
      </c>
    </row>
    <row r="15" spans="1:10" ht="42.75">
      <c r="A15" s="279" t="s">
        <v>88</v>
      </c>
      <c r="B15" s="244"/>
      <c r="C15" s="45" t="s">
        <v>419</v>
      </c>
      <c r="D15" s="54" t="s">
        <v>421</v>
      </c>
      <c r="E15" s="54" t="s">
        <v>89</v>
      </c>
      <c r="F15" s="129"/>
      <c r="G15" s="146">
        <f>SUM(G17)</f>
        <v>1725</v>
      </c>
      <c r="H15" s="14">
        <f>SUM(H17:H17)</f>
        <v>983.5</v>
      </c>
      <c r="I15" s="14">
        <f aca="true" t="shared" si="0" ref="I15:I54">SUM(H15/G15*100)</f>
        <v>57.014492753623195</v>
      </c>
      <c r="J15"/>
    </row>
    <row r="16" spans="1:10" ht="15">
      <c r="A16" s="279" t="s">
        <v>90</v>
      </c>
      <c r="B16" s="244"/>
      <c r="C16" s="45" t="s">
        <v>419</v>
      </c>
      <c r="D16" s="54" t="s">
        <v>421</v>
      </c>
      <c r="E16" s="54" t="s">
        <v>91</v>
      </c>
      <c r="F16" s="129"/>
      <c r="G16" s="146">
        <f>SUM(G17)</f>
        <v>1725</v>
      </c>
      <c r="H16" s="14">
        <f>SUM(H17)</f>
        <v>983.5</v>
      </c>
      <c r="I16" s="14">
        <f t="shared" si="0"/>
        <v>57.014492753623195</v>
      </c>
      <c r="J16"/>
    </row>
    <row r="17" spans="1:10" ht="42.75">
      <c r="A17" s="279" t="s">
        <v>453</v>
      </c>
      <c r="B17" s="244"/>
      <c r="C17" s="45" t="s">
        <v>419</v>
      </c>
      <c r="D17" s="54" t="s">
        <v>421</v>
      </c>
      <c r="E17" s="54" t="s">
        <v>91</v>
      </c>
      <c r="F17" s="129" t="s">
        <v>454</v>
      </c>
      <c r="G17" s="146">
        <v>1725</v>
      </c>
      <c r="H17" s="14">
        <v>983.5</v>
      </c>
      <c r="I17" s="14">
        <f t="shared" si="0"/>
        <v>57.014492753623195</v>
      </c>
      <c r="J17" s="36">
        <f>SUM('ведомствен.2014'!G16)</f>
        <v>1725</v>
      </c>
    </row>
    <row r="18" spans="1:10" ht="42.75">
      <c r="A18" s="279" t="s">
        <v>94</v>
      </c>
      <c r="B18" s="244"/>
      <c r="C18" s="45" t="s">
        <v>419</v>
      </c>
      <c r="D18" s="54" t="s">
        <v>95</v>
      </c>
      <c r="E18" s="54"/>
      <c r="F18" s="129"/>
      <c r="G18" s="146">
        <f>SUM(G19)</f>
        <v>11361.5</v>
      </c>
      <c r="H18" s="14">
        <f>SUM(H19)</f>
        <v>8231.8</v>
      </c>
      <c r="I18" s="14">
        <f t="shared" si="0"/>
        <v>72.45346125071512</v>
      </c>
      <c r="J18"/>
    </row>
    <row r="19" spans="1:10" ht="42.75">
      <c r="A19" s="279" t="s">
        <v>88</v>
      </c>
      <c r="B19" s="244"/>
      <c r="C19" s="45" t="s">
        <v>419</v>
      </c>
      <c r="D19" s="54" t="s">
        <v>95</v>
      </c>
      <c r="E19" s="54" t="s">
        <v>89</v>
      </c>
      <c r="F19" s="130"/>
      <c r="G19" s="146">
        <f>SUM(G20+G23)</f>
        <v>11361.5</v>
      </c>
      <c r="H19" s="14">
        <f>SUM(H20+H23)</f>
        <v>8231.8</v>
      </c>
      <c r="I19" s="14">
        <f t="shared" si="0"/>
        <v>72.45346125071512</v>
      </c>
      <c r="J19"/>
    </row>
    <row r="20" spans="1:10" ht="15">
      <c r="A20" s="279" t="s">
        <v>96</v>
      </c>
      <c r="B20" s="244"/>
      <c r="C20" s="45" t="s">
        <v>97</v>
      </c>
      <c r="D20" s="54" t="s">
        <v>95</v>
      </c>
      <c r="E20" s="54" t="s">
        <v>98</v>
      </c>
      <c r="F20" s="130"/>
      <c r="G20" s="146">
        <f>SUM(G21)+G22</f>
        <v>11361.5</v>
      </c>
      <c r="H20" s="14">
        <f>SUM(H21)</f>
        <v>8068.7</v>
      </c>
      <c r="I20" s="14">
        <f t="shared" si="0"/>
        <v>71.01791136733706</v>
      </c>
      <c r="J20"/>
    </row>
    <row r="21" spans="1:10" ht="42.75">
      <c r="A21" s="279" t="s">
        <v>453</v>
      </c>
      <c r="B21" s="244"/>
      <c r="C21" s="45" t="s">
        <v>419</v>
      </c>
      <c r="D21" s="54" t="s">
        <v>95</v>
      </c>
      <c r="E21" s="54" t="s">
        <v>98</v>
      </c>
      <c r="F21" s="129" t="s">
        <v>454</v>
      </c>
      <c r="G21" s="146">
        <v>11354.4</v>
      </c>
      <c r="H21" s="14">
        <v>8068.7</v>
      </c>
      <c r="I21" s="14">
        <f t="shared" si="0"/>
        <v>71.0623194532516</v>
      </c>
      <c r="J21" s="36">
        <f>SUM('ведомствен.2014'!G20)</f>
        <v>11354.4</v>
      </c>
    </row>
    <row r="22" spans="1:10" ht="15">
      <c r="A22" s="279" t="s">
        <v>458</v>
      </c>
      <c r="B22" s="244"/>
      <c r="C22" s="45" t="s">
        <v>419</v>
      </c>
      <c r="D22" s="54" t="s">
        <v>95</v>
      </c>
      <c r="E22" s="54" t="s">
        <v>98</v>
      </c>
      <c r="F22" s="129" t="s">
        <v>109</v>
      </c>
      <c r="G22" s="147">
        <v>7.1</v>
      </c>
      <c r="H22" s="14"/>
      <c r="I22" s="14"/>
      <c r="J22" s="36">
        <f>SUM('ведомствен.2014'!G21)</f>
        <v>7.1</v>
      </c>
    </row>
    <row r="23" spans="1:10" ht="28.5" hidden="1">
      <c r="A23" s="279" t="s">
        <v>99</v>
      </c>
      <c r="B23" s="244"/>
      <c r="C23" s="45" t="s">
        <v>97</v>
      </c>
      <c r="D23" s="54" t="s">
        <v>95</v>
      </c>
      <c r="E23" s="54" t="s">
        <v>100</v>
      </c>
      <c r="F23" s="129"/>
      <c r="G23" s="147">
        <f>SUM(G24)</f>
        <v>0</v>
      </c>
      <c r="H23" s="14">
        <f>SUM(H24)</f>
        <v>163.10000000000002</v>
      </c>
      <c r="I23" s="14" t="e">
        <f t="shared" si="0"/>
        <v>#DIV/0!</v>
      </c>
      <c r="J23"/>
    </row>
    <row r="24" spans="1:10" ht="15" hidden="1">
      <c r="A24" s="279" t="s">
        <v>92</v>
      </c>
      <c r="B24" s="244"/>
      <c r="C24" s="45" t="s">
        <v>97</v>
      </c>
      <c r="D24" s="54" t="s">
        <v>95</v>
      </c>
      <c r="E24" s="54" t="s">
        <v>100</v>
      </c>
      <c r="F24" s="129" t="s">
        <v>93</v>
      </c>
      <c r="G24" s="147"/>
      <c r="H24" s="14">
        <f>913.5-750.4</f>
        <v>163.10000000000002</v>
      </c>
      <c r="I24" s="14" t="e">
        <f t="shared" si="0"/>
        <v>#DIV/0!</v>
      </c>
      <c r="J24"/>
    </row>
    <row r="25" spans="1:10" ht="42.75">
      <c r="A25" s="279" t="s">
        <v>242</v>
      </c>
      <c r="B25" s="244"/>
      <c r="C25" s="45" t="s">
        <v>419</v>
      </c>
      <c r="D25" s="54" t="s">
        <v>111</v>
      </c>
      <c r="E25" s="54"/>
      <c r="F25" s="129"/>
      <c r="G25" s="146">
        <f>SUM(G26)</f>
        <v>96086.9</v>
      </c>
      <c r="H25" s="14">
        <f>SUM(H26)+H41+H39</f>
        <v>52319.90000000001</v>
      </c>
      <c r="I25" s="14">
        <f t="shared" si="0"/>
        <v>54.45060669040214</v>
      </c>
      <c r="J25"/>
    </row>
    <row r="26" spans="1:10" ht="42.75">
      <c r="A26" s="279" t="s">
        <v>88</v>
      </c>
      <c r="B26" s="244"/>
      <c r="C26" s="45" t="s">
        <v>419</v>
      </c>
      <c r="D26" s="54" t="s">
        <v>111</v>
      </c>
      <c r="E26" s="54" t="s">
        <v>89</v>
      </c>
      <c r="F26" s="130"/>
      <c r="G26" s="146">
        <f>SUM(G27+G42+G30+G33+G36+G39)</f>
        <v>96086.9</v>
      </c>
      <c r="H26" s="14">
        <f>SUM(H27+H37)</f>
        <v>51899.200000000004</v>
      </c>
      <c r="I26" s="14">
        <f t="shared" si="0"/>
        <v>54.01277385366788</v>
      </c>
      <c r="J26"/>
    </row>
    <row r="27" spans="1:10" ht="15">
      <c r="A27" s="279" t="s">
        <v>96</v>
      </c>
      <c r="B27" s="244"/>
      <c r="C27" s="45" t="s">
        <v>419</v>
      </c>
      <c r="D27" s="54" t="s">
        <v>111</v>
      </c>
      <c r="E27" s="54" t="s">
        <v>98</v>
      </c>
      <c r="F27" s="130"/>
      <c r="G27" s="146">
        <f>SUM(G28+G29)</f>
        <v>92823</v>
      </c>
      <c r="H27" s="14">
        <f>SUM(H28:H28+H29+H31+H34)+H30</f>
        <v>51161.8</v>
      </c>
      <c r="I27" s="14">
        <f t="shared" si="0"/>
        <v>55.117589390560525</v>
      </c>
      <c r="J27"/>
    </row>
    <row r="28" spans="1:10" ht="42.75">
      <c r="A28" s="279" t="s">
        <v>453</v>
      </c>
      <c r="B28" s="244"/>
      <c r="C28" s="45" t="s">
        <v>419</v>
      </c>
      <c r="D28" s="54" t="s">
        <v>111</v>
      </c>
      <c r="E28" s="54" t="s">
        <v>98</v>
      </c>
      <c r="F28" s="129" t="s">
        <v>454</v>
      </c>
      <c r="G28" s="146">
        <v>92792.9</v>
      </c>
      <c r="H28" s="14">
        <v>50612.1</v>
      </c>
      <c r="I28" s="14">
        <f t="shared" si="0"/>
        <v>54.5430738774195</v>
      </c>
      <c r="J28" s="36">
        <f>SUM('ведомствен.2014'!G59)</f>
        <v>92792.9</v>
      </c>
    </row>
    <row r="29" spans="1:10" ht="15">
      <c r="A29" s="279" t="s">
        <v>458</v>
      </c>
      <c r="B29" s="244"/>
      <c r="C29" s="45" t="s">
        <v>419</v>
      </c>
      <c r="D29" s="54" t="s">
        <v>111</v>
      </c>
      <c r="E29" s="54" t="s">
        <v>98</v>
      </c>
      <c r="F29" s="129" t="s">
        <v>109</v>
      </c>
      <c r="G29" s="147">
        <v>30.1</v>
      </c>
      <c r="H29" s="14">
        <v>507.8</v>
      </c>
      <c r="I29" s="14">
        <f t="shared" si="0"/>
        <v>1687.043189368771</v>
      </c>
      <c r="J29" s="36">
        <f>SUM('ведомствен.2014'!G60)</f>
        <v>30.1</v>
      </c>
    </row>
    <row r="30" spans="1:9" ht="42.75">
      <c r="A30" s="279" t="s">
        <v>115</v>
      </c>
      <c r="B30" s="244"/>
      <c r="C30" s="45" t="s">
        <v>419</v>
      </c>
      <c r="D30" s="54" t="s">
        <v>111</v>
      </c>
      <c r="E30" s="54" t="s">
        <v>116</v>
      </c>
      <c r="F30" s="129"/>
      <c r="G30" s="146">
        <f>SUM(G31:G32)</f>
        <v>1392.3999999999999</v>
      </c>
      <c r="H30" s="14"/>
      <c r="I30" s="14">
        <f t="shared" si="0"/>
        <v>0</v>
      </c>
    </row>
    <row r="31" spans="1:10" ht="42.75">
      <c r="A31" s="279" t="s">
        <v>453</v>
      </c>
      <c r="B31" s="244"/>
      <c r="C31" s="45" t="s">
        <v>419</v>
      </c>
      <c r="D31" s="54" t="s">
        <v>111</v>
      </c>
      <c r="E31" s="54" t="s">
        <v>116</v>
      </c>
      <c r="F31" s="129" t="s">
        <v>454</v>
      </c>
      <c r="G31" s="146">
        <v>1368.8</v>
      </c>
      <c r="H31" s="14">
        <v>41.9</v>
      </c>
      <c r="I31" s="14">
        <f t="shared" si="0"/>
        <v>3.061075394506137</v>
      </c>
      <c r="J31" s="36">
        <f>SUM('ведомствен.2014'!G62)</f>
        <v>1368.8</v>
      </c>
    </row>
    <row r="32" spans="1:10" ht="15">
      <c r="A32" s="279" t="s">
        <v>458</v>
      </c>
      <c r="B32" s="244"/>
      <c r="C32" s="45" t="s">
        <v>419</v>
      </c>
      <c r="D32" s="54" t="s">
        <v>111</v>
      </c>
      <c r="E32" s="54" t="s">
        <v>116</v>
      </c>
      <c r="F32" s="129" t="s">
        <v>109</v>
      </c>
      <c r="G32" s="147">
        <v>23.6</v>
      </c>
      <c r="H32" s="14"/>
      <c r="I32" s="14">
        <f>SUM(H32/G32*100)</f>
        <v>0</v>
      </c>
      <c r="J32" s="36">
        <f>SUM('ведомствен.2014'!G63)</f>
        <v>23.6</v>
      </c>
    </row>
    <row r="33" spans="1:9" ht="42.75">
      <c r="A33" s="279" t="s">
        <v>344</v>
      </c>
      <c r="B33" s="244"/>
      <c r="C33" s="45" t="s">
        <v>419</v>
      </c>
      <c r="D33" s="54" t="s">
        <v>111</v>
      </c>
      <c r="E33" s="54" t="s">
        <v>345</v>
      </c>
      <c r="F33" s="129"/>
      <c r="G33" s="146">
        <f>SUM(G34:G35)</f>
        <v>93.8</v>
      </c>
      <c r="H33" s="14"/>
      <c r="I33" s="14"/>
    </row>
    <row r="34" spans="1:10" ht="42.75">
      <c r="A34" s="279" t="s">
        <v>453</v>
      </c>
      <c r="B34" s="244"/>
      <c r="C34" s="45" t="s">
        <v>419</v>
      </c>
      <c r="D34" s="54" t="s">
        <v>111</v>
      </c>
      <c r="E34" s="54" t="s">
        <v>345</v>
      </c>
      <c r="F34" s="129" t="s">
        <v>454</v>
      </c>
      <c r="G34" s="146">
        <v>72.3</v>
      </c>
      <c r="H34" s="14"/>
      <c r="I34" s="14">
        <f t="shared" si="0"/>
        <v>0</v>
      </c>
      <c r="J34" s="36">
        <f>SUM('ведомствен.2014'!G65)</f>
        <v>72.3</v>
      </c>
    </row>
    <row r="35" spans="1:10" ht="15">
      <c r="A35" s="279" t="s">
        <v>458</v>
      </c>
      <c r="B35" s="244"/>
      <c r="C35" s="45" t="s">
        <v>419</v>
      </c>
      <c r="D35" s="54" t="s">
        <v>111</v>
      </c>
      <c r="E35" s="54" t="s">
        <v>345</v>
      </c>
      <c r="F35" s="129" t="s">
        <v>109</v>
      </c>
      <c r="G35" s="147">
        <v>21.5</v>
      </c>
      <c r="H35" s="14"/>
      <c r="I35" s="14"/>
      <c r="J35" s="36">
        <f>SUM('ведомствен.2014'!G66)</f>
        <v>21.5</v>
      </c>
    </row>
    <row r="36" spans="1:9" ht="28.5">
      <c r="A36" s="280" t="s">
        <v>50</v>
      </c>
      <c r="B36" s="245"/>
      <c r="C36" s="53" t="s">
        <v>419</v>
      </c>
      <c r="D36" s="116" t="s">
        <v>111</v>
      </c>
      <c r="E36" s="116" t="s">
        <v>51</v>
      </c>
      <c r="F36" s="130"/>
      <c r="G36" s="146">
        <f>SUM(G37:G38)</f>
        <v>179.6</v>
      </c>
      <c r="H36" s="14"/>
      <c r="I36" s="14"/>
    </row>
    <row r="37" spans="1:10" ht="42.75">
      <c r="A37" s="279" t="s">
        <v>453</v>
      </c>
      <c r="B37" s="244"/>
      <c r="C37" s="45" t="s">
        <v>419</v>
      </c>
      <c r="D37" s="54" t="s">
        <v>111</v>
      </c>
      <c r="E37" s="116" t="s">
        <v>51</v>
      </c>
      <c r="F37" s="129" t="s">
        <v>454</v>
      </c>
      <c r="G37" s="146">
        <v>140</v>
      </c>
      <c r="H37" s="14">
        <f>SUM(H38)</f>
        <v>737.4</v>
      </c>
      <c r="I37" s="14">
        <f t="shared" si="0"/>
        <v>526.7142857142857</v>
      </c>
      <c r="J37" s="36">
        <f>SUM('ведомствен.2014'!G68)</f>
        <v>140</v>
      </c>
    </row>
    <row r="38" spans="1:10" ht="15">
      <c r="A38" s="279" t="s">
        <v>458</v>
      </c>
      <c r="B38" s="244"/>
      <c r="C38" s="45" t="s">
        <v>419</v>
      </c>
      <c r="D38" s="54" t="s">
        <v>111</v>
      </c>
      <c r="E38" s="116" t="s">
        <v>51</v>
      </c>
      <c r="F38" s="129" t="s">
        <v>109</v>
      </c>
      <c r="G38" s="147">
        <v>39.6</v>
      </c>
      <c r="H38" s="14">
        <v>737.4</v>
      </c>
      <c r="I38" s="14">
        <f t="shared" si="0"/>
        <v>1862.121212121212</v>
      </c>
      <c r="J38" s="36">
        <f>SUM('ведомствен.2014'!G69)</f>
        <v>39.6</v>
      </c>
    </row>
    <row r="39" spans="1:10" ht="28.5">
      <c r="A39" s="280" t="s">
        <v>137</v>
      </c>
      <c r="B39" s="245"/>
      <c r="C39" s="53" t="s">
        <v>419</v>
      </c>
      <c r="D39" s="116" t="s">
        <v>111</v>
      </c>
      <c r="E39" s="116" t="s">
        <v>138</v>
      </c>
      <c r="F39" s="130"/>
      <c r="G39" s="146">
        <f>SUM(G40:G41)</f>
        <v>357.70000000000005</v>
      </c>
      <c r="H39" s="14">
        <f>SUM(H40)</f>
        <v>264.8</v>
      </c>
      <c r="I39" s="14">
        <f t="shared" si="0"/>
        <v>74.02851551579536</v>
      </c>
      <c r="J39"/>
    </row>
    <row r="40" spans="1:10" ht="42.75">
      <c r="A40" s="279" t="s">
        <v>453</v>
      </c>
      <c r="B40" s="244"/>
      <c r="C40" s="45" t="s">
        <v>419</v>
      </c>
      <c r="D40" s="54" t="s">
        <v>111</v>
      </c>
      <c r="E40" s="116" t="s">
        <v>138</v>
      </c>
      <c r="F40" s="129" t="s">
        <v>454</v>
      </c>
      <c r="G40" s="146">
        <v>288.8</v>
      </c>
      <c r="H40" s="14">
        <v>264.8</v>
      </c>
      <c r="I40" s="14">
        <f t="shared" si="0"/>
        <v>91.68975069252078</v>
      </c>
      <c r="J40" s="36">
        <f>SUM('ведомствен.2014'!G71)</f>
        <v>288.8</v>
      </c>
    </row>
    <row r="41" spans="1:10" ht="15">
      <c r="A41" s="279" t="s">
        <v>458</v>
      </c>
      <c r="B41" s="244"/>
      <c r="C41" s="45" t="s">
        <v>419</v>
      </c>
      <c r="D41" s="54" t="s">
        <v>111</v>
      </c>
      <c r="E41" s="116" t="s">
        <v>138</v>
      </c>
      <c r="F41" s="129" t="s">
        <v>109</v>
      </c>
      <c r="G41" s="147">
        <v>68.9</v>
      </c>
      <c r="H41" s="14">
        <f>SUM(H42)</f>
        <v>155.9</v>
      </c>
      <c r="I41" s="14">
        <f t="shared" si="0"/>
        <v>226.26995645863568</v>
      </c>
      <c r="J41" s="36">
        <f>SUM('ведомствен.2014'!G72)</f>
        <v>68.9</v>
      </c>
    </row>
    <row r="42" spans="1:10" ht="28.5">
      <c r="A42" s="279" t="s">
        <v>346</v>
      </c>
      <c r="B42" s="244"/>
      <c r="C42" s="45" t="s">
        <v>97</v>
      </c>
      <c r="D42" s="54" t="s">
        <v>111</v>
      </c>
      <c r="E42" s="54" t="s">
        <v>347</v>
      </c>
      <c r="F42" s="130"/>
      <c r="G42" s="146">
        <f>SUM(G43)</f>
        <v>1240.4</v>
      </c>
      <c r="H42" s="14">
        <f>SUM(H43:H43)</f>
        <v>155.9</v>
      </c>
      <c r="I42" s="14">
        <f t="shared" si="0"/>
        <v>12.568526281844566</v>
      </c>
      <c r="J42"/>
    </row>
    <row r="43" spans="1:10" ht="42" customHeight="1">
      <c r="A43" s="279" t="s">
        <v>453</v>
      </c>
      <c r="B43" s="244"/>
      <c r="C43" s="45" t="s">
        <v>419</v>
      </c>
      <c r="D43" s="54" t="s">
        <v>111</v>
      </c>
      <c r="E43" s="54" t="s">
        <v>347</v>
      </c>
      <c r="F43" s="129" t="s">
        <v>454</v>
      </c>
      <c r="G43" s="146">
        <v>1240.4</v>
      </c>
      <c r="H43" s="14">
        <v>155.9</v>
      </c>
      <c r="I43" s="14">
        <f t="shared" si="0"/>
        <v>12.568526281844566</v>
      </c>
      <c r="J43" s="36">
        <f>SUM('ведомствен.2014'!G74)</f>
        <v>1240.4</v>
      </c>
    </row>
    <row r="44" spans="1:10" ht="15" hidden="1">
      <c r="A44" s="279" t="s">
        <v>119</v>
      </c>
      <c r="B44" s="244"/>
      <c r="C44" s="45" t="s">
        <v>419</v>
      </c>
      <c r="D44" s="54" t="s">
        <v>120</v>
      </c>
      <c r="E44" s="54"/>
      <c r="F44" s="130"/>
      <c r="G44" s="147">
        <f>SUM(G45)</f>
        <v>0</v>
      </c>
      <c r="H44" s="14" t="e">
        <f>SUM(H45)</f>
        <v>#REF!</v>
      </c>
      <c r="I44" s="14" t="e">
        <f t="shared" si="0"/>
        <v>#REF!</v>
      </c>
      <c r="J44"/>
    </row>
    <row r="45" spans="1:10" ht="42.75" hidden="1">
      <c r="A45" s="281" t="s">
        <v>236</v>
      </c>
      <c r="B45" s="244"/>
      <c r="C45" s="45" t="s">
        <v>419</v>
      </c>
      <c r="D45" s="54" t="s">
        <v>120</v>
      </c>
      <c r="E45" s="54" t="s">
        <v>350</v>
      </c>
      <c r="F45" s="130"/>
      <c r="G45" s="147">
        <f>SUM(G46)</f>
        <v>0</v>
      </c>
      <c r="H45" s="14" t="e">
        <f>SUM(H46)</f>
        <v>#REF!</v>
      </c>
      <c r="I45" s="14" t="e">
        <f t="shared" si="0"/>
        <v>#REF!</v>
      </c>
      <c r="J45"/>
    </row>
    <row r="46" spans="1:10" ht="15" hidden="1">
      <c r="A46" s="279" t="s">
        <v>92</v>
      </c>
      <c r="B46" s="244"/>
      <c r="C46" s="45" t="s">
        <v>419</v>
      </c>
      <c r="D46" s="54" t="s">
        <v>120</v>
      </c>
      <c r="E46" s="54" t="s">
        <v>350</v>
      </c>
      <c r="F46" s="129" t="s">
        <v>93</v>
      </c>
      <c r="G46" s="147"/>
      <c r="H46" s="14" t="e">
        <f>SUM('[1]Ведомств.'!G83)</f>
        <v>#REF!</v>
      </c>
      <c r="I46" s="14" t="e">
        <f t="shared" si="0"/>
        <v>#REF!</v>
      </c>
      <c r="J46" s="36">
        <f>SUM('ведомствен.2014'!G77)</f>
        <v>0</v>
      </c>
    </row>
    <row r="47" spans="1:9" s="15" customFormat="1" ht="42.75">
      <c r="A47" s="279" t="s">
        <v>351</v>
      </c>
      <c r="B47" s="244"/>
      <c r="C47" s="45" t="s">
        <v>419</v>
      </c>
      <c r="D47" s="54" t="s">
        <v>352</v>
      </c>
      <c r="E47" s="54"/>
      <c r="F47" s="129"/>
      <c r="G47" s="146">
        <f>SUM(G48)</f>
        <v>24231.8</v>
      </c>
      <c r="H47" s="14">
        <f>SUM(H48)</f>
        <v>12415.9</v>
      </c>
      <c r="I47" s="14">
        <f t="shared" si="0"/>
        <v>51.23804257215725</v>
      </c>
    </row>
    <row r="48" spans="1:9" s="15" customFormat="1" ht="42.75">
      <c r="A48" s="279" t="s">
        <v>88</v>
      </c>
      <c r="B48" s="244"/>
      <c r="C48" s="45" t="s">
        <v>419</v>
      </c>
      <c r="D48" s="54" t="s">
        <v>352</v>
      </c>
      <c r="E48" s="54" t="s">
        <v>89</v>
      </c>
      <c r="F48" s="129"/>
      <c r="G48" s="146">
        <f>SUM(G49)+G52+G54</f>
        <v>24231.8</v>
      </c>
      <c r="H48" s="14">
        <f>SUM(H49+H54)</f>
        <v>12415.9</v>
      </c>
      <c r="I48" s="14">
        <f t="shared" si="0"/>
        <v>51.23804257215725</v>
      </c>
    </row>
    <row r="49" spans="1:9" s="15" customFormat="1" ht="15">
      <c r="A49" s="279" t="s">
        <v>96</v>
      </c>
      <c r="B49" s="244"/>
      <c r="C49" s="45" t="s">
        <v>419</v>
      </c>
      <c r="D49" s="54" t="s">
        <v>352</v>
      </c>
      <c r="E49" s="54" t="s">
        <v>98</v>
      </c>
      <c r="F49" s="129"/>
      <c r="G49" s="146">
        <f>SUM(G50+G51)</f>
        <v>6551</v>
      </c>
      <c r="H49" s="14">
        <f>SUM(H50+H52)</f>
        <v>11864.3</v>
      </c>
      <c r="I49" s="14">
        <f t="shared" si="0"/>
        <v>181.10670126698213</v>
      </c>
    </row>
    <row r="50" spans="1:10" s="15" customFormat="1" ht="42.75">
      <c r="A50" s="279" t="s">
        <v>453</v>
      </c>
      <c r="B50" s="244"/>
      <c r="C50" s="45" t="s">
        <v>97</v>
      </c>
      <c r="D50" s="54" t="s">
        <v>352</v>
      </c>
      <c r="E50" s="54" t="s">
        <v>98</v>
      </c>
      <c r="F50" s="131" t="s">
        <v>454</v>
      </c>
      <c r="G50" s="146">
        <v>6534.1</v>
      </c>
      <c r="H50" s="14">
        <v>2278</v>
      </c>
      <c r="I50" s="14">
        <f t="shared" si="0"/>
        <v>34.86325584242665</v>
      </c>
      <c r="J50" s="37">
        <f>SUM('ведомствен.2014'!G40+'ведомствен.2014'!G317)</f>
        <v>6534.1</v>
      </c>
    </row>
    <row r="51" spans="1:10" s="15" customFormat="1" ht="15">
      <c r="A51" s="279" t="s">
        <v>458</v>
      </c>
      <c r="B51" s="244"/>
      <c r="C51" s="45" t="s">
        <v>419</v>
      </c>
      <c r="D51" s="54" t="s">
        <v>352</v>
      </c>
      <c r="E51" s="54" t="s">
        <v>98</v>
      </c>
      <c r="F51" s="129" t="s">
        <v>109</v>
      </c>
      <c r="G51" s="147">
        <f>16.1+0.8</f>
        <v>16.900000000000002</v>
      </c>
      <c r="H51" s="14"/>
      <c r="I51" s="14"/>
      <c r="J51" s="37">
        <f>SUM('ведомствен.2014'!G41+'ведомствен.2014'!G318)</f>
        <v>16.900000000000002</v>
      </c>
    </row>
    <row r="52" spans="1:10" ht="28.5">
      <c r="A52" s="279" t="s">
        <v>353</v>
      </c>
      <c r="B52" s="244"/>
      <c r="C52" s="45" t="s">
        <v>97</v>
      </c>
      <c r="D52" s="54" t="s">
        <v>352</v>
      </c>
      <c r="E52" s="54" t="s">
        <v>354</v>
      </c>
      <c r="F52" s="129"/>
      <c r="G52" s="146">
        <f>SUM(G53)</f>
        <v>15988.8</v>
      </c>
      <c r="H52" s="14">
        <f>SUM(H53)</f>
        <v>9586.3</v>
      </c>
      <c r="I52" s="14">
        <f t="shared" si="0"/>
        <v>59.956344441108776</v>
      </c>
      <c r="J52"/>
    </row>
    <row r="53" spans="1:10" s="16" customFormat="1" ht="42.75">
      <c r="A53" s="279" t="s">
        <v>453</v>
      </c>
      <c r="B53" s="244"/>
      <c r="C53" s="45" t="s">
        <v>97</v>
      </c>
      <c r="D53" s="54" t="s">
        <v>352</v>
      </c>
      <c r="E53" s="54" t="s">
        <v>354</v>
      </c>
      <c r="F53" s="131" t="s">
        <v>454</v>
      </c>
      <c r="G53" s="146">
        <v>15988.8</v>
      </c>
      <c r="H53" s="14">
        <v>9586.3</v>
      </c>
      <c r="I53" s="14">
        <f t="shared" si="0"/>
        <v>59.956344441108776</v>
      </c>
      <c r="J53" s="37">
        <f>SUM('ведомствен.2014'!G320)</f>
        <v>15988.8</v>
      </c>
    </row>
    <row r="54" spans="1:10" ht="28.5">
      <c r="A54" s="279" t="s">
        <v>355</v>
      </c>
      <c r="B54" s="244"/>
      <c r="C54" s="45" t="s">
        <v>97</v>
      </c>
      <c r="D54" s="54" t="s">
        <v>352</v>
      </c>
      <c r="E54" s="54" t="s">
        <v>356</v>
      </c>
      <c r="F54" s="131"/>
      <c r="G54" s="146">
        <f>SUM(G55)</f>
        <v>1692</v>
      </c>
      <c r="H54" s="14">
        <f>SUM(H55)</f>
        <v>551.6</v>
      </c>
      <c r="I54" s="14">
        <f t="shared" si="0"/>
        <v>32.600472813238774</v>
      </c>
      <c r="J54"/>
    </row>
    <row r="55" spans="1:10" ht="42.75">
      <c r="A55" s="279" t="s">
        <v>453</v>
      </c>
      <c r="B55" s="244"/>
      <c r="C55" s="45" t="s">
        <v>97</v>
      </c>
      <c r="D55" s="54" t="s">
        <v>352</v>
      </c>
      <c r="E55" s="54" t="s">
        <v>356</v>
      </c>
      <c r="F55" s="129" t="s">
        <v>454</v>
      </c>
      <c r="G55" s="146">
        <v>1692</v>
      </c>
      <c r="H55" s="14">
        <v>551.6</v>
      </c>
      <c r="I55" s="14">
        <f aca="true" t="shared" si="1" ref="I55:I86">SUM(H55/G55*100)</f>
        <v>32.600472813238774</v>
      </c>
      <c r="J55" s="36">
        <f>SUM('ведомствен.2014'!G43)</f>
        <v>1692</v>
      </c>
    </row>
    <row r="56" spans="1:10" ht="15" hidden="1">
      <c r="A56" s="280" t="s">
        <v>357</v>
      </c>
      <c r="B56" s="245"/>
      <c r="C56" s="53" t="s">
        <v>419</v>
      </c>
      <c r="D56" s="116" t="s">
        <v>106</v>
      </c>
      <c r="E56" s="116"/>
      <c r="F56" s="130"/>
      <c r="G56" s="147">
        <f>SUM(G57)</f>
        <v>0</v>
      </c>
      <c r="H56" s="14">
        <f>SUM(H57)</f>
        <v>4219.8</v>
      </c>
      <c r="I56" s="14" t="e">
        <f t="shared" si="1"/>
        <v>#DIV/0!</v>
      </c>
      <c r="J56"/>
    </row>
    <row r="57" spans="1:10" ht="15" hidden="1">
      <c r="A57" s="280" t="s">
        <v>357</v>
      </c>
      <c r="B57" s="245"/>
      <c r="C57" s="53" t="s">
        <v>419</v>
      </c>
      <c r="D57" s="116" t="s">
        <v>106</v>
      </c>
      <c r="E57" s="116" t="s">
        <v>358</v>
      </c>
      <c r="F57" s="130"/>
      <c r="G57" s="147">
        <f>SUM(G58+G60)</f>
        <v>0</v>
      </c>
      <c r="H57" s="14">
        <f>SUM(H58+H60)</f>
        <v>4219.8</v>
      </c>
      <c r="I57" s="14" t="e">
        <f t="shared" si="1"/>
        <v>#DIV/0!</v>
      </c>
      <c r="J57"/>
    </row>
    <row r="58" spans="1:10" ht="28.5" hidden="1">
      <c r="A58" s="279" t="s">
        <v>359</v>
      </c>
      <c r="B58" s="245"/>
      <c r="C58" s="53" t="s">
        <v>419</v>
      </c>
      <c r="D58" s="116" t="s">
        <v>106</v>
      </c>
      <c r="E58" s="116" t="s">
        <v>360</v>
      </c>
      <c r="F58" s="130"/>
      <c r="G58" s="147">
        <f>SUM(G59:G59)</f>
        <v>0</v>
      </c>
      <c r="H58" s="14">
        <f>SUM(H59:H59)</f>
        <v>2142.4</v>
      </c>
      <c r="I58" s="14" t="e">
        <f t="shared" si="1"/>
        <v>#DIV/0!</v>
      </c>
      <c r="J58"/>
    </row>
    <row r="59" spans="1:10" ht="15" hidden="1">
      <c r="A59" s="279" t="s">
        <v>92</v>
      </c>
      <c r="B59" s="245"/>
      <c r="C59" s="53" t="s">
        <v>419</v>
      </c>
      <c r="D59" s="116" t="s">
        <v>106</v>
      </c>
      <c r="E59" s="116" t="s">
        <v>360</v>
      </c>
      <c r="F59" s="130" t="s">
        <v>93</v>
      </c>
      <c r="G59" s="147"/>
      <c r="H59" s="14">
        <v>2142.4</v>
      </c>
      <c r="I59" s="14" t="e">
        <f t="shared" si="1"/>
        <v>#DIV/0!</v>
      </c>
      <c r="J59"/>
    </row>
    <row r="60" spans="1:10" ht="15" hidden="1">
      <c r="A60" s="279" t="s">
        <v>361</v>
      </c>
      <c r="B60" s="245"/>
      <c r="C60" s="53" t="s">
        <v>419</v>
      </c>
      <c r="D60" s="116" t="s">
        <v>106</v>
      </c>
      <c r="E60" s="116" t="s">
        <v>362</v>
      </c>
      <c r="F60" s="130"/>
      <c r="G60" s="147">
        <f>SUM(G61)</f>
        <v>0</v>
      </c>
      <c r="H60" s="14">
        <f>SUM(H61)</f>
        <v>2077.4</v>
      </c>
      <c r="I60" s="14" t="e">
        <f t="shared" si="1"/>
        <v>#DIV/0!</v>
      </c>
      <c r="J60"/>
    </row>
    <row r="61" spans="1:10" ht="15" hidden="1">
      <c r="A61" s="279" t="s">
        <v>92</v>
      </c>
      <c r="B61" s="245"/>
      <c r="C61" s="53" t="s">
        <v>419</v>
      </c>
      <c r="D61" s="116" t="s">
        <v>106</v>
      </c>
      <c r="E61" s="116" t="s">
        <v>362</v>
      </c>
      <c r="F61" s="130" t="s">
        <v>93</v>
      </c>
      <c r="G61" s="147"/>
      <c r="H61" s="14">
        <v>2077.4</v>
      </c>
      <c r="I61" s="14" t="e">
        <f t="shared" si="1"/>
        <v>#DIV/0!</v>
      </c>
      <c r="J61"/>
    </row>
    <row r="62" spans="1:9" s="15" customFormat="1" ht="15">
      <c r="A62" s="279" t="s">
        <v>368</v>
      </c>
      <c r="B62" s="244"/>
      <c r="C62" s="45" t="s">
        <v>419</v>
      </c>
      <c r="D62" s="54" t="s">
        <v>380</v>
      </c>
      <c r="E62" s="54"/>
      <c r="F62" s="129"/>
      <c r="G62" s="146">
        <f>SUM(G63)</f>
        <v>1213.4</v>
      </c>
      <c r="H62" s="14" t="e">
        <f>SUM(H63)</f>
        <v>#REF!</v>
      </c>
      <c r="I62" s="14" t="e">
        <f t="shared" si="1"/>
        <v>#REF!</v>
      </c>
    </row>
    <row r="63" spans="1:9" s="15" customFormat="1" ht="15">
      <c r="A63" s="279" t="s">
        <v>348</v>
      </c>
      <c r="B63" s="244"/>
      <c r="C63" s="45" t="s">
        <v>419</v>
      </c>
      <c r="D63" s="54" t="s">
        <v>380</v>
      </c>
      <c r="E63" s="54" t="s">
        <v>465</v>
      </c>
      <c r="F63" s="129"/>
      <c r="G63" s="146">
        <f>SUM(G64)</f>
        <v>1213.4</v>
      </c>
      <c r="H63" s="14" t="e">
        <f>SUM(#REF!)</f>
        <v>#REF!</v>
      </c>
      <c r="I63" s="14" t="e">
        <f t="shared" si="1"/>
        <v>#REF!</v>
      </c>
    </row>
    <row r="64" spans="1:10" s="15" customFormat="1" ht="15">
      <c r="A64" s="279" t="s">
        <v>459</v>
      </c>
      <c r="B64" s="244"/>
      <c r="C64" s="45" t="s">
        <v>419</v>
      </c>
      <c r="D64" s="54" t="s">
        <v>380</v>
      </c>
      <c r="E64" s="54" t="s">
        <v>465</v>
      </c>
      <c r="F64" s="129" t="s">
        <v>163</v>
      </c>
      <c r="G64" s="146">
        <f>1924.8-711.4</f>
        <v>1213.4</v>
      </c>
      <c r="H64" s="14" t="e">
        <f>SUM(#REF!)</f>
        <v>#REF!</v>
      </c>
      <c r="I64" s="14" t="e">
        <f t="shared" si="1"/>
        <v>#REF!</v>
      </c>
      <c r="J64" s="15">
        <f>SUM('ведомствен.2014'!G323)</f>
        <v>1213.3999999999996</v>
      </c>
    </row>
    <row r="65" spans="1:10" ht="15">
      <c r="A65" s="279" t="s">
        <v>101</v>
      </c>
      <c r="B65" s="244"/>
      <c r="C65" s="45" t="s">
        <v>419</v>
      </c>
      <c r="D65" s="54" t="s">
        <v>222</v>
      </c>
      <c r="E65" s="54"/>
      <c r="F65" s="130"/>
      <c r="G65" s="146">
        <f>SUM(G66+G79)</f>
        <v>43335.3</v>
      </c>
      <c r="H65" s="14" t="e">
        <f>SUM(H66+H81+#REF!+#REF!+#REF!+#REF!+H71+H78)</f>
        <v>#REF!</v>
      </c>
      <c r="I65" s="14" t="e">
        <f t="shared" si="1"/>
        <v>#REF!</v>
      </c>
      <c r="J65"/>
    </row>
    <row r="66" spans="1:10" ht="28.5">
      <c r="A66" s="280" t="s">
        <v>455</v>
      </c>
      <c r="B66" s="246"/>
      <c r="C66" s="166" t="s">
        <v>419</v>
      </c>
      <c r="D66" s="117" t="s">
        <v>222</v>
      </c>
      <c r="E66" s="117" t="s">
        <v>456</v>
      </c>
      <c r="F66" s="165"/>
      <c r="G66" s="144">
        <f>G67+G70+G72+G75</f>
        <v>40869.4</v>
      </c>
      <c r="H66" s="14">
        <f>SUM(H67+H69)</f>
        <v>2749.5</v>
      </c>
      <c r="I66" s="14">
        <f t="shared" si="1"/>
        <v>6.727527196386538</v>
      </c>
      <c r="J66"/>
    </row>
    <row r="67" spans="1:10" ht="15">
      <c r="A67" s="280" t="s">
        <v>444</v>
      </c>
      <c r="B67" s="247"/>
      <c r="C67" s="166" t="s">
        <v>419</v>
      </c>
      <c r="D67" s="117" t="s">
        <v>222</v>
      </c>
      <c r="E67" s="117" t="s">
        <v>457</v>
      </c>
      <c r="F67" s="134"/>
      <c r="G67" s="144">
        <f>G68+G69</f>
        <v>3660.5</v>
      </c>
      <c r="H67" s="14">
        <f>SUM(H68)</f>
        <v>2749.5</v>
      </c>
      <c r="I67" s="14">
        <f t="shared" si="1"/>
        <v>75.11268952328916</v>
      </c>
      <c r="J67"/>
    </row>
    <row r="68" spans="1:10" ht="15">
      <c r="A68" s="280" t="s">
        <v>458</v>
      </c>
      <c r="B68" s="247"/>
      <c r="C68" s="166" t="s">
        <v>419</v>
      </c>
      <c r="D68" s="117" t="s">
        <v>222</v>
      </c>
      <c r="E68" s="117" t="s">
        <v>457</v>
      </c>
      <c r="F68" s="134" t="s">
        <v>109</v>
      </c>
      <c r="G68" s="144">
        <v>3536.6</v>
      </c>
      <c r="H68" s="14">
        <v>2749.5</v>
      </c>
      <c r="I68" s="14">
        <f t="shared" si="1"/>
        <v>77.7441610586439</v>
      </c>
      <c r="J68" s="36">
        <f>SUM('ведомствен.2014'!G27+'ведомствен.2014'!G47+'ведомствен.2014'!G81+'ведомствен.2014'!G327)</f>
        <v>3536.6</v>
      </c>
    </row>
    <row r="69" spans="1:10" ht="15">
      <c r="A69" s="280" t="s">
        <v>459</v>
      </c>
      <c r="B69" s="247"/>
      <c r="C69" s="166" t="s">
        <v>419</v>
      </c>
      <c r="D69" s="117" t="s">
        <v>222</v>
      </c>
      <c r="E69" s="117" t="s">
        <v>457</v>
      </c>
      <c r="F69" s="134" t="s">
        <v>163</v>
      </c>
      <c r="G69" s="144">
        <v>123.9</v>
      </c>
      <c r="H69" s="14">
        <f>SUM(H70)</f>
        <v>0</v>
      </c>
      <c r="I69" s="14">
        <f t="shared" si="1"/>
        <v>0</v>
      </c>
      <c r="J69" s="36">
        <f>SUM('ведомствен.2014'!G28+'ведомствен.2014'!G48+'ведомствен.2014'!G82+'ведомствен.2014'!G328)</f>
        <v>123.9</v>
      </c>
    </row>
    <row r="70" spans="1:9" ht="28.5">
      <c r="A70" s="280" t="s">
        <v>445</v>
      </c>
      <c r="B70" s="247"/>
      <c r="C70" s="166" t="s">
        <v>419</v>
      </c>
      <c r="D70" s="117" t="s">
        <v>222</v>
      </c>
      <c r="E70" s="117" t="s">
        <v>460</v>
      </c>
      <c r="F70" s="134"/>
      <c r="G70" s="144">
        <f>SUM(G71)</f>
        <v>9654</v>
      </c>
      <c r="H70" s="14"/>
      <c r="I70" s="14">
        <f t="shared" si="1"/>
        <v>0</v>
      </c>
    </row>
    <row r="71" spans="1:10" ht="15">
      <c r="A71" s="280" t="s">
        <v>458</v>
      </c>
      <c r="B71" s="247"/>
      <c r="C71" s="166" t="s">
        <v>419</v>
      </c>
      <c r="D71" s="117" t="s">
        <v>222</v>
      </c>
      <c r="E71" s="117" t="s">
        <v>460</v>
      </c>
      <c r="F71" s="134" t="s">
        <v>109</v>
      </c>
      <c r="G71" s="144">
        <v>9654</v>
      </c>
      <c r="H71" s="14">
        <f>SUM(H75+H73)</f>
        <v>836.4</v>
      </c>
      <c r="I71" s="14">
        <f t="shared" si="1"/>
        <v>8.663766314481045</v>
      </c>
      <c r="J71" s="36">
        <f>SUM('ведомствен.2014'!G30+'ведомствен.2014'!G50+'ведомствен.2014'!G84+'ведомствен.2014'!G330)</f>
        <v>9654</v>
      </c>
    </row>
    <row r="72" spans="1:10" ht="28.5">
      <c r="A72" s="280" t="s">
        <v>480</v>
      </c>
      <c r="B72" s="247"/>
      <c r="C72" s="166" t="s">
        <v>419</v>
      </c>
      <c r="D72" s="117" t="s">
        <v>222</v>
      </c>
      <c r="E72" s="117" t="s">
        <v>481</v>
      </c>
      <c r="F72" s="134"/>
      <c r="G72" s="144">
        <f>SUM(G73:G74)</f>
        <v>2780.7</v>
      </c>
      <c r="H72" s="14">
        <f>SUM(H73)</f>
        <v>0</v>
      </c>
      <c r="I72" s="14">
        <f t="shared" si="1"/>
        <v>0</v>
      </c>
      <c r="J72"/>
    </row>
    <row r="73" spans="1:10" ht="15">
      <c r="A73" s="280" t="s">
        <v>458</v>
      </c>
      <c r="B73" s="247"/>
      <c r="C73" s="166" t="s">
        <v>419</v>
      </c>
      <c r="D73" s="117" t="s">
        <v>222</v>
      </c>
      <c r="E73" s="117" t="s">
        <v>481</v>
      </c>
      <c r="F73" s="134" t="s">
        <v>109</v>
      </c>
      <c r="G73" s="144">
        <v>2730.7</v>
      </c>
      <c r="H73" s="14"/>
      <c r="I73" s="14">
        <f t="shared" si="1"/>
        <v>0</v>
      </c>
      <c r="J73">
        <f>SUM('ведомствен.2014'!G86)</f>
        <v>3442.1</v>
      </c>
    </row>
    <row r="74" spans="1:10" ht="15">
      <c r="A74" s="280" t="s">
        <v>459</v>
      </c>
      <c r="B74" s="247"/>
      <c r="C74" s="166" t="s">
        <v>419</v>
      </c>
      <c r="D74" s="117" t="s">
        <v>222</v>
      </c>
      <c r="E74" s="117" t="s">
        <v>481</v>
      </c>
      <c r="F74" s="134" t="s">
        <v>163</v>
      </c>
      <c r="G74" s="144">
        <v>50</v>
      </c>
      <c r="H74" s="14"/>
      <c r="I74" s="14">
        <f t="shared" si="1"/>
        <v>0</v>
      </c>
      <c r="J74">
        <f>SUM('ведомствен.2014'!G87)</f>
        <v>50</v>
      </c>
    </row>
    <row r="75" spans="1:10" ht="28.5">
      <c r="A75" s="280" t="s">
        <v>461</v>
      </c>
      <c r="B75" s="247"/>
      <c r="C75" s="166" t="s">
        <v>419</v>
      </c>
      <c r="D75" s="117" t="s">
        <v>222</v>
      </c>
      <c r="E75" s="117" t="s">
        <v>462</v>
      </c>
      <c r="F75" s="134"/>
      <c r="G75" s="144">
        <f>SUM(G76:G78)</f>
        <v>24774.2</v>
      </c>
      <c r="H75" s="14">
        <f>SUM(H76)</f>
        <v>836.4</v>
      </c>
      <c r="I75" s="14">
        <f t="shared" si="1"/>
        <v>3.3760928708091478</v>
      </c>
      <c r="J75"/>
    </row>
    <row r="76" spans="1:10" ht="15">
      <c r="A76" s="280" t="s">
        <v>458</v>
      </c>
      <c r="B76" s="247"/>
      <c r="C76" s="166" t="s">
        <v>419</v>
      </c>
      <c r="D76" s="117" t="s">
        <v>222</v>
      </c>
      <c r="E76" s="117" t="s">
        <v>462</v>
      </c>
      <c r="F76" s="134" t="s">
        <v>109</v>
      </c>
      <c r="G76" s="144">
        <f>20967.7+711.4</f>
        <v>21679.100000000002</v>
      </c>
      <c r="H76" s="14">
        <v>836.4</v>
      </c>
      <c r="I76" s="14">
        <f t="shared" si="1"/>
        <v>3.8580937400537842</v>
      </c>
      <c r="J76">
        <f>SUM('ведомствен.2014'!G32+'ведомствен.2014'!G52+'ведомствен.2014'!G89+'ведомствен.2014'!G332)</f>
        <v>20967.7</v>
      </c>
    </row>
    <row r="77" spans="1:10" ht="15">
      <c r="A77" s="279" t="s">
        <v>463</v>
      </c>
      <c r="B77" s="244"/>
      <c r="C77" s="45" t="s">
        <v>419</v>
      </c>
      <c r="D77" s="54" t="s">
        <v>222</v>
      </c>
      <c r="E77" s="54" t="s">
        <v>462</v>
      </c>
      <c r="F77" s="131" t="s">
        <v>464</v>
      </c>
      <c r="G77" s="146">
        <v>416</v>
      </c>
      <c r="H77" s="14"/>
      <c r="I77" s="14"/>
      <c r="J77">
        <f>SUM('ведомствен.2014'!G33)</f>
        <v>416</v>
      </c>
    </row>
    <row r="78" spans="1:10" ht="15">
      <c r="A78" s="280" t="s">
        <v>459</v>
      </c>
      <c r="B78" s="247"/>
      <c r="C78" s="166" t="s">
        <v>419</v>
      </c>
      <c r="D78" s="117" t="s">
        <v>222</v>
      </c>
      <c r="E78" s="117" t="s">
        <v>462</v>
      </c>
      <c r="F78" s="134" t="s">
        <v>163</v>
      </c>
      <c r="G78" s="144">
        <v>2679.1</v>
      </c>
      <c r="H78" s="14">
        <f>SUM(H80)</f>
        <v>536.9</v>
      </c>
      <c r="I78" s="14">
        <f t="shared" si="1"/>
        <v>20.04031204508977</v>
      </c>
      <c r="J78">
        <f>SUM('ведомствен.2014'!G34+'ведомствен.2014'!G53+'ведомствен.2014'!G90+'ведомствен.2014'!G333)</f>
        <v>2679.1</v>
      </c>
    </row>
    <row r="79" spans="1:10" ht="28.5">
      <c r="A79" s="280" t="s">
        <v>557</v>
      </c>
      <c r="B79" s="247"/>
      <c r="C79" s="166" t="s">
        <v>419</v>
      </c>
      <c r="D79" s="117" t="s">
        <v>222</v>
      </c>
      <c r="E79" s="117" t="s">
        <v>125</v>
      </c>
      <c r="F79" s="134"/>
      <c r="G79" s="144">
        <f>G80</f>
        <v>2465.9</v>
      </c>
      <c r="H79" s="14">
        <f>SUM(H80)</f>
        <v>536.9</v>
      </c>
      <c r="I79" s="14">
        <f t="shared" si="1"/>
        <v>21.772983494870026</v>
      </c>
      <c r="J79"/>
    </row>
    <row r="80" spans="1:10" ht="28.5">
      <c r="A80" s="280" t="s">
        <v>11</v>
      </c>
      <c r="B80" s="247"/>
      <c r="C80" s="166" t="s">
        <v>419</v>
      </c>
      <c r="D80" s="117" t="s">
        <v>222</v>
      </c>
      <c r="E80" s="117" t="s">
        <v>190</v>
      </c>
      <c r="F80" s="134"/>
      <c r="G80" s="144">
        <f>G81+G83</f>
        <v>2465.9</v>
      </c>
      <c r="H80" s="14">
        <f>423.2+113.7</f>
        <v>536.9</v>
      </c>
      <c r="I80" s="14">
        <f t="shared" si="1"/>
        <v>21.772983494870026</v>
      </c>
      <c r="J80"/>
    </row>
    <row r="81" spans="1:10" ht="28.5">
      <c r="A81" s="282" t="s">
        <v>582</v>
      </c>
      <c r="B81" s="247"/>
      <c r="C81" s="166" t="s">
        <v>419</v>
      </c>
      <c r="D81" s="117" t="s">
        <v>222</v>
      </c>
      <c r="E81" s="117" t="s">
        <v>192</v>
      </c>
      <c r="F81" s="134"/>
      <c r="G81" s="144">
        <f>SUM(G82)</f>
        <v>2380.3</v>
      </c>
      <c r="H81" s="14">
        <f>SUM(H83)</f>
        <v>917.7</v>
      </c>
      <c r="I81" s="14">
        <f t="shared" si="1"/>
        <v>38.55396378607738</v>
      </c>
      <c r="J81"/>
    </row>
    <row r="82" spans="1:10" ht="28.5">
      <c r="A82" s="280" t="s">
        <v>482</v>
      </c>
      <c r="B82" s="247"/>
      <c r="C82" s="166" t="s">
        <v>419</v>
      </c>
      <c r="D82" s="117" t="s">
        <v>222</v>
      </c>
      <c r="E82" s="117" t="s">
        <v>192</v>
      </c>
      <c r="F82" s="134" t="s">
        <v>471</v>
      </c>
      <c r="G82" s="144">
        <v>2380.3</v>
      </c>
      <c r="H82" s="14"/>
      <c r="I82" s="14"/>
      <c r="J82">
        <f>SUM('ведомствен.2014'!G94)</f>
        <v>2380.3</v>
      </c>
    </row>
    <row r="83" spans="1:10" ht="28.5">
      <c r="A83" s="279" t="s">
        <v>146</v>
      </c>
      <c r="B83" s="247"/>
      <c r="C83" s="166" t="s">
        <v>419</v>
      </c>
      <c r="D83" s="117" t="s">
        <v>222</v>
      </c>
      <c r="E83" s="117" t="s">
        <v>376</v>
      </c>
      <c r="F83" s="134"/>
      <c r="G83" s="144">
        <f>SUM(G84)</f>
        <v>85.6</v>
      </c>
      <c r="H83" s="14">
        <f>SUM(H84)</f>
        <v>917.7</v>
      </c>
      <c r="I83" s="14">
        <f t="shared" si="1"/>
        <v>1072.0794392523367</v>
      </c>
      <c r="J83"/>
    </row>
    <row r="84" spans="1:10" ht="28.5">
      <c r="A84" s="280" t="s">
        <v>133</v>
      </c>
      <c r="B84" s="247"/>
      <c r="C84" s="166" t="s">
        <v>419</v>
      </c>
      <c r="D84" s="117" t="s">
        <v>222</v>
      </c>
      <c r="E84" s="117" t="s">
        <v>377</v>
      </c>
      <c r="F84" s="134"/>
      <c r="G84" s="144">
        <f>SUM(G85)</f>
        <v>85.6</v>
      </c>
      <c r="H84" s="14">
        <v>917.7</v>
      </c>
      <c r="I84" s="14">
        <f t="shared" si="1"/>
        <v>1072.0794392523367</v>
      </c>
      <c r="J84">
        <f>SUM('ведомствен.2014'!G96)</f>
        <v>85.6</v>
      </c>
    </row>
    <row r="85" spans="1:9" ht="28.5">
      <c r="A85" s="280" t="s">
        <v>482</v>
      </c>
      <c r="B85" s="247"/>
      <c r="C85" s="166" t="s">
        <v>419</v>
      </c>
      <c r="D85" s="117" t="s">
        <v>222</v>
      </c>
      <c r="E85" s="117" t="s">
        <v>377</v>
      </c>
      <c r="F85" s="134" t="s">
        <v>471</v>
      </c>
      <c r="G85" s="144">
        <v>85.6</v>
      </c>
      <c r="H85" s="14"/>
      <c r="I85" s="14"/>
    </row>
    <row r="86" spans="1:12" s="13" customFormat="1" ht="30">
      <c r="A86" s="283" t="s">
        <v>128</v>
      </c>
      <c r="B86" s="248"/>
      <c r="C86" s="136" t="s">
        <v>95</v>
      </c>
      <c r="D86" s="119"/>
      <c r="E86" s="119"/>
      <c r="F86" s="133"/>
      <c r="G86" s="148">
        <f>SUM(G87+G93)</f>
        <v>21580.8</v>
      </c>
      <c r="H86" s="17" t="e">
        <f>SUM(#REF!+H91)+H111</f>
        <v>#REF!</v>
      </c>
      <c r="I86" s="17" t="e">
        <f t="shared" si="1"/>
        <v>#REF!</v>
      </c>
      <c r="K86" s="13">
        <f>SUM(J87:J114)</f>
        <v>21580.800000000003</v>
      </c>
      <c r="L86" s="13">
        <f>SUM('ведомствен.2014'!G99)</f>
        <v>21580.8</v>
      </c>
    </row>
    <row r="87" spans="1:9" s="16" customFormat="1" ht="15">
      <c r="A87" s="284" t="s">
        <v>49</v>
      </c>
      <c r="B87" s="247"/>
      <c r="C87" s="166" t="s">
        <v>95</v>
      </c>
      <c r="D87" s="117" t="s">
        <v>111</v>
      </c>
      <c r="E87" s="117"/>
      <c r="F87" s="134"/>
      <c r="G87" s="144">
        <f>SUM(G89)</f>
        <v>4966.7</v>
      </c>
      <c r="H87" s="14">
        <f>SUM(H89)</f>
        <v>0</v>
      </c>
      <c r="I87" s="14" t="e">
        <f>SUM(H87/#REF!*100)</f>
        <v>#REF!</v>
      </c>
    </row>
    <row r="88" spans="1:9" s="16" customFormat="1" ht="15">
      <c r="A88" s="280" t="s">
        <v>371</v>
      </c>
      <c r="B88" s="247"/>
      <c r="C88" s="166" t="s">
        <v>95</v>
      </c>
      <c r="D88" s="117" t="s">
        <v>111</v>
      </c>
      <c r="E88" s="117" t="s">
        <v>372</v>
      </c>
      <c r="F88" s="134"/>
      <c r="G88" s="144">
        <f>SUM(G89)</f>
        <v>4966.7</v>
      </c>
      <c r="H88" s="14"/>
      <c r="I88" s="14"/>
    </row>
    <row r="89" spans="1:9" s="16" customFormat="1" ht="28.5">
      <c r="A89" s="280" t="s">
        <v>574</v>
      </c>
      <c r="B89" s="247"/>
      <c r="C89" s="166" t="s">
        <v>95</v>
      </c>
      <c r="D89" s="117" t="s">
        <v>111</v>
      </c>
      <c r="E89" s="117" t="s">
        <v>595</v>
      </c>
      <c r="F89" s="134"/>
      <c r="G89" s="144">
        <f>G90+G91+G92</f>
        <v>4966.7</v>
      </c>
      <c r="H89" s="14">
        <f>SUM(H90)</f>
        <v>0</v>
      </c>
      <c r="I89" s="14" t="e">
        <f>SUM(H89/#REF!*100)</f>
        <v>#REF!</v>
      </c>
    </row>
    <row r="90" spans="1:10" s="16" customFormat="1" ht="42.75">
      <c r="A90" s="280" t="s">
        <v>453</v>
      </c>
      <c r="B90" s="247"/>
      <c r="C90" s="166" t="s">
        <v>95</v>
      </c>
      <c r="D90" s="117" t="s">
        <v>111</v>
      </c>
      <c r="E90" s="117" t="s">
        <v>595</v>
      </c>
      <c r="F90" s="134" t="s">
        <v>454</v>
      </c>
      <c r="G90" s="144">
        <v>3843.6</v>
      </c>
      <c r="H90" s="14"/>
      <c r="I90" s="14" t="e">
        <f>SUM(H90/#REF!*100)</f>
        <v>#REF!</v>
      </c>
      <c r="J90" s="16">
        <f>SUM('ведомствен.2014'!G103)</f>
        <v>3843.6</v>
      </c>
    </row>
    <row r="91" spans="1:10" ht="15">
      <c r="A91" s="280" t="s">
        <v>458</v>
      </c>
      <c r="B91" s="247"/>
      <c r="C91" s="166" t="s">
        <v>95</v>
      </c>
      <c r="D91" s="117" t="s">
        <v>111</v>
      </c>
      <c r="E91" s="117" t="s">
        <v>595</v>
      </c>
      <c r="F91" s="134" t="s">
        <v>109</v>
      </c>
      <c r="G91" s="144">
        <v>1025.1</v>
      </c>
      <c r="H91" s="14" t="e">
        <f>SUM(#REF!+H96+H99+H102)+#REF!</f>
        <v>#REF!</v>
      </c>
      <c r="I91" s="14" t="e">
        <f>SUM(H91/G93*100)</f>
        <v>#REF!</v>
      </c>
      <c r="J91" s="16">
        <f>SUM('ведомствен.2014'!G104)</f>
        <v>1025.1</v>
      </c>
    </row>
    <row r="92" spans="1:10" ht="15">
      <c r="A92" s="280" t="s">
        <v>459</v>
      </c>
      <c r="B92" s="247"/>
      <c r="C92" s="166" t="s">
        <v>95</v>
      </c>
      <c r="D92" s="117" t="s">
        <v>111</v>
      </c>
      <c r="E92" s="117" t="s">
        <v>595</v>
      </c>
      <c r="F92" s="134" t="s">
        <v>163</v>
      </c>
      <c r="G92" s="144">
        <v>98</v>
      </c>
      <c r="H92" s="14" t="e">
        <f>SUM(#REF!)</f>
        <v>#REF!</v>
      </c>
      <c r="I92" s="14" t="e">
        <f>SUM(H92/G94*100)</f>
        <v>#REF!</v>
      </c>
      <c r="J92" s="16">
        <f>SUM('ведомствен.2014'!G105)</f>
        <v>98</v>
      </c>
    </row>
    <row r="93" spans="1:9" ht="42.75">
      <c r="A93" s="285" t="s">
        <v>284</v>
      </c>
      <c r="B93" s="249"/>
      <c r="C93" s="141" t="s">
        <v>95</v>
      </c>
      <c r="D93" s="120" t="s">
        <v>285</v>
      </c>
      <c r="E93" s="120"/>
      <c r="F93" s="168"/>
      <c r="G93" s="149">
        <f>G104+G109+G94+G112</f>
        <v>16614.1</v>
      </c>
      <c r="H93" s="14">
        <v>438.8</v>
      </c>
      <c r="I93" s="14" t="e">
        <f>SUM(H93/G99*100)</f>
        <v>#DIV/0!</v>
      </c>
    </row>
    <row r="94" spans="1:10" ht="42.75">
      <c r="A94" s="280" t="s">
        <v>558</v>
      </c>
      <c r="B94" s="247"/>
      <c r="C94" s="166" t="s">
        <v>95</v>
      </c>
      <c r="D94" s="117" t="s">
        <v>285</v>
      </c>
      <c r="E94" s="117" t="s">
        <v>486</v>
      </c>
      <c r="F94" s="134"/>
      <c r="G94" s="144">
        <f>SUM(G95)</f>
        <v>12554.099999999999</v>
      </c>
      <c r="H94" s="14">
        <f>SUM(H95)</f>
        <v>9825.3</v>
      </c>
      <c r="I94" s="14">
        <f>SUM(H94/G100*100)</f>
        <v>385.2454516938519</v>
      </c>
      <c r="J94"/>
    </row>
    <row r="95" spans="1:9" ht="28.5">
      <c r="A95" s="280" t="s">
        <v>46</v>
      </c>
      <c r="B95" s="247"/>
      <c r="C95" s="166" t="s">
        <v>95</v>
      </c>
      <c r="D95" s="117" t="s">
        <v>285</v>
      </c>
      <c r="E95" s="117" t="s">
        <v>487</v>
      </c>
      <c r="F95" s="134"/>
      <c r="G95" s="144">
        <f>G96+G100+G103</f>
        <v>12554.099999999999</v>
      </c>
      <c r="H95" s="14">
        <v>9825.3</v>
      </c>
      <c r="I95" s="14" t="e">
        <f>SUM(H95/G101*100)</f>
        <v>#DIV/0!</v>
      </c>
    </row>
    <row r="96" spans="1:10" ht="42.75">
      <c r="A96" s="280" t="s">
        <v>453</v>
      </c>
      <c r="B96" s="247"/>
      <c r="C96" s="166" t="s">
        <v>95</v>
      </c>
      <c r="D96" s="117" t="s">
        <v>285</v>
      </c>
      <c r="E96" s="117" t="s">
        <v>487</v>
      </c>
      <c r="F96" s="134" t="s">
        <v>454</v>
      </c>
      <c r="G96" s="144">
        <v>9898.3</v>
      </c>
      <c r="H96" s="14">
        <f>SUM(H97)</f>
        <v>227.3</v>
      </c>
      <c r="I96" s="14" t="e">
        <f>SUM(H96/G102*100)</f>
        <v>#DIV/0!</v>
      </c>
      <c r="J96">
        <f>SUM('ведомствен.2014'!G109)</f>
        <v>9898.3</v>
      </c>
    </row>
    <row r="97" spans="1:10" ht="15" hidden="1">
      <c r="A97" s="280" t="s">
        <v>488</v>
      </c>
      <c r="B97" s="247"/>
      <c r="C97" s="166" t="s">
        <v>95</v>
      </c>
      <c r="D97" s="117" t="s">
        <v>285</v>
      </c>
      <c r="E97" s="117" t="s">
        <v>487</v>
      </c>
      <c r="F97" s="134" t="s">
        <v>489</v>
      </c>
      <c r="G97" s="144"/>
      <c r="H97" s="14">
        <f>SUM(H98)</f>
        <v>227.3</v>
      </c>
      <c r="I97" s="14">
        <f aca="true" t="shared" si="2" ref="I97:I102">SUM(H97/G104*100)</f>
        <v>8.265454545454546</v>
      </c>
      <c r="J97"/>
    </row>
    <row r="98" spans="1:9" ht="28.5" hidden="1">
      <c r="A98" s="280" t="s">
        <v>490</v>
      </c>
      <c r="B98" s="250"/>
      <c r="C98" s="166" t="s">
        <v>95</v>
      </c>
      <c r="D98" s="117" t="s">
        <v>285</v>
      </c>
      <c r="E98" s="117" t="s">
        <v>487</v>
      </c>
      <c r="F98" s="134" t="s">
        <v>491</v>
      </c>
      <c r="G98" s="144"/>
      <c r="H98" s="14">
        <v>227.3</v>
      </c>
      <c r="I98" s="14">
        <f t="shared" si="2"/>
        <v>30.306666666666672</v>
      </c>
    </row>
    <row r="99" spans="1:10" ht="28.5" hidden="1">
      <c r="A99" s="280" t="s">
        <v>492</v>
      </c>
      <c r="B99" s="250"/>
      <c r="C99" s="166" t="s">
        <v>95</v>
      </c>
      <c r="D99" s="117" t="s">
        <v>285</v>
      </c>
      <c r="E99" s="117" t="s">
        <v>487</v>
      </c>
      <c r="F99" s="134" t="s">
        <v>493</v>
      </c>
      <c r="G99" s="144"/>
      <c r="H99" s="14">
        <f>SUM(H100)</f>
        <v>5387.8</v>
      </c>
      <c r="I99" s="14">
        <f t="shared" si="2"/>
        <v>718.3733333333333</v>
      </c>
      <c r="J99"/>
    </row>
    <row r="100" spans="1:10" ht="15.75">
      <c r="A100" s="280" t="s">
        <v>458</v>
      </c>
      <c r="B100" s="250"/>
      <c r="C100" s="166" t="s">
        <v>95</v>
      </c>
      <c r="D100" s="117" t="s">
        <v>285</v>
      </c>
      <c r="E100" s="117" t="s">
        <v>487</v>
      </c>
      <c r="F100" s="134" t="s">
        <v>109</v>
      </c>
      <c r="G100" s="144">
        <v>2550.4</v>
      </c>
      <c r="H100" s="14">
        <f>SUM(H101)</f>
        <v>5387.8</v>
      </c>
      <c r="I100" s="14">
        <f t="shared" si="2"/>
        <v>269.39000000000004</v>
      </c>
      <c r="J100">
        <f>SUM('ведомствен.2014'!G113)</f>
        <v>2550.4</v>
      </c>
    </row>
    <row r="101" spans="1:9" ht="28.5" hidden="1">
      <c r="A101" s="280" t="s">
        <v>476</v>
      </c>
      <c r="B101" s="250"/>
      <c r="C101" s="166" t="s">
        <v>95</v>
      </c>
      <c r="D101" s="117" t="s">
        <v>285</v>
      </c>
      <c r="E101" s="117" t="s">
        <v>487</v>
      </c>
      <c r="F101" s="134" t="s">
        <v>477</v>
      </c>
      <c r="G101" s="144"/>
      <c r="H101" s="14">
        <v>5387.8</v>
      </c>
      <c r="I101" s="14">
        <f t="shared" si="2"/>
        <v>269.39000000000004</v>
      </c>
    </row>
    <row r="102" spans="1:9" s="19" customFormat="1" ht="28.5" hidden="1">
      <c r="A102" s="280" t="s">
        <v>478</v>
      </c>
      <c r="B102" s="247"/>
      <c r="C102" s="166" t="s">
        <v>95</v>
      </c>
      <c r="D102" s="117" t="s">
        <v>285</v>
      </c>
      <c r="E102" s="117" t="s">
        <v>487</v>
      </c>
      <c r="F102" s="134" t="s">
        <v>479</v>
      </c>
      <c r="G102" s="144"/>
      <c r="H102" s="14">
        <f>SUM(H105)</f>
        <v>0</v>
      </c>
      <c r="I102" s="14">
        <f t="shared" si="2"/>
        <v>0</v>
      </c>
    </row>
    <row r="103" spans="1:10" s="19" customFormat="1" ht="15">
      <c r="A103" s="280" t="s">
        <v>459</v>
      </c>
      <c r="B103" s="247"/>
      <c r="C103" s="166" t="s">
        <v>95</v>
      </c>
      <c r="D103" s="117" t="s">
        <v>285</v>
      </c>
      <c r="E103" s="117" t="s">
        <v>487</v>
      </c>
      <c r="F103" s="134" t="s">
        <v>163</v>
      </c>
      <c r="G103" s="144">
        <v>105.4</v>
      </c>
      <c r="H103" s="14"/>
      <c r="I103" s="14"/>
      <c r="J103" s="19">
        <f>SUM('ведомствен.2014'!G115)</f>
        <v>105.4</v>
      </c>
    </row>
    <row r="104" spans="1:9" s="19" customFormat="1" ht="28.5">
      <c r="A104" s="280" t="s">
        <v>559</v>
      </c>
      <c r="B104" s="247"/>
      <c r="C104" s="166" t="s">
        <v>95</v>
      </c>
      <c r="D104" s="117" t="s">
        <v>285</v>
      </c>
      <c r="E104" s="117" t="s">
        <v>494</v>
      </c>
      <c r="F104" s="134"/>
      <c r="G104" s="144">
        <f>SUM(G106+G108)</f>
        <v>2750</v>
      </c>
      <c r="H104" s="14">
        <f>SUM(H105)</f>
        <v>0</v>
      </c>
      <c r="I104" s="14">
        <f>SUM(H104/G110*100)</f>
        <v>0</v>
      </c>
    </row>
    <row r="105" spans="1:10" ht="28.5">
      <c r="A105" s="280" t="s">
        <v>560</v>
      </c>
      <c r="B105" s="247"/>
      <c r="C105" s="166" t="s">
        <v>95</v>
      </c>
      <c r="D105" s="117" t="s">
        <v>285</v>
      </c>
      <c r="E105" s="117" t="s">
        <v>495</v>
      </c>
      <c r="F105" s="134"/>
      <c r="G105" s="144">
        <f>SUM(G106)</f>
        <v>750</v>
      </c>
      <c r="H105" s="14"/>
      <c r="I105" s="14">
        <f>SUM(H105/G111*100)</f>
        <v>0</v>
      </c>
      <c r="J105"/>
    </row>
    <row r="106" spans="1:10" ht="15">
      <c r="A106" s="280" t="s">
        <v>458</v>
      </c>
      <c r="B106" s="247"/>
      <c r="C106" s="166" t="s">
        <v>95</v>
      </c>
      <c r="D106" s="117" t="s">
        <v>285</v>
      </c>
      <c r="E106" s="117" t="s">
        <v>495</v>
      </c>
      <c r="F106" s="134" t="s">
        <v>109</v>
      </c>
      <c r="G106" s="144">
        <v>750</v>
      </c>
      <c r="H106" s="14"/>
      <c r="I106" s="14"/>
      <c r="J106">
        <f>SUM('ведомствен.2014'!G118)</f>
        <v>750</v>
      </c>
    </row>
    <row r="107" spans="1:10" ht="28.5">
      <c r="A107" s="280" t="s">
        <v>0</v>
      </c>
      <c r="B107" s="247"/>
      <c r="C107" s="166" t="s">
        <v>95</v>
      </c>
      <c r="D107" s="117" t="s">
        <v>285</v>
      </c>
      <c r="E107" s="117" t="s">
        <v>496</v>
      </c>
      <c r="F107" s="134"/>
      <c r="G107" s="144">
        <f>SUM(G108)</f>
        <v>2000</v>
      </c>
      <c r="H107" s="14"/>
      <c r="I107" s="14"/>
      <c r="J107"/>
    </row>
    <row r="108" spans="1:10" ht="15">
      <c r="A108" s="280" t="s">
        <v>459</v>
      </c>
      <c r="B108" s="247"/>
      <c r="C108" s="166" t="s">
        <v>95</v>
      </c>
      <c r="D108" s="117" t="s">
        <v>285</v>
      </c>
      <c r="E108" s="117" t="s">
        <v>496</v>
      </c>
      <c r="F108" s="134" t="s">
        <v>163</v>
      </c>
      <c r="G108" s="144">
        <v>2000</v>
      </c>
      <c r="H108" s="14"/>
      <c r="I108" s="14"/>
      <c r="J108">
        <f>SUM('ведомствен.2014'!G120)</f>
        <v>2000</v>
      </c>
    </row>
    <row r="109" spans="1:10" ht="15">
      <c r="A109" s="280" t="s">
        <v>1</v>
      </c>
      <c r="B109" s="251"/>
      <c r="C109" s="170" t="s">
        <v>95</v>
      </c>
      <c r="D109" s="171" t="s">
        <v>285</v>
      </c>
      <c r="E109" s="171" t="s">
        <v>497</v>
      </c>
      <c r="F109" s="172"/>
      <c r="G109" s="144">
        <f>SUM(G110)</f>
        <v>10</v>
      </c>
      <c r="H109" s="14"/>
      <c r="I109" s="14"/>
      <c r="J109"/>
    </row>
    <row r="110" spans="1:10" ht="28.5">
      <c r="A110" s="280" t="s">
        <v>2</v>
      </c>
      <c r="B110" s="251"/>
      <c r="C110" s="235" t="s">
        <v>95</v>
      </c>
      <c r="D110" s="173" t="s">
        <v>285</v>
      </c>
      <c r="E110" s="173" t="s">
        <v>498</v>
      </c>
      <c r="F110" s="174"/>
      <c r="G110" s="144">
        <f>SUM(G111)</f>
        <v>10</v>
      </c>
      <c r="H110" s="14"/>
      <c r="I110" s="14"/>
      <c r="J110"/>
    </row>
    <row r="111" spans="1:10" ht="15">
      <c r="A111" s="280" t="s">
        <v>458</v>
      </c>
      <c r="B111" s="251"/>
      <c r="C111" s="235" t="s">
        <v>95</v>
      </c>
      <c r="D111" s="173" t="s">
        <v>285</v>
      </c>
      <c r="E111" s="173" t="s">
        <v>498</v>
      </c>
      <c r="F111" s="174" t="s">
        <v>109</v>
      </c>
      <c r="G111" s="144">
        <v>10</v>
      </c>
      <c r="H111" s="14" t="e">
        <f>SUM(#REF!+H113)</f>
        <v>#REF!</v>
      </c>
      <c r="I111" s="14" t="e">
        <f>SUM(H111/#REF!*100)</f>
        <v>#REF!</v>
      </c>
      <c r="J111">
        <f>SUM('ведомствен.2014'!G123)</f>
        <v>10</v>
      </c>
    </row>
    <row r="112" spans="1:10" ht="15">
      <c r="A112" s="286" t="s">
        <v>509</v>
      </c>
      <c r="B112" s="251"/>
      <c r="C112" s="56" t="s">
        <v>95</v>
      </c>
      <c r="D112" s="111" t="s">
        <v>285</v>
      </c>
      <c r="E112" s="116" t="s">
        <v>118</v>
      </c>
      <c r="F112" s="175"/>
      <c r="G112" s="150">
        <f>SUM(G113)</f>
        <v>1300</v>
      </c>
      <c r="H112" s="14"/>
      <c r="I112" s="14" t="e">
        <f>SUM(H112/#REF!*100)</f>
        <v>#REF!</v>
      </c>
      <c r="J112"/>
    </row>
    <row r="113" spans="1:10" ht="28.5">
      <c r="A113" s="280" t="s">
        <v>623</v>
      </c>
      <c r="B113" s="244"/>
      <c r="C113" s="56" t="s">
        <v>95</v>
      </c>
      <c r="D113" s="111" t="s">
        <v>285</v>
      </c>
      <c r="E113" s="116" t="s">
        <v>127</v>
      </c>
      <c r="F113" s="130"/>
      <c r="G113" s="146">
        <f>SUM(G114)</f>
        <v>1300</v>
      </c>
      <c r="H113" s="14">
        <f>SUM(H114)</f>
        <v>0</v>
      </c>
      <c r="I113" s="14" t="e">
        <f>SUM(H113/#REF!*100)</f>
        <v>#REF!</v>
      </c>
      <c r="J113"/>
    </row>
    <row r="114" spans="1:10" ht="15">
      <c r="A114" s="280" t="s">
        <v>458</v>
      </c>
      <c r="B114" s="244"/>
      <c r="C114" s="56" t="s">
        <v>95</v>
      </c>
      <c r="D114" s="111" t="s">
        <v>285</v>
      </c>
      <c r="E114" s="116" t="s">
        <v>127</v>
      </c>
      <c r="F114" s="130" t="s">
        <v>109</v>
      </c>
      <c r="G114" s="146">
        <v>1300</v>
      </c>
      <c r="H114" s="14"/>
      <c r="I114" s="14" t="e">
        <f>SUM(H114/#REF!*100)</f>
        <v>#REF!</v>
      </c>
      <c r="J114">
        <f>SUM('ведомствен.2014'!G128)</f>
        <v>1300</v>
      </c>
    </row>
    <row r="115" spans="1:12" ht="15">
      <c r="A115" s="283" t="s">
        <v>110</v>
      </c>
      <c r="B115" s="248"/>
      <c r="C115" s="132" t="s">
        <v>111</v>
      </c>
      <c r="D115" s="118"/>
      <c r="E115" s="118"/>
      <c r="F115" s="135"/>
      <c r="G115" s="148">
        <f>SUM(G116+G131+G137)</f>
        <v>240921.9</v>
      </c>
      <c r="H115" s="14"/>
      <c r="I115" s="14">
        <f>SUM(H115/G127*100)</f>
        <v>0</v>
      </c>
      <c r="J115"/>
      <c r="K115">
        <f>SUM(J116:J161)</f>
        <v>240921.9</v>
      </c>
      <c r="L115">
        <f>SUM('ведомствен.2014'!G131+'ведомствен.2014'!G357+'ведомствен.2014'!G336)</f>
        <v>240921.9</v>
      </c>
    </row>
    <row r="116" spans="1:10" ht="15">
      <c r="A116" s="280" t="s">
        <v>112</v>
      </c>
      <c r="B116" s="247"/>
      <c r="C116" s="166" t="s">
        <v>111</v>
      </c>
      <c r="D116" s="117" t="s">
        <v>113</v>
      </c>
      <c r="E116" s="117"/>
      <c r="F116" s="134"/>
      <c r="G116" s="144">
        <f>G120+G117</f>
        <v>57997.399999999994</v>
      </c>
      <c r="H116" s="14">
        <v>870.4</v>
      </c>
      <c r="I116" s="14" t="e">
        <f>SUM(H116/G129*100)</f>
        <v>#DIV/0!</v>
      </c>
      <c r="J116"/>
    </row>
    <row r="117" spans="1:10" ht="28.5">
      <c r="A117" s="280" t="s">
        <v>455</v>
      </c>
      <c r="B117" s="252"/>
      <c r="C117" s="117" t="s">
        <v>111</v>
      </c>
      <c r="D117" s="117" t="s">
        <v>113</v>
      </c>
      <c r="E117" s="117" t="s">
        <v>456</v>
      </c>
      <c r="F117" s="134"/>
      <c r="G117" s="144">
        <f>SUM(G118)</f>
        <v>840</v>
      </c>
      <c r="H117" s="14"/>
      <c r="I117" s="14"/>
      <c r="J117"/>
    </row>
    <row r="118" spans="1:10" ht="15">
      <c r="A118" s="280" t="s">
        <v>644</v>
      </c>
      <c r="B118" s="252"/>
      <c r="C118" s="117" t="s">
        <v>111</v>
      </c>
      <c r="D118" s="117" t="s">
        <v>113</v>
      </c>
      <c r="E118" s="117" t="s">
        <v>645</v>
      </c>
      <c r="F118" s="134"/>
      <c r="G118" s="144">
        <f>SUM(G119)</f>
        <v>840</v>
      </c>
      <c r="H118" s="14"/>
      <c r="I118" s="14"/>
      <c r="J118"/>
    </row>
    <row r="119" spans="1:10" ht="15">
      <c r="A119" s="280" t="s">
        <v>458</v>
      </c>
      <c r="B119" s="252"/>
      <c r="C119" s="117" t="s">
        <v>111</v>
      </c>
      <c r="D119" s="117" t="s">
        <v>113</v>
      </c>
      <c r="E119" s="117" t="s">
        <v>645</v>
      </c>
      <c r="F119" s="134" t="s">
        <v>109</v>
      </c>
      <c r="G119" s="144">
        <v>840</v>
      </c>
      <c r="H119" s="14"/>
      <c r="I119" s="14"/>
      <c r="J119">
        <f>SUM('ведомствен.2014'!G135)</f>
        <v>840</v>
      </c>
    </row>
    <row r="120" spans="1:10" ht="28.5">
      <c r="A120" s="280" t="s">
        <v>499</v>
      </c>
      <c r="B120" s="247"/>
      <c r="C120" s="166" t="s">
        <v>111</v>
      </c>
      <c r="D120" s="117" t="s">
        <v>113</v>
      </c>
      <c r="E120" s="117" t="s">
        <v>500</v>
      </c>
      <c r="F120" s="134"/>
      <c r="G120" s="144">
        <f>G121+G125</f>
        <v>57157.399999999994</v>
      </c>
      <c r="H120" s="14">
        <f>SUM(H127)</f>
        <v>30706.4</v>
      </c>
      <c r="I120" s="14" t="e">
        <f>SUM(H120/G130*100)</f>
        <v>#DIV/0!</v>
      </c>
      <c r="J120"/>
    </row>
    <row r="121" spans="1:10" ht="15">
      <c r="A121" s="280" t="s">
        <v>501</v>
      </c>
      <c r="B121" s="247"/>
      <c r="C121" s="166" t="s">
        <v>111</v>
      </c>
      <c r="D121" s="117" t="s">
        <v>113</v>
      </c>
      <c r="E121" s="117" t="s">
        <v>502</v>
      </c>
      <c r="F121" s="134"/>
      <c r="G121" s="144">
        <f>G122</f>
        <v>25577.6</v>
      </c>
      <c r="H121" s="14"/>
      <c r="I121" s="14"/>
      <c r="J121"/>
    </row>
    <row r="122" spans="1:10" ht="28.5">
      <c r="A122" s="280" t="s">
        <v>6</v>
      </c>
      <c r="B122" s="247"/>
      <c r="C122" s="166" t="s">
        <v>111</v>
      </c>
      <c r="D122" s="117" t="s">
        <v>113</v>
      </c>
      <c r="E122" s="117" t="s">
        <v>503</v>
      </c>
      <c r="F122" s="134"/>
      <c r="G122" s="144">
        <f>SUM(G123)</f>
        <v>25577.6</v>
      </c>
      <c r="H122" s="14"/>
      <c r="I122" s="14"/>
      <c r="J122"/>
    </row>
    <row r="123" spans="1:10" ht="15">
      <c r="A123" s="280" t="s">
        <v>459</v>
      </c>
      <c r="B123" s="247"/>
      <c r="C123" s="166" t="s">
        <v>111</v>
      </c>
      <c r="D123" s="117" t="s">
        <v>113</v>
      </c>
      <c r="E123" s="117" t="s">
        <v>503</v>
      </c>
      <c r="F123" s="134" t="s">
        <v>163</v>
      </c>
      <c r="G123" s="144">
        <v>25577.6</v>
      </c>
      <c r="H123" s="14"/>
      <c r="I123" s="14"/>
      <c r="J123">
        <f>SUM('ведомствен.2014'!G139)+'ведомствен.2014'!G360</f>
        <v>25577.6</v>
      </c>
    </row>
    <row r="124" spans="1:10" ht="42.75" hidden="1">
      <c r="A124" s="280" t="s">
        <v>504</v>
      </c>
      <c r="B124" s="247"/>
      <c r="C124" s="166" t="s">
        <v>111</v>
      </c>
      <c r="D124" s="117" t="s">
        <v>113</v>
      </c>
      <c r="E124" s="117" t="s">
        <v>503</v>
      </c>
      <c r="F124" s="134" t="s">
        <v>195</v>
      </c>
      <c r="G124" s="144"/>
      <c r="H124" s="14"/>
      <c r="I124" s="14"/>
      <c r="J124"/>
    </row>
    <row r="125" spans="1:10" ht="15">
      <c r="A125" s="280" t="s">
        <v>114</v>
      </c>
      <c r="B125" s="247"/>
      <c r="C125" s="166" t="s">
        <v>111</v>
      </c>
      <c r="D125" s="117" t="s">
        <v>113</v>
      </c>
      <c r="E125" s="117" t="s">
        <v>378</v>
      </c>
      <c r="F125" s="134"/>
      <c r="G125" s="144">
        <f>G126</f>
        <v>31579.8</v>
      </c>
      <c r="H125" s="14"/>
      <c r="I125" s="14"/>
      <c r="J125"/>
    </row>
    <row r="126" spans="1:10" ht="28.5">
      <c r="A126" s="280" t="s">
        <v>11</v>
      </c>
      <c r="B126" s="247"/>
      <c r="C126" s="166" t="s">
        <v>111</v>
      </c>
      <c r="D126" s="117" t="s">
        <v>113</v>
      </c>
      <c r="E126" s="117" t="s">
        <v>65</v>
      </c>
      <c r="F126" s="134"/>
      <c r="G126" s="144">
        <f>SUM(G127)</f>
        <v>31579.8</v>
      </c>
      <c r="H126" s="14"/>
      <c r="I126" s="14"/>
      <c r="J126"/>
    </row>
    <row r="127" spans="1:10" ht="28.5">
      <c r="A127" s="280" t="s">
        <v>191</v>
      </c>
      <c r="B127" s="247"/>
      <c r="C127" s="166" t="s">
        <v>111</v>
      </c>
      <c r="D127" s="117" t="s">
        <v>113</v>
      </c>
      <c r="E127" s="117" t="s">
        <v>66</v>
      </c>
      <c r="F127" s="134"/>
      <c r="G127" s="144">
        <f>SUM(G128)</f>
        <v>31579.8</v>
      </c>
      <c r="H127" s="14">
        <f>SUM(H128)+H129</f>
        <v>30706.4</v>
      </c>
      <c r="I127" s="14">
        <f>SUM(H127/G133*100)</f>
        <v>18.169725487225854</v>
      </c>
      <c r="J127"/>
    </row>
    <row r="128" spans="1:10" ht="28.5">
      <c r="A128" s="280" t="s">
        <v>482</v>
      </c>
      <c r="B128" s="247"/>
      <c r="C128" s="166" t="s">
        <v>111</v>
      </c>
      <c r="D128" s="117" t="s">
        <v>113</v>
      </c>
      <c r="E128" s="117" t="s">
        <v>66</v>
      </c>
      <c r="F128" s="134" t="s">
        <v>471</v>
      </c>
      <c r="G128" s="144">
        <v>31579.8</v>
      </c>
      <c r="H128" s="14">
        <v>30706.4</v>
      </c>
      <c r="I128" s="14" t="e">
        <f>SUM(H128/G134*100)</f>
        <v>#DIV/0!</v>
      </c>
      <c r="J128" s="36">
        <f>SUM('ведомствен.2014'!G144)</f>
        <v>31579.8</v>
      </c>
    </row>
    <row r="129" spans="1:10" ht="15" hidden="1">
      <c r="A129" s="280" t="s">
        <v>483</v>
      </c>
      <c r="B129" s="247"/>
      <c r="C129" s="166" t="s">
        <v>111</v>
      </c>
      <c r="D129" s="117" t="s">
        <v>113</v>
      </c>
      <c r="E129" s="117" t="s">
        <v>66</v>
      </c>
      <c r="F129" s="134" t="s">
        <v>484</v>
      </c>
      <c r="G129" s="144"/>
      <c r="H129" s="14">
        <f>SUM(H130)</f>
        <v>0</v>
      </c>
      <c r="I129" s="14" t="e">
        <f>SUM(H129/G135*100)</f>
        <v>#DIV/0!</v>
      </c>
      <c r="J129"/>
    </row>
    <row r="130" spans="1:10" ht="57" hidden="1">
      <c r="A130" s="285" t="s">
        <v>485</v>
      </c>
      <c r="B130" s="247"/>
      <c r="C130" s="166" t="s">
        <v>111</v>
      </c>
      <c r="D130" s="117" t="s">
        <v>113</v>
      </c>
      <c r="E130" s="117" t="s">
        <v>66</v>
      </c>
      <c r="F130" s="134" t="s">
        <v>48</v>
      </c>
      <c r="G130" s="144"/>
      <c r="H130" s="14"/>
      <c r="I130" s="14" t="e">
        <f>SUM(H130/G136*100)</f>
        <v>#DIV/0!</v>
      </c>
      <c r="J130"/>
    </row>
    <row r="131" spans="1:10" ht="15">
      <c r="A131" s="280" t="s">
        <v>136</v>
      </c>
      <c r="B131" s="247"/>
      <c r="C131" s="166" t="s">
        <v>111</v>
      </c>
      <c r="D131" s="117" t="s">
        <v>285</v>
      </c>
      <c r="E131" s="117"/>
      <c r="F131" s="134"/>
      <c r="G131" s="144">
        <f>G132</f>
        <v>168997.6</v>
      </c>
      <c r="H131" s="14"/>
      <c r="I131" s="14"/>
      <c r="J131"/>
    </row>
    <row r="132" spans="1:9" s="48" customFormat="1" ht="42.75">
      <c r="A132" s="280" t="s">
        <v>28</v>
      </c>
      <c r="B132" s="247"/>
      <c r="C132" s="166" t="s">
        <v>111</v>
      </c>
      <c r="D132" s="117" t="s">
        <v>285</v>
      </c>
      <c r="E132" s="117" t="s">
        <v>29</v>
      </c>
      <c r="F132" s="134"/>
      <c r="G132" s="144">
        <f>G133</f>
        <v>168997.6</v>
      </c>
      <c r="H132" s="18"/>
      <c r="I132" s="18"/>
    </row>
    <row r="133" spans="1:10" s="48" customFormat="1" ht="15">
      <c r="A133" s="280" t="s">
        <v>458</v>
      </c>
      <c r="B133" s="247"/>
      <c r="C133" s="166" t="s">
        <v>111</v>
      </c>
      <c r="D133" s="117" t="s">
        <v>285</v>
      </c>
      <c r="E133" s="117" t="s">
        <v>29</v>
      </c>
      <c r="F133" s="134" t="s">
        <v>109</v>
      </c>
      <c r="G133" s="144">
        <f>68497.6+100500</f>
        <v>168997.6</v>
      </c>
      <c r="H133" s="18"/>
      <c r="I133" s="18"/>
      <c r="J133" s="36">
        <f>SUM('ведомствен.2014'!G149)</f>
        <v>168997.6</v>
      </c>
    </row>
    <row r="134" spans="1:9" s="2" customFormat="1" ht="28.5" hidden="1">
      <c r="A134" s="280" t="s">
        <v>476</v>
      </c>
      <c r="B134" s="247"/>
      <c r="C134" s="166" t="s">
        <v>111</v>
      </c>
      <c r="D134" s="117" t="s">
        <v>285</v>
      </c>
      <c r="E134" s="117" t="s">
        <v>29</v>
      </c>
      <c r="F134" s="134" t="s">
        <v>477</v>
      </c>
      <c r="G134" s="144"/>
      <c r="H134" s="18"/>
      <c r="I134" s="18"/>
    </row>
    <row r="135" spans="1:9" s="51" customFormat="1" ht="28.5" hidden="1">
      <c r="A135" s="280" t="s">
        <v>478</v>
      </c>
      <c r="B135" s="247"/>
      <c r="C135" s="166" t="s">
        <v>111</v>
      </c>
      <c r="D135" s="117" t="s">
        <v>285</v>
      </c>
      <c r="E135" s="117" t="s">
        <v>29</v>
      </c>
      <c r="F135" s="134" t="s">
        <v>479</v>
      </c>
      <c r="G135" s="144"/>
      <c r="H135" s="50"/>
      <c r="I135" s="50"/>
    </row>
    <row r="136" spans="1:9" s="15" customFormat="1" ht="28.5" hidden="1">
      <c r="A136" s="280" t="s">
        <v>505</v>
      </c>
      <c r="B136" s="247"/>
      <c r="C136" s="166" t="s">
        <v>111</v>
      </c>
      <c r="D136" s="117" t="s">
        <v>285</v>
      </c>
      <c r="E136" s="117" t="s">
        <v>29</v>
      </c>
      <c r="F136" s="134" t="s">
        <v>479</v>
      </c>
      <c r="G136" s="144"/>
      <c r="H136" s="14"/>
      <c r="I136" s="14"/>
    </row>
    <row r="137" spans="1:9" s="15" customFormat="1" ht="15">
      <c r="A137" s="280" t="s">
        <v>379</v>
      </c>
      <c r="B137" s="247"/>
      <c r="C137" s="166" t="s">
        <v>111</v>
      </c>
      <c r="D137" s="117" t="s">
        <v>369</v>
      </c>
      <c r="E137" s="117"/>
      <c r="F137" s="134"/>
      <c r="G137" s="144">
        <f>SUM(G138+G148+G154)+G152</f>
        <v>13926.900000000001</v>
      </c>
      <c r="H137" s="14"/>
      <c r="I137" s="14"/>
    </row>
    <row r="138" spans="1:9" s="15" customFormat="1" ht="28.5">
      <c r="A138" s="280" t="s">
        <v>499</v>
      </c>
      <c r="B138" s="247"/>
      <c r="C138" s="166" t="s">
        <v>111</v>
      </c>
      <c r="D138" s="117" t="s">
        <v>369</v>
      </c>
      <c r="E138" s="117" t="s">
        <v>500</v>
      </c>
      <c r="F138" s="134"/>
      <c r="G138" s="144">
        <f>SUM(G139)</f>
        <v>5584.1</v>
      </c>
      <c r="H138" s="14"/>
      <c r="I138" s="14"/>
    </row>
    <row r="139" spans="1:9" s="15" customFormat="1" ht="15">
      <c r="A139" s="280" t="s">
        <v>384</v>
      </c>
      <c r="B139" s="247"/>
      <c r="C139" s="166" t="s">
        <v>111</v>
      </c>
      <c r="D139" s="117" t="s">
        <v>369</v>
      </c>
      <c r="E139" s="117" t="s">
        <v>506</v>
      </c>
      <c r="F139" s="134"/>
      <c r="G139" s="144">
        <f>SUM(G140,G144)</f>
        <v>5584.1</v>
      </c>
      <c r="H139" s="14"/>
      <c r="I139" s="14"/>
    </row>
    <row r="140" spans="1:9" s="51" customFormat="1" ht="28.5">
      <c r="A140" s="280" t="s">
        <v>510</v>
      </c>
      <c r="B140" s="247"/>
      <c r="C140" s="166" t="s">
        <v>111</v>
      </c>
      <c r="D140" s="117" t="s">
        <v>369</v>
      </c>
      <c r="E140" s="173" t="s">
        <v>507</v>
      </c>
      <c r="F140" s="134"/>
      <c r="G140" s="144">
        <f>SUM(G141)</f>
        <v>1704.7</v>
      </c>
      <c r="H140" s="50"/>
      <c r="I140" s="50"/>
    </row>
    <row r="141" spans="1:10" s="51" customFormat="1" ht="18.75" customHeight="1">
      <c r="A141" s="280" t="s">
        <v>458</v>
      </c>
      <c r="B141" s="247"/>
      <c r="C141" s="166" t="s">
        <v>111</v>
      </c>
      <c r="D141" s="117" t="s">
        <v>369</v>
      </c>
      <c r="E141" s="173" t="s">
        <v>507</v>
      </c>
      <c r="F141" s="134" t="s">
        <v>109</v>
      </c>
      <c r="G141" s="144">
        <v>1704.7</v>
      </c>
      <c r="H141" s="50"/>
      <c r="I141" s="50"/>
      <c r="J141" s="36">
        <f>SUM('ведомствен.2014'!G157)</f>
        <v>1704.7</v>
      </c>
    </row>
    <row r="142" spans="1:9" s="51" customFormat="1" ht="28.5" hidden="1">
      <c r="A142" s="280" t="s">
        <v>476</v>
      </c>
      <c r="B142" s="247"/>
      <c r="C142" s="166" t="s">
        <v>111</v>
      </c>
      <c r="D142" s="117" t="s">
        <v>369</v>
      </c>
      <c r="E142" s="173" t="s">
        <v>507</v>
      </c>
      <c r="F142" s="134" t="s">
        <v>477</v>
      </c>
      <c r="G142" s="144"/>
      <c r="H142" s="50"/>
      <c r="I142" s="50"/>
    </row>
    <row r="143" spans="1:9" s="51" customFormat="1" ht="28.5">
      <c r="A143" s="280" t="s">
        <v>11</v>
      </c>
      <c r="B143" s="247"/>
      <c r="C143" s="166" t="s">
        <v>111</v>
      </c>
      <c r="D143" s="117" t="s">
        <v>369</v>
      </c>
      <c r="E143" s="117" t="s">
        <v>511</v>
      </c>
      <c r="F143" s="134"/>
      <c r="G143" s="144">
        <f>SUM(G144)</f>
        <v>3879.4</v>
      </c>
      <c r="H143" s="50"/>
      <c r="I143" s="50"/>
    </row>
    <row r="144" spans="1:9" s="51" customFormat="1" ht="28.5">
      <c r="A144" s="280" t="s">
        <v>191</v>
      </c>
      <c r="B144" s="247"/>
      <c r="C144" s="166" t="s">
        <v>111</v>
      </c>
      <c r="D144" s="117" t="s">
        <v>369</v>
      </c>
      <c r="E144" s="117" t="s">
        <v>508</v>
      </c>
      <c r="F144" s="134"/>
      <c r="G144" s="144">
        <f>G145</f>
        <v>3879.4</v>
      </c>
      <c r="H144" s="50"/>
      <c r="I144" s="50"/>
    </row>
    <row r="145" spans="1:10" s="51" customFormat="1" ht="28.5">
      <c r="A145" s="280" t="s">
        <v>482</v>
      </c>
      <c r="B145" s="247"/>
      <c r="C145" s="166" t="s">
        <v>111</v>
      </c>
      <c r="D145" s="117" t="s">
        <v>369</v>
      </c>
      <c r="E145" s="117" t="s">
        <v>508</v>
      </c>
      <c r="F145" s="134" t="s">
        <v>471</v>
      </c>
      <c r="G145" s="144">
        <v>3879.4</v>
      </c>
      <c r="H145" s="50"/>
      <c r="I145" s="50"/>
      <c r="J145" s="36">
        <f>SUM('ведомствен.2014'!G161)</f>
        <v>3879.4</v>
      </c>
    </row>
    <row r="146" spans="1:9" s="51" customFormat="1" ht="15" hidden="1">
      <c r="A146" s="280" t="s">
        <v>483</v>
      </c>
      <c r="B146" s="247"/>
      <c r="C146" s="166" t="s">
        <v>111</v>
      </c>
      <c r="D146" s="117" t="s">
        <v>369</v>
      </c>
      <c r="E146" s="117" t="s">
        <v>508</v>
      </c>
      <c r="F146" s="134" t="s">
        <v>484</v>
      </c>
      <c r="G146" s="144"/>
      <c r="H146" s="50"/>
      <c r="I146" s="50"/>
    </row>
    <row r="147" spans="1:9" s="51" customFormat="1" ht="57" hidden="1">
      <c r="A147" s="285" t="s">
        <v>485</v>
      </c>
      <c r="B147" s="249"/>
      <c r="C147" s="141" t="s">
        <v>111</v>
      </c>
      <c r="D147" s="120" t="s">
        <v>369</v>
      </c>
      <c r="E147" s="120" t="s">
        <v>508</v>
      </c>
      <c r="F147" s="168" t="s">
        <v>48</v>
      </c>
      <c r="G147" s="149"/>
      <c r="H147" s="50"/>
      <c r="I147" s="50"/>
    </row>
    <row r="148" spans="1:9" s="51" customFormat="1" ht="28.5">
      <c r="A148" s="280" t="s">
        <v>381</v>
      </c>
      <c r="B148" s="244"/>
      <c r="C148" s="166" t="s">
        <v>111</v>
      </c>
      <c r="D148" s="117" t="s">
        <v>369</v>
      </c>
      <c r="E148" s="116" t="s">
        <v>382</v>
      </c>
      <c r="F148" s="130"/>
      <c r="G148" s="146">
        <f>SUM(G149)</f>
        <v>2615.8</v>
      </c>
      <c r="H148" s="50"/>
      <c r="I148" s="50"/>
    </row>
    <row r="149" spans="1:9" s="51" customFormat="1" ht="28.5">
      <c r="A149" s="280" t="s">
        <v>11</v>
      </c>
      <c r="B149" s="247"/>
      <c r="C149" s="166" t="s">
        <v>111</v>
      </c>
      <c r="D149" s="117" t="s">
        <v>369</v>
      </c>
      <c r="E149" s="117" t="s">
        <v>575</v>
      </c>
      <c r="F149" s="134"/>
      <c r="G149" s="144">
        <f>SUM(G150)</f>
        <v>2615.8</v>
      </c>
      <c r="H149" s="50"/>
      <c r="I149" s="50"/>
    </row>
    <row r="150" spans="1:9" s="51" customFormat="1" ht="28.5">
      <c r="A150" s="280" t="s">
        <v>191</v>
      </c>
      <c r="B150" s="247"/>
      <c r="C150" s="166" t="s">
        <v>111</v>
      </c>
      <c r="D150" s="117" t="s">
        <v>369</v>
      </c>
      <c r="E150" s="117" t="s">
        <v>576</v>
      </c>
      <c r="F150" s="134"/>
      <c r="G150" s="144">
        <f>G151</f>
        <v>2615.8</v>
      </c>
      <c r="H150" s="50"/>
      <c r="I150" s="50"/>
    </row>
    <row r="151" spans="1:10" s="51" customFormat="1" ht="28.5">
      <c r="A151" s="280" t="s">
        <v>482</v>
      </c>
      <c r="B151" s="247"/>
      <c r="C151" s="166" t="s">
        <v>111</v>
      </c>
      <c r="D151" s="117" t="s">
        <v>369</v>
      </c>
      <c r="E151" s="117" t="s">
        <v>576</v>
      </c>
      <c r="F151" s="134" t="s">
        <v>471</v>
      </c>
      <c r="G151" s="144">
        <v>2615.8</v>
      </c>
      <c r="H151" s="50"/>
      <c r="I151" s="50"/>
      <c r="J151" s="51">
        <f>SUM('ведомствен.2014'!G365)</f>
        <v>2615.8</v>
      </c>
    </row>
    <row r="152" spans="1:9" s="51" customFormat="1" ht="15" hidden="1">
      <c r="A152" s="281" t="s">
        <v>469</v>
      </c>
      <c r="B152" s="244"/>
      <c r="C152" s="166" t="s">
        <v>111</v>
      </c>
      <c r="D152" s="117" t="s">
        <v>369</v>
      </c>
      <c r="E152" s="54" t="s">
        <v>470</v>
      </c>
      <c r="F152" s="129"/>
      <c r="G152" s="146">
        <f>SUM(G153)</f>
        <v>0</v>
      </c>
      <c r="H152" s="50"/>
      <c r="I152" s="50"/>
    </row>
    <row r="153" spans="1:10" s="51" customFormat="1" ht="15" hidden="1">
      <c r="A153" s="279" t="s">
        <v>459</v>
      </c>
      <c r="B153" s="244"/>
      <c r="C153" s="166" t="s">
        <v>111</v>
      </c>
      <c r="D153" s="117" t="s">
        <v>369</v>
      </c>
      <c r="E153" s="54" t="s">
        <v>470</v>
      </c>
      <c r="F153" s="129" t="s">
        <v>163</v>
      </c>
      <c r="G153" s="146"/>
      <c r="H153" s="50"/>
      <c r="I153" s="50"/>
      <c r="J153" s="51">
        <f>SUM('ведомствен.2014'!G339)</f>
        <v>0</v>
      </c>
    </row>
    <row r="154" spans="1:9" s="51" customFormat="1" ht="15">
      <c r="A154" s="287" t="s">
        <v>509</v>
      </c>
      <c r="B154" s="249"/>
      <c r="C154" s="141" t="s">
        <v>111</v>
      </c>
      <c r="D154" s="120" t="s">
        <v>369</v>
      </c>
      <c r="E154" s="120" t="s">
        <v>118</v>
      </c>
      <c r="F154" s="168"/>
      <c r="G154" s="149">
        <f>G160+G157+G155</f>
        <v>5727</v>
      </c>
      <c r="H154" s="50"/>
      <c r="I154" s="50"/>
    </row>
    <row r="155" spans="1:9" s="51" customFormat="1" ht="42.75">
      <c r="A155" s="287" t="s">
        <v>632</v>
      </c>
      <c r="B155" s="253"/>
      <c r="C155" s="120" t="s">
        <v>111</v>
      </c>
      <c r="D155" s="120" t="s">
        <v>369</v>
      </c>
      <c r="E155" s="120" t="s">
        <v>633</v>
      </c>
      <c r="F155" s="168"/>
      <c r="G155" s="149">
        <f>SUM(G156)</f>
        <v>20</v>
      </c>
      <c r="H155" s="50"/>
      <c r="I155" s="50"/>
    </row>
    <row r="156" spans="1:10" s="51" customFormat="1" ht="15">
      <c r="A156" s="280" t="s">
        <v>458</v>
      </c>
      <c r="B156" s="252"/>
      <c r="C156" s="117" t="s">
        <v>111</v>
      </c>
      <c r="D156" s="117" t="s">
        <v>369</v>
      </c>
      <c r="E156" s="120" t="s">
        <v>633</v>
      </c>
      <c r="F156" s="134" t="s">
        <v>109</v>
      </c>
      <c r="G156" s="144">
        <v>20</v>
      </c>
      <c r="H156" s="50"/>
      <c r="I156" s="50"/>
      <c r="J156" s="51">
        <f>SUM('ведомствен.2014'!G166)</f>
        <v>20</v>
      </c>
    </row>
    <row r="157" spans="1:9" s="51" customFormat="1" ht="42.75">
      <c r="A157" s="288" t="s">
        <v>596</v>
      </c>
      <c r="B157" s="254"/>
      <c r="C157" s="220" t="s">
        <v>111</v>
      </c>
      <c r="D157" s="196" t="s">
        <v>369</v>
      </c>
      <c r="E157" s="197" t="s">
        <v>597</v>
      </c>
      <c r="F157" s="221"/>
      <c r="G157" s="212">
        <f>SUM(G158)</f>
        <v>5</v>
      </c>
      <c r="H157" s="50"/>
      <c r="I157" s="50"/>
    </row>
    <row r="158" spans="1:9" s="51" customFormat="1" ht="28.5">
      <c r="A158" s="289" t="s">
        <v>598</v>
      </c>
      <c r="B158" s="254"/>
      <c r="C158" s="220" t="s">
        <v>111</v>
      </c>
      <c r="D158" s="196" t="s">
        <v>369</v>
      </c>
      <c r="E158" s="197" t="s">
        <v>599</v>
      </c>
      <c r="F158" s="221"/>
      <c r="G158" s="212">
        <v>5</v>
      </c>
      <c r="H158" s="50"/>
      <c r="I158" s="50"/>
    </row>
    <row r="159" spans="1:10" s="51" customFormat="1" ht="15">
      <c r="A159" s="290" t="s">
        <v>92</v>
      </c>
      <c r="B159" s="254"/>
      <c r="C159" s="220" t="s">
        <v>111</v>
      </c>
      <c r="D159" s="196" t="s">
        <v>369</v>
      </c>
      <c r="E159" s="197" t="s">
        <v>599</v>
      </c>
      <c r="F159" s="221" t="s">
        <v>93</v>
      </c>
      <c r="G159" s="212">
        <v>5</v>
      </c>
      <c r="H159" s="50"/>
      <c r="I159" s="50"/>
      <c r="J159" s="51">
        <f>SUM('ведомствен.2014'!G169)</f>
        <v>5</v>
      </c>
    </row>
    <row r="160" spans="1:9" s="51" customFormat="1" ht="28.5">
      <c r="A160" s="287" t="s">
        <v>625</v>
      </c>
      <c r="B160" s="249"/>
      <c r="C160" s="141" t="s">
        <v>111</v>
      </c>
      <c r="D160" s="120" t="s">
        <v>369</v>
      </c>
      <c r="E160" s="120" t="s">
        <v>44</v>
      </c>
      <c r="F160" s="168"/>
      <c r="G160" s="149">
        <f>SUM(G161)</f>
        <v>5702</v>
      </c>
      <c r="H160" s="50"/>
      <c r="I160" s="50"/>
    </row>
    <row r="161" spans="1:10" s="51" customFormat="1" ht="28.5">
      <c r="A161" s="285" t="s">
        <v>482</v>
      </c>
      <c r="B161" s="249"/>
      <c r="C161" s="141" t="s">
        <v>111</v>
      </c>
      <c r="D161" s="120" t="s">
        <v>369</v>
      </c>
      <c r="E161" s="120" t="s">
        <v>44</v>
      </c>
      <c r="F161" s="168" t="s">
        <v>471</v>
      </c>
      <c r="G161" s="149">
        <v>5702</v>
      </c>
      <c r="H161" s="50"/>
      <c r="I161" s="50"/>
      <c r="J161" s="51">
        <f>SUM('ведомствен.2014'!G171)</f>
        <v>5702</v>
      </c>
    </row>
    <row r="162" spans="1:12" ht="15">
      <c r="A162" s="291" t="s">
        <v>385</v>
      </c>
      <c r="B162" s="255"/>
      <c r="C162" s="136" t="s">
        <v>120</v>
      </c>
      <c r="D162" s="119"/>
      <c r="E162" s="119"/>
      <c r="F162" s="137"/>
      <c r="G162" s="148">
        <f>SUM(G163+G221+G235+G250)</f>
        <v>163118.30000000002</v>
      </c>
      <c r="H162" s="14">
        <f>SUM(H163)</f>
        <v>0</v>
      </c>
      <c r="I162" s="14">
        <f>SUM(H162/G170*100)</f>
        <v>0</v>
      </c>
      <c r="J162"/>
      <c r="K162">
        <f>SUM(J163:J264)</f>
        <v>74610.6</v>
      </c>
      <c r="L162">
        <f>SUM('ведомствен.2014'!G172)+'ведомствен.2014'!G340</f>
        <v>163118.3</v>
      </c>
    </row>
    <row r="163" spans="1:10" ht="15">
      <c r="A163" s="279" t="s">
        <v>386</v>
      </c>
      <c r="B163" s="244"/>
      <c r="C163" s="45" t="s">
        <v>120</v>
      </c>
      <c r="D163" s="54" t="s">
        <v>419</v>
      </c>
      <c r="E163" s="54"/>
      <c r="F163" s="129"/>
      <c r="G163" s="146">
        <f>SUM(G164)</f>
        <v>88507.7</v>
      </c>
      <c r="H163" s="14"/>
      <c r="I163" s="14">
        <f>SUM(H163/G171*100)</f>
        <v>0</v>
      </c>
      <c r="J163">
        <f>SUM('ведомствен.2014'!G179)</f>
        <v>0</v>
      </c>
    </row>
    <row r="164" spans="1:10" ht="57">
      <c r="A164" s="280" t="s">
        <v>642</v>
      </c>
      <c r="B164" s="244"/>
      <c r="C164" s="45" t="s">
        <v>120</v>
      </c>
      <c r="D164" s="54" t="s">
        <v>419</v>
      </c>
      <c r="E164" s="54" t="s">
        <v>387</v>
      </c>
      <c r="F164" s="129"/>
      <c r="G164" s="146">
        <f>SUM(G168+G174)+G165</f>
        <v>88507.7</v>
      </c>
      <c r="H164" s="14">
        <f>SUM(H168)</f>
        <v>4761.6</v>
      </c>
      <c r="I164" s="14">
        <f>SUM(H164/G172*100)</f>
        <v>11.656275015238641</v>
      </c>
      <c r="J164"/>
    </row>
    <row r="165" spans="1:10" ht="85.5">
      <c r="A165" s="325" t="s">
        <v>657</v>
      </c>
      <c r="B165" s="45"/>
      <c r="C165" s="54" t="s">
        <v>120</v>
      </c>
      <c r="D165" s="54" t="s">
        <v>419</v>
      </c>
      <c r="E165" s="54" t="s">
        <v>655</v>
      </c>
      <c r="F165" s="129"/>
      <c r="G165" s="312">
        <f>SUM(G166)</f>
        <v>46157.6</v>
      </c>
      <c r="H165" s="14"/>
      <c r="I165" s="14"/>
      <c r="J165"/>
    </row>
    <row r="166" spans="1:10" ht="28.5">
      <c r="A166" s="104" t="s">
        <v>654</v>
      </c>
      <c r="B166" s="45"/>
      <c r="C166" s="54" t="s">
        <v>120</v>
      </c>
      <c r="D166" s="54" t="s">
        <v>419</v>
      </c>
      <c r="E166" s="54" t="s">
        <v>656</v>
      </c>
      <c r="F166" s="129"/>
      <c r="G166" s="312">
        <f>SUM(G167)</f>
        <v>46157.6</v>
      </c>
      <c r="H166" s="14"/>
      <c r="I166" s="14"/>
      <c r="J166"/>
    </row>
    <row r="167" spans="1:10" ht="28.5">
      <c r="A167" s="280" t="s">
        <v>524</v>
      </c>
      <c r="B167" s="45"/>
      <c r="C167" s="54" t="s">
        <v>120</v>
      </c>
      <c r="D167" s="54" t="s">
        <v>419</v>
      </c>
      <c r="E167" s="54" t="s">
        <v>656</v>
      </c>
      <c r="F167" s="129" t="s">
        <v>518</v>
      </c>
      <c r="G167" s="312">
        <v>46157.6</v>
      </c>
      <c r="H167" s="14"/>
      <c r="I167" s="14"/>
      <c r="J167"/>
    </row>
    <row r="168" spans="1:10" ht="57">
      <c r="A168" s="280" t="s">
        <v>641</v>
      </c>
      <c r="B168" s="242"/>
      <c r="C168" s="54" t="s">
        <v>120</v>
      </c>
      <c r="D168" s="54" t="s">
        <v>419</v>
      </c>
      <c r="E168" s="54" t="s">
        <v>643</v>
      </c>
      <c r="F168" s="129"/>
      <c r="G168" s="146">
        <f>SUM(G169+G171)</f>
        <v>42350.1</v>
      </c>
      <c r="H168" s="14">
        <v>4761.6</v>
      </c>
      <c r="I168" s="14" t="e">
        <f>SUM(H168/G173*100)</f>
        <v>#DIV/0!</v>
      </c>
      <c r="J168"/>
    </row>
    <row r="169" spans="1:10" ht="28.5">
      <c r="A169" s="104" t="s">
        <v>652</v>
      </c>
      <c r="B169" s="45"/>
      <c r="C169" s="54" t="s">
        <v>120</v>
      </c>
      <c r="D169" s="54" t="s">
        <v>419</v>
      </c>
      <c r="E169" s="54" t="s">
        <v>651</v>
      </c>
      <c r="F169" s="129"/>
      <c r="G169" s="312">
        <f>SUM(G170)</f>
        <v>1500</v>
      </c>
      <c r="H169" s="14">
        <f>SUM(H170+H171)</f>
        <v>1562</v>
      </c>
      <c r="I169" s="14" t="e">
        <f aca="true" t="shared" si="3" ref="I169:I187">SUM(H169/G175*100)</f>
        <v>#DIV/0!</v>
      </c>
      <c r="J169"/>
    </row>
    <row r="170" spans="1:9" ht="15">
      <c r="A170" s="100" t="s">
        <v>459</v>
      </c>
      <c r="B170" s="45"/>
      <c r="C170" s="54" t="s">
        <v>120</v>
      </c>
      <c r="D170" s="54" t="s">
        <v>419</v>
      </c>
      <c r="E170" s="54" t="s">
        <v>651</v>
      </c>
      <c r="F170" s="129" t="s">
        <v>163</v>
      </c>
      <c r="G170" s="312">
        <v>1500</v>
      </c>
      <c r="H170" s="14">
        <v>233.9</v>
      </c>
      <c r="I170" s="14" t="e">
        <f t="shared" si="3"/>
        <v>#DIV/0!</v>
      </c>
    </row>
    <row r="171" spans="1:10" ht="28.5">
      <c r="A171" s="104" t="s">
        <v>654</v>
      </c>
      <c r="B171" s="45"/>
      <c r="C171" s="54" t="s">
        <v>120</v>
      </c>
      <c r="D171" s="54" t="s">
        <v>419</v>
      </c>
      <c r="E171" s="54" t="s">
        <v>653</v>
      </c>
      <c r="F171" s="129"/>
      <c r="G171" s="312">
        <f>SUM(G172)</f>
        <v>40850.1</v>
      </c>
      <c r="H171" s="14">
        <v>1328.1</v>
      </c>
      <c r="I171" s="14" t="e">
        <f t="shared" si="3"/>
        <v>#DIV/0!</v>
      </c>
      <c r="J171"/>
    </row>
    <row r="172" spans="1:10" ht="28.5">
      <c r="A172" s="280" t="s">
        <v>524</v>
      </c>
      <c r="B172" s="45"/>
      <c r="C172" s="54" t="s">
        <v>120</v>
      </c>
      <c r="D172" s="54" t="s">
        <v>419</v>
      </c>
      <c r="E172" s="54" t="s">
        <v>653</v>
      </c>
      <c r="F172" s="129" t="s">
        <v>518</v>
      </c>
      <c r="G172" s="312">
        <v>40850.1</v>
      </c>
      <c r="H172" s="14">
        <f>SUM(H173)</f>
        <v>0</v>
      </c>
      <c r="I172" s="14" t="e">
        <f t="shared" si="3"/>
        <v>#DIV/0!</v>
      </c>
      <c r="J172"/>
    </row>
    <row r="173" spans="1:10" ht="15" hidden="1">
      <c r="A173" s="292" t="s">
        <v>123</v>
      </c>
      <c r="B173" s="244"/>
      <c r="C173" s="45" t="s">
        <v>120</v>
      </c>
      <c r="D173" s="54" t="s">
        <v>419</v>
      </c>
      <c r="E173" s="54" t="s">
        <v>129</v>
      </c>
      <c r="F173" s="129" t="s">
        <v>124</v>
      </c>
      <c r="G173" s="146"/>
      <c r="H173" s="14">
        <f>SUM(H174)</f>
        <v>0</v>
      </c>
      <c r="I173" s="14" t="e">
        <f t="shared" si="3"/>
        <v>#DIV/0!</v>
      </c>
      <c r="J173"/>
    </row>
    <row r="174" spans="1:10" ht="42.75" hidden="1">
      <c r="A174" s="280" t="s">
        <v>390</v>
      </c>
      <c r="B174" s="244"/>
      <c r="C174" s="45" t="s">
        <v>120</v>
      </c>
      <c r="D174" s="54" t="s">
        <v>419</v>
      </c>
      <c r="E174" s="54" t="s">
        <v>391</v>
      </c>
      <c r="F174" s="129"/>
      <c r="G174" s="146">
        <f>SUM(G175)+G181+G184</f>
        <v>0</v>
      </c>
      <c r="H174" s="14"/>
      <c r="I174" s="14" t="e">
        <f t="shared" si="3"/>
        <v>#DIV/0!</v>
      </c>
      <c r="J174"/>
    </row>
    <row r="175" spans="1:10" ht="28.5" hidden="1">
      <c r="A175" s="280" t="s">
        <v>392</v>
      </c>
      <c r="B175" s="244"/>
      <c r="C175" s="45" t="s">
        <v>120</v>
      </c>
      <c r="D175" s="54" t="s">
        <v>419</v>
      </c>
      <c r="E175" s="54" t="s">
        <v>393</v>
      </c>
      <c r="F175" s="129"/>
      <c r="G175" s="146">
        <f>SUM(G176+G177)</f>
        <v>0</v>
      </c>
      <c r="H175" s="14">
        <f>SUM(H177+H178)</f>
        <v>0</v>
      </c>
      <c r="I175" s="14" t="e">
        <f t="shared" si="3"/>
        <v>#DIV/0!</v>
      </c>
      <c r="J175"/>
    </row>
    <row r="176" spans="1:9" s="16" customFormat="1" ht="15" hidden="1">
      <c r="A176" s="280" t="s">
        <v>7</v>
      </c>
      <c r="B176" s="244"/>
      <c r="C176" s="45" t="s">
        <v>120</v>
      </c>
      <c r="D176" s="54" t="s">
        <v>419</v>
      </c>
      <c r="E176" s="54" t="s">
        <v>393</v>
      </c>
      <c r="F176" s="129" t="s">
        <v>8</v>
      </c>
      <c r="G176" s="146"/>
      <c r="H176" s="14">
        <v>1821.9</v>
      </c>
      <c r="I176" s="14" t="e">
        <f t="shared" si="3"/>
        <v>#DIV/0!</v>
      </c>
    </row>
    <row r="177" spans="1:10" ht="28.5" hidden="1">
      <c r="A177" s="280" t="s">
        <v>394</v>
      </c>
      <c r="B177" s="244"/>
      <c r="C177" s="45" t="s">
        <v>120</v>
      </c>
      <c r="D177" s="54" t="s">
        <v>419</v>
      </c>
      <c r="E177" s="54" t="s">
        <v>393</v>
      </c>
      <c r="F177" s="129" t="s">
        <v>395</v>
      </c>
      <c r="G177" s="146"/>
      <c r="H177" s="14"/>
      <c r="I177" s="14" t="e">
        <f t="shared" si="3"/>
        <v>#DIV/0!</v>
      </c>
      <c r="J177"/>
    </row>
    <row r="178" spans="1:10" ht="28.5" hidden="1">
      <c r="A178" s="280" t="s">
        <v>235</v>
      </c>
      <c r="B178" s="244"/>
      <c r="C178" s="45" t="s">
        <v>120</v>
      </c>
      <c r="D178" s="54" t="s">
        <v>419</v>
      </c>
      <c r="E178" s="54" t="s">
        <v>383</v>
      </c>
      <c r="F178" s="129"/>
      <c r="G178" s="146">
        <f>SUM(G179)</f>
        <v>0</v>
      </c>
      <c r="H178" s="14"/>
      <c r="I178" s="14" t="e">
        <f t="shared" si="3"/>
        <v>#DIV/0!</v>
      </c>
      <c r="J178"/>
    </row>
    <row r="179" spans="1:10" ht="28.5" hidden="1">
      <c r="A179" s="280" t="s">
        <v>121</v>
      </c>
      <c r="B179" s="244"/>
      <c r="C179" s="45" t="s">
        <v>120</v>
      </c>
      <c r="D179" s="54" t="s">
        <v>419</v>
      </c>
      <c r="E179" s="54" t="s">
        <v>122</v>
      </c>
      <c r="F179" s="129"/>
      <c r="G179" s="146">
        <f>SUM(G180)</f>
        <v>0</v>
      </c>
      <c r="H179" s="14">
        <f>SUM(H180)</f>
        <v>1821.9</v>
      </c>
      <c r="I179" s="14" t="e">
        <f t="shared" si="3"/>
        <v>#DIV/0!</v>
      </c>
      <c r="J179"/>
    </row>
    <row r="180" spans="1:9" ht="15" hidden="1">
      <c r="A180" s="280" t="s">
        <v>123</v>
      </c>
      <c r="B180" s="244"/>
      <c r="C180" s="45" t="s">
        <v>120</v>
      </c>
      <c r="D180" s="54" t="s">
        <v>419</v>
      </c>
      <c r="E180" s="54" t="s">
        <v>122</v>
      </c>
      <c r="F180" s="129" t="s">
        <v>124</v>
      </c>
      <c r="G180" s="146"/>
      <c r="H180" s="14">
        <v>1821.9</v>
      </c>
      <c r="I180" s="14" t="e">
        <f t="shared" si="3"/>
        <v>#DIV/0!</v>
      </c>
    </row>
    <row r="181" spans="1:10" ht="28.5" hidden="1">
      <c r="A181" s="280" t="s">
        <v>396</v>
      </c>
      <c r="B181" s="244"/>
      <c r="C181" s="45" t="s">
        <v>120</v>
      </c>
      <c r="D181" s="54" t="s">
        <v>419</v>
      </c>
      <c r="E181" s="54" t="s">
        <v>397</v>
      </c>
      <c r="F181" s="129"/>
      <c r="G181" s="146">
        <f>SUM(G182+G183)</f>
        <v>0</v>
      </c>
      <c r="H181" s="14">
        <f>SUM(H182+H184)</f>
        <v>0</v>
      </c>
      <c r="I181" s="14" t="e">
        <f t="shared" si="3"/>
        <v>#DIV/0!</v>
      </c>
      <c r="J181"/>
    </row>
    <row r="182" spans="1:10" ht="42.75" hidden="1">
      <c r="A182" s="279" t="s">
        <v>12</v>
      </c>
      <c r="B182" s="244"/>
      <c r="C182" s="45" t="s">
        <v>120</v>
      </c>
      <c r="D182" s="54" t="s">
        <v>419</v>
      </c>
      <c r="E182" s="54" t="s">
        <v>397</v>
      </c>
      <c r="F182" s="129" t="s">
        <v>48</v>
      </c>
      <c r="G182" s="146"/>
      <c r="H182" s="14">
        <f>SUM(H183)</f>
        <v>0</v>
      </c>
      <c r="I182" s="14" t="e">
        <f t="shared" si="3"/>
        <v>#DIV/0!</v>
      </c>
      <c r="J182"/>
    </row>
    <row r="183" spans="1:10" ht="15" hidden="1">
      <c r="A183" s="292" t="s">
        <v>123</v>
      </c>
      <c r="B183" s="244"/>
      <c r="C183" s="45" t="s">
        <v>120</v>
      </c>
      <c r="D183" s="54" t="s">
        <v>419</v>
      </c>
      <c r="E183" s="54" t="s">
        <v>397</v>
      </c>
      <c r="F183" s="129" t="s">
        <v>124</v>
      </c>
      <c r="G183" s="146"/>
      <c r="H183" s="14"/>
      <c r="I183" s="14" t="e">
        <f t="shared" si="3"/>
        <v>#DIV/0!</v>
      </c>
      <c r="J183"/>
    </row>
    <row r="184" spans="1:9" s="16" customFormat="1" ht="57" hidden="1">
      <c r="A184" s="280" t="s">
        <v>398</v>
      </c>
      <c r="B184" s="244"/>
      <c r="C184" s="45" t="s">
        <v>120</v>
      </c>
      <c r="D184" s="54" t="s">
        <v>419</v>
      </c>
      <c r="E184" s="54" t="s">
        <v>399</v>
      </c>
      <c r="F184" s="129"/>
      <c r="G184" s="146">
        <f>SUM(G185)</f>
        <v>0</v>
      </c>
      <c r="H184" s="14">
        <f>SUM(H185)</f>
        <v>0</v>
      </c>
      <c r="I184" s="14" t="e">
        <f t="shared" si="3"/>
        <v>#DIV/0!</v>
      </c>
    </row>
    <row r="185" spans="1:9" s="20" customFormat="1" ht="15" hidden="1">
      <c r="A185" s="292" t="s">
        <v>123</v>
      </c>
      <c r="B185" s="244"/>
      <c r="C185" s="45" t="s">
        <v>120</v>
      </c>
      <c r="D185" s="54" t="s">
        <v>419</v>
      </c>
      <c r="E185" s="54" t="s">
        <v>399</v>
      </c>
      <c r="F185" s="129" t="s">
        <v>124</v>
      </c>
      <c r="G185" s="146"/>
      <c r="H185" s="18"/>
      <c r="I185" s="14" t="e">
        <f t="shared" si="3"/>
        <v>#DIV/0!</v>
      </c>
    </row>
    <row r="186" spans="1:9" s="19" customFormat="1" ht="15" hidden="1">
      <c r="A186" s="279" t="s">
        <v>400</v>
      </c>
      <c r="B186" s="244"/>
      <c r="C186" s="45" t="s">
        <v>120</v>
      </c>
      <c r="D186" s="54" t="s">
        <v>419</v>
      </c>
      <c r="E186" s="54" t="s">
        <v>401</v>
      </c>
      <c r="F186" s="129"/>
      <c r="G186" s="146">
        <f>SUM(G187+G189)</f>
        <v>0</v>
      </c>
      <c r="H186" s="21" t="e">
        <f>SUM(H189)+#REF!+H187</f>
        <v>#REF!</v>
      </c>
      <c r="I186" s="14" t="e">
        <f t="shared" si="3"/>
        <v>#REF!</v>
      </c>
    </row>
    <row r="187" spans="1:9" s="19" customFormat="1" ht="42.75" hidden="1">
      <c r="A187" s="281" t="s">
        <v>402</v>
      </c>
      <c r="B187" s="244"/>
      <c r="C187" s="45" t="s">
        <v>120</v>
      </c>
      <c r="D187" s="54" t="s">
        <v>419</v>
      </c>
      <c r="E187" s="54" t="s">
        <v>403</v>
      </c>
      <c r="F187" s="129"/>
      <c r="G187" s="146">
        <f>SUM(G188)</f>
        <v>0</v>
      </c>
      <c r="H187" s="21">
        <f>SUM(H188)</f>
        <v>0</v>
      </c>
      <c r="I187" s="14" t="e">
        <f t="shared" si="3"/>
        <v>#DIV/0!</v>
      </c>
    </row>
    <row r="188" spans="1:9" s="19" customFormat="1" ht="15" hidden="1">
      <c r="A188" s="279" t="s">
        <v>7</v>
      </c>
      <c r="B188" s="244"/>
      <c r="C188" s="45" t="s">
        <v>120</v>
      </c>
      <c r="D188" s="54" t="s">
        <v>419</v>
      </c>
      <c r="E188" s="54" t="s">
        <v>403</v>
      </c>
      <c r="F188" s="129" t="s">
        <v>8</v>
      </c>
      <c r="G188" s="146"/>
      <c r="H188" s="21"/>
      <c r="I188" s="14" t="e">
        <f>SUM(H188/#REF!*100)</f>
        <v>#REF!</v>
      </c>
    </row>
    <row r="189" spans="1:9" s="19" customFormat="1" ht="28.5" hidden="1">
      <c r="A189" s="281" t="s">
        <v>404</v>
      </c>
      <c r="B189" s="245"/>
      <c r="C189" s="45" t="s">
        <v>120</v>
      </c>
      <c r="D189" s="54" t="s">
        <v>419</v>
      </c>
      <c r="E189" s="54" t="s">
        <v>405</v>
      </c>
      <c r="F189" s="130"/>
      <c r="G189" s="146">
        <f>SUM(G190)</f>
        <v>0</v>
      </c>
      <c r="H189" s="21" t="e">
        <f>SUM(H190+H192)</f>
        <v>#REF!</v>
      </c>
      <c r="I189" s="14" t="e">
        <f>SUM(H189/G194*100)</f>
        <v>#REF!</v>
      </c>
    </row>
    <row r="190" spans="1:9" s="19" customFormat="1" ht="15" hidden="1">
      <c r="A190" s="279" t="s">
        <v>92</v>
      </c>
      <c r="B190" s="256"/>
      <c r="C190" s="45" t="s">
        <v>120</v>
      </c>
      <c r="D190" s="54" t="s">
        <v>419</v>
      </c>
      <c r="E190" s="54" t="s">
        <v>405</v>
      </c>
      <c r="F190" s="129" t="s">
        <v>93</v>
      </c>
      <c r="G190" s="146"/>
      <c r="H190" s="21">
        <f>SUM(H191)</f>
        <v>0</v>
      </c>
      <c r="I190" s="14" t="e">
        <f>SUM(H190/G195*100)</f>
        <v>#DIV/0!</v>
      </c>
    </row>
    <row r="191" spans="1:9" s="19" customFormat="1" ht="15" hidden="1">
      <c r="A191" s="281" t="s">
        <v>3</v>
      </c>
      <c r="B191" s="244"/>
      <c r="C191" s="45" t="s">
        <v>120</v>
      </c>
      <c r="D191" s="54" t="s">
        <v>419</v>
      </c>
      <c r="E191" s="54" t="s">
        <v>4</v>
      </c>
      <c r="F191" s="129"/>
      <c r="G191" s="146">
        <f>SUM(G194)+G199+G192</f>
        <v>0</v>
      </c>
      <c r="H191" s="14">
        <v>0</v>
      </c>
      <c r="I191" s="14" t="e">
        <f>SUM(H191/G196*100)</f>
        <v>#DIV/0!</v>
      </c>
    </row>
    <row r="192" spans="1:9" s="19" customFormat="1" ht="42.75" hidden="1">
      <c r="A192" s="281" t="s">
        <v>406</v>
      </c>
      <c r="B192" s="244"/>
      <c r="C192" s="45" t="s">
        <v>120</v>
      </c>
      <c r="D192" s="54" t="s">
        <v>419</v>
      </c>
      <c r="E192" s="54" t="s">
        <v>407</v>
      </c>
      <c r="F192" s="129"/>
      <c r="G192" s="146">
        <f>SUM(G193)</f>
        <v>0</v>
      </c>
      <c r="H192" s="14" t="e">
        <f>SUM(H193)</f>
        <v>#REF!</v>
      </c>
      <c r="I192" s="14" t="e">
        <f>SUM(H192/G197*100)</f>
        <v>#REF!</v>
      </c>
    </row>
    <row r="193" spans="1:9" s="19" customFormat="1" ht="15" hidden="1">
      <c r="A193" s="281" t="s">
        <v>123</v>
      </c>
      <c r="B193" s="244"/>
      <c r="C193" s="45" t="s">
        <v>120</v>
      </c>
      <c r="D193" s="54" t="s">
        <v>419</v>
      </c>
      <c r="E193" s="54" t="s">
        <v>407</v>
      </c>
      <c r="F193" s="129" t="s">
        <v>124</v>
      </c>
      <c r="G193" s="146"/>
      <c r="H193" s="14" t="e">
        <f>SUM('[1]Ведомств.'!G180)</f>
        <v>#REF!</v>
      </c>
      <c r="I193" s="14" t="e">
        <f>SUM(H193/G198*100)</f>
        <v>#REF!</v>
      </c>
    </row>
    <row r="194" spans="1:9" s="19" customFormat="1" ht="42.75" hidden="1">
      <c r="A194" s="279" t="s">
        <v>408</v>
      </c>
      <c r="B194" s="244"/>
      <c r="C194" s="45" t="s">
        <v>120</v>
      </c>
      <c r="D194" s="54" t="s">
        <v>419</v>
      </c>
      <c r="E194" s="54" t="s">
        <v>409</v>
      </c>
      <c r="F194" s="129"/>
      <c r="G194" s="146">
        <f>SUM(G195+G197)</f>
        <v>0</v>
      </c>
      <c r="H194" s="14">
        <f>SUM(H195)</f>
        <v>0</v>
      </c>
      <c r="I194" s="14" t="e">
        <f>SUM(H194/G200*100)</f>
        <v>#DIV/0!</v>
      </c>
    </row>
    <row r="195" spans="1:9" s="19" customFormat="1" ht="28.5" hidden="1">
      <c r="A195" s="281" t="s">
        <v>410</v>
      </c>
      <c r="B195" s="244"/>
      <c r="C195" s="45" t="s">
        <v>120</v>
      </c>
      <c r="D195" s="54" t="s">
        <v>419</v>
      </c>
      <c r="E195" s="54" t="s">
        <v>411</v>
      </c>
      <c r="F195" s="129"/>
      <c r="G195" s="146">
        <f>SUM(G196)</f>
        <v>0</v>
      </c>
      <c r="H195" s="14"/>
      <c r="I195" s="14" t="e">
        <f>SUM(H195/G201*100)</f>
        <v>#DIV/0!</v>
      </c>
    </row>
    <row r="196" spans="1:9" s="19" customFormat="1" ht="15" hidden="1">
      <c r="A196" s="280" t="s">
        <v>123</v>
      </c>
      <c r="B196" s="244"/>
      <c r="C196" s="45" t="s">
        <v>120</v>
      </c>
      <c r="D196" s="54" t="s">
        <v>419</v>
      </c>
      <c r="E196" s="54" t="s">
        <v>411</v>
      </c>
      <c r="F196" s="129" t="s">
        <v>124</v>
      </c>
      <c r="G196" s="146"/>
      <c r="H196" s="14">
        <f>SUM(H197)</f>
        <v>0</v>
      </c>
      <c r="I196" s="14" t="e">
        <f>SUM(H196/G202*100)</f>
        <v>#DIV/0!</v>
      </c>
    </row>
    <row r="197" spans="1:9" s="19" customFormat="1" ht="15" hidden="1">
      <c r="A197" s="280" t="s">
        <v>412</v>
      </c>
      <c r="B197" s="244"/>
      <c r="C197" s="45" t="s">
        <v>120</v>
      </c>
      <c r="D197" s="54" t="s">
        <v>419</v>
      </c>
      <c r="E197" s="54" t="s">
        <v>413</v>
      </c>
      <c r="F197" s="129"/>
      <c r="G197" s="146">
        <f>SUM(G198)</f>
        <v>0</v>
      </c>
      <c r="H197" s="14"/>
      <c r="I197" s="14" t="e">
        <f>SUM(H197/G203*100)</f>
        <v>#DIV/0!</v>
      </c>
    </row>
    <row r="198" spans="1:9" s="16" customFormat="1" ht="15" hidden="1">
      <c r="A198" s="279" t="s">
        <v>92</v>
      </c>
      <c r="B198" s="256"/>
      <c r="C198" s="45" t="s">
        <v>120</v>
      </c>
      <c r="D198" s="54" t="s">
        <v>419</v>
      </c>
      <c r="E198" s="54" t="s">
        <v>413</v>
      </c>
      <c r="F198" s="129" t="s">
        <v>93</v>
      </c>
      <c r="G198" s="146"/>
      <c r="H198" s="14"/>
      <c r="I198" s="14"/>
    </row>
    <row r="199" spans="1:9" s="16" customFormat="1" ht="28.5" hidden="1">
      <c r="A199" s="279" t="s">
        <v>414</v>
      </c>
      <c r="B199" s="256"/>
      <c r="C199" s="45" t="s">
        <v>120</v>
      </c>
      <c r="D199" s="54" t="s">
        <v>419</v>
      </c>
      <c r="E199" s="54" t="s">
        <v>415</v>
      </c>
      <c r="F199" s="129"/>
      <c r="G199" s="146"/>
      <c r="H199" s="14"/>
      <c r="I199" s="14"/>
    </row>
    <row r="200" spans="1:9" s="16" customFormat="1" ht="42.75" hidden="1">
      <c r="A200" s="279" t="s">
        <v>34</v>
      </c>
      <c r="B200" s="256"/>
      <c r="C200" s="45" t="s">
        <v>120</v>
      </c>
      <c r="D200" s="54" t="s">
        <v>419</v>
      </c>
      <c r="E200" s="54" t="s">
        <v>35</v>
      </c>
      <c r="F200" s="129"/>
      <c r="G200" s="146">
        <f>SUM(G201)</f>
        <v>0</v>
      </c>
      <c r="H200" s="14"/>
      <c r="I200" s="14"/>
    </row>
    <row r="201" spans="1:10" ht="15" hidden="1">
      <c r="A201" s="279" t="s">
        <v>7</v>
      </c>
      <c r="B201" s="256"/>
      <c r="C201" s="45" t="s">
        <v>120</v>
      </c>
      <c r="D201" s="54" t="s">
        <v>419</v>
      </c>
      <c r="E201" s="54" t="s">
        <v>35</v>
      </c>
      <c r="F201" s="129" t="s">
        <v>8</v>
      </c>
      <c r="G201" s="146"/>
      <c r="H201" s="14"/>
      <c r="I201" s="14"/>
      <c r="J201"/>
    </row>
    <row r="202" spans="1:10" ht="42.75" hidden="1">
      <c r="A202" s="279" t="s">
        <v>36</v>
      </c>
      <c r="B202" s="256"/>
      <c r="C202" s="45" t="s">
        <v>120</v>
      </c>
      <c r="D202" s="54" t="s">
        <v>419</v>
      </c>
      <c r="E202" s="54" t="s">
        <v>37</v>
      </c>
      <c r="F202" s="129"/>
      <c r="G202" s="146">
        <f>SUM(G203)</f>
        <v>0</v>
      </c>
      <c r="H202" s="14"/>
      <c r="I202" s="14"/>
      <c r="J202"/>
    </row>
    <row r="203" spans="1:9" s="19" customFormat="1" ht="15" hidden="1">
      <c r="A203" s="279" t="s">
        <v>7</v>
      </c>
      <c r="B203" s="256"/>
      <c r="C203" s="45" t="s">
        <v>120</v>
      </c>
      <c r="D203" s="54" t="s">
        <v>419</v>
      </c>
      <c r="E203" s="54" t="s">
        <v>37</v>
      </c>
      <c r="F203" s="129" t="s">
        <v>8</v>
      </c>
      <c r="G203" s="146"/>
      <c r="H203" s="14" t="e">
        <f>SUM(#REF!+#REF!)+H208</f>
        <v>#REF!</v>
      </c>
      <c r="I203" s="14" t="e">
        <f aca="true" t="shared" si="4" ref="I203:I210">SUM(H203/G209*100)</f>
        <v>#REF!</v>
      </c>
    </row>
    <row r="204" spans="1:9" s="19" customFormat="1" ht="15" hidden="1">
      <c r="A204" s="279" t="s">
        <v>400</v>
      </c>
      <c r="B204" s="256"/>
      <c r="C204" s="45" t="s">
        <v>120</v>
      </c>
      <c r="D204" s="54" t="s">
        <v>419</v>
      </c>
      <c r="E204" s="54" t="s">
        <v>401</v>
      </c>
      <c r="F204" s="129"/>
      <c r="G204" s="146">
        <f>SUM(G205)</f>
        <v>0</v>
      </c>
      <c r="H204" s="22" t="e">
        <f>SUM('[1]Ведомств.'!G188)</f>
        <v>#REF!</v>
      </c>
      <c r="I204" s="14" t="e">
        <f t="shared" si="4"/>
        <v>#REF!</v>
      </c>
    </row>
    <row r="205" spans="1:10" s="19" customFormat="1" ht="42.75" hidden="1">
      <c r="A205" s="279" t="s">
        <v>273</v>
      </c>
      <c r="B205" s="256"/>
      <c r="C205" s="45" t="s">
        <v>120</v>
      </c>
      <c r="D205" s="54" t="s">
        <v>419</v>
      </c>
      <c r="E205" s="54" t="s">
        <v>405</v>
      </c>
      <c r="F205" s="129"/>
      <c r="G205" s="146">
        <f>SUM(G206)</f>
        <v>0</v>
      </c>
      <c r="H205" s="22"/>
      <c r="I205" s="14" t="e">
        <f t="shared" si="4"/>
        <v>#DIV/0!</v>
      </c>
      <c r="J205" s="16"/>
    </row>
    <row r="206" spans="1:9" s="19" customFormat="1" ht="15" hidden="1">
      <c r="A206" s="279" t="s">
        <v>92</v>
      </c>
      <c r="B206" s="256"/>
      <c r="C206" s="45" t="s">
        <v>120</v>
      </c>
      <c r="D206" s="54" t="s">
        <v>419</v>
      </c>
      <c r="E206" s="54" t="s">
        <v>405</v>
      </c>
      <c r="F206" s="129" t="s">
        <v>93</v>
      </c>
      <c r="G206" s="146"/>
      <c r="H206" s="14">
        <f>SUM(H207)</f>
        <v>167.7</v>
      </c>
      <c r="I206" s="14" t="e">
        <f t="shared" si="4"/>
        <v>#DIV/0!</v>
      </c>
    </row>
    <row r="207" spans="1:9" s="19" customFormat="1" ht="15" hidden="1">
      <c r="A207" s="292" t="s">
        <v>117</v>
      </c>
      <c r="B207" s="244"/>
      <c r="C207" s="45" t="s">
        <v>120</v>
      </c>
      <c r="D207" s="54" t="s">
        <v>419</v>
      </c>
      <c r="E207" s="54" t="s">
        <v>118</v>
      </c>
      <c r="F207" s="129"/>
      <c r="G207" s="146">
        <f>SUM(G208+G211)+G215</f>
        <v>0</v>
      </c>
      <c r="H207" s="14">
        <v>167.7</v>
      </c>
      <c r="I207" s="14" t="e">
        <f t="shared" si="4"/>
        <v>#DIV/0!</v>
      </c>
    </row>
    <row r="208" spans="1:9" s="19" customFormat="1" ht="42.75" hidden="1">
      <c r="A208" s="292" t="s">
        <v>450</v>
      </c>
      <c r="B208" s="244"/>
      <c r="C208" s="45" t="s">
        <v>120</v>
      </c>
      <c r="D208" s="54" t="s">
        <v>419</v>
      </c>
      <c r="E208" s="54" t="s">
        <v>283</v>
      </c>
      <c r="F208" s="129"/>
      <c r="G208" s="147">
        <f>SUM(G209)</f>
        <v>0</v>
      </c>
      <c r="H208" s="14">
        <f>SUM(H209)</f>
        <v>110.4</v>
      </c>
      <c r="I208" s="14" t="e">
        <f t="shared" si="4"/>
        <v>#DIV/0!</v>
      </c>
    </row>
    <row r="209" spans="1:9" s="19" customFormat="1" ht="15" hidden="1">
      <c r="A209" s="280" t="s">
        <v>7</v>
      </c>
      <c r="B209" s="244"/>
      <c r="C209" s="45" t="s">
        <v>120</v>
      </c>
      <c r="D209" s="54" t="s">
        <v>419</v>
      </c>
      <c r="E209" s="54" t="s">
        <v>283</v>
      </c>
      <c r="F209" s="129" t="s">
        <v>8</v>
      </c>
      <c r="G209" s="147"/>
      <c r="H209" s="14">
        <v>110.4</v>
      </c>
      <c r="I209" s="14" t="e">
        <f t="shared" si="4"/>
        <v>#DIV/0!</v>
      </c>
    </row>
    <row r="210" spans="1:9" s="16" customFormat="1" ht="15" hidden="1">
      <c r="A210" s="292" t="s">
        <v>38</v>
      </c>
      <c r="B210" s="244"/>
      <c r="C210" s="45" t="s">
        <v>120</v>
      </c>
      <c r="D210" s="54" t="s">
        <v>419</v>
      </c>
      <c r="E210" s="54" t="s">
        <v>39</v>
      </c>
      <c r="F210" s="129" t="s">
        <v>93</v>
      </c>
      <c r="G210" s="146"/>
      <c r="H210" s="14" t="e">
        <f>SUM(H222+H242)+H213+H238+H215</f>
        <v>#REF!</v>
      </c>
      <c r="I210" s="14" t="e">
        <f t="shared" si="4"/>
        <v>#REF!</v>
      </c>
    </row>
    <row r="211" spans="1:9" s="16" customFormat="1" ht="15" hidden="1">
      <c r="A211" s="292" t="s">
        <v>123</v>
      </c>
      <c r="B211" s="244"/>
      <c r="C211" s="45" t="s">
        <v>120</v>
      </c>
      <c r="D211" s="54" t="s">
        <v>419</v>
      </c>
      <c r="E211" s="54" t="s">
        <v>118</v>
      </c>
      <c r="F211" s="129" t="s">
        <v>124</v>
      </c>
      <c r="G211" s="146">
        <f>SUM(G212)</f>
        <v>0</v>
      </c>
      <c r="H211" s="14"/>
      <c r="I211" s="14">
        <f>SUM(H211/G221*100)</f>
        <v>0</v>
      </c>
    </row>
    <row r="212" spans="1:9" s="16" customFormat="1" ht="28.5" hidden="1">
      <c r="A212" s="280" t="s">
        <v>40</v>
      </c>
      <c r="B212" s="244"/>
      <c r="C212" s="45" t="s">
        <v>120</v>
      </c>
      <c r="D212" s="54" t="s">
        <v>419</v>
      </c>
      <c r="E212" s="54" t="s">
        <v>41</v>
      </c>
      <c r="F212" s="129" t="s">
        <v>124</v>
      </c>
      <c r="G212" s="146">
        <f>SUM(G214)</f>
        <v>0</v>
      </c>
      <c r="H212" s="14"/>
      <c r="I212" s="14">
        <f>SUM(H212/G222*100)</f>
        <v>0</v>
      </c>
    </row>
    <row r="213" spans="1:9" s="16" customFormat="1" ht="28.5" hidden="1">
      <c r="A213" s="280" t="s">
        <v>55</v>
      </c>
      <c r="B213" s="244"/>
      <c r="C213" s="45"/>
      <c r="D213" s="54"/>
      <c r="E213" s="54"/>
      <c r="F213" s="129"/>
      <c r="G213" s="146"/>
      <c r="H213" s="14">
        <f>SUM(H214)</f>
        <v>0</v>
      </c>
      <c r="I213" s="14">
        <f>SUM(H213/G223*100)</f>
        <v>0</v>
      </c>
    </row>
    <row r="214" spans="1:9" s="16" customFormat="1" ht="28.5" hidden="1">
      <c r="A214" s="281" t="s">
        <v>410</v>
      </c>
      <c r="B214" s="244"/>
      <c r="C214" s="45" t="s">
        <v>120</v>
      </c>
      <c r="D214" s="54" t="s">
        <v>419</v>
      </c>
      <c r="E214" s="54" t="s">
        <v>42</v>
      </c>
      <c r="F214" s="129" t="s">
        <v>124</v>
      </c>
      <c r="G214" s="146"/>
      <c r="H214" s="14"/>
      <c r="I214" s="14">
        <f>SUM(H214/G224*100)</f>
        <v>0</v>
      </c>
    </row>
    <row r="215" spans="1:9" s="16" customFormat="1" ht="28.5" hidden="1">
      <c r="A215" s="279" t="s">
        <v>43</v>
      </c>
      <c r="B215" s="244"/>
      <c r="C215" s="45" t="s">
        <v>120</v>
      </c>
      <c r="D215" s="54" t="s">
        <v>419</v>
      </c>
      <c r="E215" s="54" t="s">
        <v>44</v>
      </c>
      <c r="F215" s="129"/>
      <c r="G215" s="146">
        <f>SUM(G216)</f>
        <v>0</v>
      </c>
      <c r="H215" s="14">
        <f>SUM(H216)</f>
        <v>9483.6</v>
      </c>
      <c r="I215" s="14" t="e">
        <f>SUM(H215/G226*100)</f>
        <v>#DIV/0!</v>
      </c>
    </row>
    <row r="216" spans="1:9" s="16" customFormat="1" ht="15" hidden="1">
      <c r="A216" s="292" t="s">
        <v>123</v>
      </c>
      <c r="B216" s="244"/>
      <c r="C216" s="45" t="s">
        <v>120</v>
      </c>
      <c r="D216" s="54" t="s">
        <v>419</v>
      </c>
      <c r="E216" s="54" t="s">
        <v>44</v>
      </c>
      <c r="F216" s="129" t="s">
        <v>124</v>
      </c>
      <c r="G216" s="146"/>
      <c r="H216" s="14">
        <f>SUM(H221)</f>
        <v>9483.6</v>
      </c>
      <c r="I216" s="14" t="e">
        <f>SUM(H216/G227*100)</f>
        <v>#DIV/0!</v>
      </c>
    </row>
    <row r="217" spans="1:9" s="16" customFormat="1" ht="15" hidden="1">
      <c r="A217" s="292"/>
      <c r="B217" s="244"/>
      <c r="C217" s="45"/>
      <c r="D217" s="54"/>
      <c r="E217" s="54"/>
      <c r="F217" s="129"/>
      <c r="G217" s="146"/>
      <c r="H217" s="14"/>
      <c r="I217" s="14"/>
    </row>
    <row r="218" spans="1:9" s="16" customFormat="1" ht="15" hidden="1">
      <c r="A218" s="292"/>
      <c r="B218" s="244"/>
      <c r="C218" s="45"/>
      <c r="D218" s="54"/>
      <c r="E218" s="54"/>
      <c r="F218" s="129"/>
      <c r="G218" s="146"/>
      <c r="H218" s="14"/>
      <c r="I218" s="14"/>
    </row>
    <row r="219" spans="1:9" s="16" customFormat="1" ht="15" hidden="1">
      <c r="A219" s="292"/>
      <c r="B219" s="244"/>
      <c r="C219" s="45"/>
      <c r="D219" s="54"/>
      <c r="E219" s="54"/>
      <c r="F219" s="129"/>
      <c r="G219" s="146"/>
      <c r="H219" s="14"/>
      <c r="I219" s="14"/>
    </row>
    <row r="220" spans="1:9" s="16" customFormat="1" ht="15" hidden="1">
      <c r="A220" s="292"/>
      <c r="B220" s="244"/>
      <c r="C220" s="45"/>
      <c r="D220" s="54"/>
      <c r="E220" s="54"/>
      <c r="F220" s="129"/>
      <c r="G220" s="146"/>
      <c r="H220" s="14"/>
      <c r="I220" s="14"/>
    </row>
    <row r="221" spans="1:11" s="16" customFormat="1" ht="15">
      <c r="A221" s="280" t="s">
        <v>45</v>
      </c>
      <c r="B221" s="247"/>
      <c r="C221" s="166" t="s">
        <v>120</v>
      </c>
      <c r="D221" s="117" t="s">
        <v>421</v>
      </c>
      <c r="E221" s="117"/>
      <c r="F221" s="134"/>
      <c r="G221" s="144">
        <f>G222+G228+G230</f>
        <v>18683.600000000002</v>
      </c>
      <c r="H221" s="14">
        <v>9483.6</v>
      </c>
      <c r="I221" s="14">
        <f>SUM(H221/G235*100)</f>
        <v>20.294891823064905</v>
      </c>
      <c r="K221" s="203">
        <f>SUM(G162-K162)</f>
        <v>88507.70000000001</v>
      </c>
    </row>
    <row r="222" spans="1:9" s="16" customFormat="1" ht="15">
      <c r="A222" s="280" t="s">
        <v>280</v>
      </c>
      <c r="B222" s="247"/>
      <c r="C222" s="166" t="s">
        <v>120</v>
      </c>
      <c r="D222" s="117" t="s">
        <v>421</v>
      </c>
      <c r="E222" s="117" t="s">
        <v>512</v>
      </c>
      <c r="F222" s="134"/>
      <c r="G222" s="144">
        <f>G223</f>
        <v>18611.2</v>
      </c>
      <c r="H222" s="14">
        <f>SUM(H223+H226+H235)</f>
        <v>15047</v>
      </c>
      <c r="I222" s="14">
        <f>SUM(H222/G236*100)</f>
        <v>32.320077669569244</v>
      </c>
    </row>
    <row r="223" spans="1:9" s="16" customFormat="1" ht="15">
      <c r="A223" s="280" t="s">
        <v>31</v>
      </c>
      <c r="B223" s="247"/>
      <c r="C223" s="166" t="s">
        <v>120</v>
      </c>
      <c r="D223" s="117" t="s">
        <v>421</v>
      </c>
      <c r="E223" s="117" t="s">
        <v>513</v>
      </c>
      <c r="F223" s="134"/>
      <c r="G223" s="144">
        <f>SUM(G224:G225)</f>
        <v>18611.2</v>
      </c>
      <c r="H223" s="14">
        <f>SUM(H224)</f>
        <v>0</v>
      </c>
      <c r="I223" s="14">
        <f>SUM(H223/G237*100)</f>
        <v>0</v>
      </c>
    </row>
    <row r="224" spans="1:10" s="16" customFormat="1" ht="13.5" customHeight="1">
      <c r="A224" s="280" t="s">
        <v>458</v>
      </c>
      <c r="B224" s="247"/>
      <c r="C224" s="166" t="s">
        <v>120</v>
      </c>
      <c r="D224" s="117" t="s">
        <v>421</v>
      </c>
      <c r="E224" s="117" t="s">
        <v>513</v>
      </c>
      <c r="F224" s="134" t="s">
        <v>109</v>
      </c>
      <c r="G224" s="144">
        <f>8800.2</f>
        <v>8800.2</v>
      </c>
      <c r="H224" s="14"/>
      <c r="I224" s="14">
        <f>SUM(H224/G238*100)</f>
        <v>0</v>
      </c>
      <c r="J224" s="16">
        <f>SUM('ведомствен.2014'!G234)</f>
        <v>8800.2</v>
      </c>
    </row>
    <row r="225" spans="1:10" s="16" customFormat="1" ht="13.5" customHeight="1">
      <c r="A225" s="292" t="s">
        <v>611</v>
      </c>
      <c r="B225" s="257"/>
      <c r="C225" s="117" t="s">
        <v>120</v>
      </c>
      <c r="D225" s="117" t="s">
        <v>421</v>
      </c>
      <c r="E225" s="117" t="s">
        <v>513</v>
      </c>
      <c r="F225" s="174" t="s">
        <v>518</v>
      </c>
      <c r="G225" s="144">
        <v>9811</v>
      </c>
      <c r="H225" s="14"/>
      <c r="I225" s="14"/>
      <c r="J225" s="16">
        <f>SUM('ведомствен.2014'!G235)</f>
        <v>9811</v>
      </c>
    </row>
    <row r="226" spans="1:9" s="16" customFormat="1" ht="28.5" hidden="1">
      <c r="A226" s="280" t="s">
        <v>478</v>
      </c>
      <c r="B226" s="247"/>
      <c r="C226" s="166" t="s">
        <v>120</v>
      </c>
      <c r="D226" s="117" t="s">
        <v>421</v>
      </c>
      <c r="E226" s="117" t="s">
        <v>513</v>
      </c>
      <c r="F226" s="134" t="s">
        <v>479</v>
      </c>
      <c r="G226" s="144"/>
      <c r="H226" s="14">
        <f>SUM(H227)</f>
        <v>0</v>
      </c>
      <c r="I226" s="14">
        <f>SUM(H226/G239*100)</f>
        <v>0</v>
      </c>
    </row>
    <row r="227" spans="1:9" s="16" customFormat="1" ht="28.5" hidden="1">
      <c r="A227" s="280" t="s">
        <v>478</v>
      </c>
      <c r="B227" s="247"/>
      <c r="C227" s="166" t="s">
        <v>120</v>
      </c>
      <c r="D227" s="117" t="s">
        <v>421</v>
      </c>
      <c r="E227" s="117" t="s">
        <v>513</v>
      </c>
      <c r="F227" s="134" t="s">
        <v>479</v>
      </c>
      <c r="G227" s="144"/>
      <c r="H227" s="14"/>
      <c r="I227" s="14" t="e">
        <f>SUM(H227/#REF!*100)</f>
        <v>#REF!</v>
      </c>
    </row>
    <row r="228" spans="1:9" s="16" customFormat="1" ht="15" hidden="1">
      <c r="A228" s="281" t="s">
        <v>469</v>
      </c>
      <c r="B228" s="244"/>
      <c r="C228" s="166" t="s">
        <v>120</v>
      </c>
      <c r="D228" s="117" t="s">
        <v>421</v>
      </c>
      <c r="E228" s="54" t="s">
        <v>470</v>
      </c>
      <c r="F228" s="129"/>
      <c r="G228" s="144">
        <f>G229</f>
        <v>0</v>
      </c>
      <c r="H228" s="14"/>
      <c r="I228" s="14"/>
    </row>
    <row r="229" spans="1:10" s="16" customFormat="1" ht="15" hidden="1">
      <c r="A229" s="279" t="s">
        <v>459</v>
      </c>
      <c r="B229" s="244"/>
      <c r="C229" s="166" t="s">
        <v>120</v>
      </c>
      <c r="D229" s="117" t="s">
        <v>421</v>
      </c>
      <c r="E229" s="54" t="s">
        <v>470</v>
      </c>
      <c r="F229" s="129" t="s">
        <v>163</v>
      </c>
      <c r="G229" s="146"/>
      <c r="H229" s="14"/>
      <c r="I229" s="14"/>
      <c r="J229" s="16">
        <f>SUM('ведомствен.2014'!G343)</f>
        <v>0</v>
      </c>
    </row>
    <row r="230" spans="1:9" s="16" customFormat="1" ht="15">
      <c r="A230" s="292" t="s">
        <v>117</v>
      </c>
      <c r="B230" s="258"/>
      <c r="C230" s="236" t="s">
        <v>120</v>
      </c>
      <c r="D230" s="199" t="s">
        <v>421</v>
      </c>
      <c r="E230" s="199" t="s">
        <v>118</v>
      </c>
      <c r="F230" s="223"/>
      <c r="G230" s="213">
        <f>SUM(G231)+G234</f>
        <v>72.4</v>
      </c>
      <c r="H230" s="14"/>
      <c r="I230" s="14"/>
    </row>
    <row r="231" spans="1:9" s="16" customFormat="1" ht="57">
      <c r="A231" s="293" t="s">
        <v>626</v>
      </c>
      <c r="B231" s="259"/>
      <c r="C231" s="236" t="s">
        <v>120</v>
      </c>
      <c r="D231" s="199" t="s">
        <v>421</v>
      </c>
      <c r="E231" s="199" t="s">
        <v>605</v>
      </c>
      <c r="F231" s="225"/>
      <c r="G231" s="213">
        <f>SUM(G232:G232)</f>
        <v>16.4</v>
      </c>
      <c r="H231" s="14"/>
      <c r="I231" s="14"/>
    </row>
    <row r="232" spans="1:10" s="16" customFormat="1" ht="15">
      <c r="A232" s="280" t="s">
        <v>458</v>
      </c>
      <c r="B232" s="259"/>
      <c r="C232" s="236" t="s">
        <v>120</v>
      </c>
      <c r="D232" s="199" t="s">
        <v>421</v>
      </c>
      <c r="E232" s="199" t="s">
        <v>605</v>
      </c>
      <c r="F232" s="225" t="s">
        <v>109</v>
      </c>
      <c r="G232" s="213">
        <v>16.4</v>
      </c>
      <c r="H232" s="14"/>
      <c r="I232" s="14"/>
      <c r="J232" s="16">
        <f>SUM('ведомствен.2014'!G238)</f>
        <v>16.4</v>
      </c>
    </row>
    <row r="233" spans="1:9" s="16" customFormat="1" ht="57">
      <c r="A233" s="280" t="s">
        <v>629</v>
      </c>
      <c r="B233" s="257"/>
      <c r="C233" s="236" t="s">
        <v>120</v>
      </c>
      <c r="D233" s="199" t="s">
        <v>421</v>
      </c>
      <c r="E233" s="173" t="s">
        <v>32</v>
      </c>
      <c r="F233" s="174"/>
      <c r="G233" s="144">
        <f>G234</f>
        <v>56</v>
      </c>
      <c r="H233" s="14"/>
      <c r="I233" s="14"/>
    </row>
    <row r="234" spans="1:10" s="16" customFormat="1" ht="28.5">
      <c r="A234" s="280" t="s">
        <v>517</v>
      </c>
      <c r="B234" s="257"/>
      <c r="C234" s="236" t="s">
        <v>120</v>
      </c>
      <c r="D234" s="199" t="s">
        <v>421</v>
      </c>
      <c r="E234" s="173" t="s">
        <v>32</v>
      </c>
      <c r="F234" s="174" t="s">
        <v>518</v>
      </c>
      <c r="G234" s="144">
        <v>56</v>
      </c>
      <c r="H234" s="14"/>
      <c r="I234" s="14"/>
      <c r="J234" s="16">
        <f>SUM('ведомствен.2014'!G240)</f>
        <v>56</v>
      </c>
    </row>
    <row r="235" spans="1:9" s="16" customFormat="1" ht="15">
      <c r="A235" s="280" t="s">
        <v>33</v>
      </c>
      <c r="B235" s="247"/>
      <c r="C235" s="166" t="s">
        <v>120</v>
      </c>
      <c r="D235" s="117" t="s">
        <v>95</v>
      </c>
      <c r="E235" s="117"/>
      <c r="F235" s="134"/>
      <c r="G235" s="144">
        <f>G236+G247</f>
        <v>46729.00000000001</v>
      </c>
      <c r="H235" s="14">
        <f>SUM(H236)+H237</f>
        <v>15047</v>
      </c>
      <c r="I235" s="14">
        <f>SUM(H235/G241*100)</f>
        <v>111.66687693415165</v>
      </c>
    </row>
    <row r="236" spans="1:10" s="16" customFormat="1" ht="15">
      <c r="A236" s="280" t="s">
        <v>33</v>
      </c>
      <c r="B236" s="251"/>
      <c r="C236" s="166" t="s">
        <v>120</v>
      </c>
      <c r="D236" s="117" t="s">
        <v>95</v>
      </c>
      <c r="E236" s="173" t="s">
        <v>60</v>
      </c>
      <c r="F236" s="174"/>
      <c r="G236" s="144">
        <f>G237+G241+G245+G239</f>
        <v>46556.200000000004</v>
      </c>
      <c r="H236" s="18">
        <f>878+4272.1+2990.6</f>
        <v>8140.700000000001</v>
      </c>
      <c r="I236" s="14">
        <f>SUM(H236/G242*100)</f>
        <v>60.41380641043719</v>
      </c>
      <c r="J236" s="36"/>
    </row>
    <row r="237" spans="1:10" s="16" customFormat="1" ht="15">
      <c r="A237" s="286" t="s">
        <v>61</v>
      </c>
      <c r="B237" s="251"/>
      <c r="C237" s="166" t="s">
        <v>120</v>
      </c>
      <c r="D237" s="117" t="s">
        <v>95</v>
      </c>
      <c r="E237" s="173" t="s">
        <v>62</v>
      </c>
      <c r="F237" s="174"/>
      <c r="G237" s="144">
        <f>SUM(G238)</f>
        <v>32642.1</v>
      </c>
      <c r="H237" s="18">
        <v>6906.3</v>
      </c>
      <c r="I237" s="14" t="e">
        <f>SUM(H237/G243*100)</f>
        <v>#DIV/0!</v>
      </c>
      <c r="J237" s="36"/>
    </row>
    <row r="238" spans="1:10" s="16" customFormat="1" ht="15">
      <c r="A238" s="280" t="s">
        <v>458</v>
      </c>
      <c r="B238" s="251"/>
      <c r="C238" s="166" t="s">
        <v>120</v>
      </c>
      <c r="D238" s="117" t="s">
        <v>95</v>
      </c>
      <c r="E238" s="173" t="s">
        <v>62</v>
      </c>
      <c r="F238" s="174" t="s">
        <v>109</v>
      </c>
      <c r="G238" s="144">
        <v>32642.1</v>
      </c>
      <c r="H238" s="18" t="e">
        <f>SUM(H239)</f>
        <v>#REF!</v>
      </c>
      <c r="I238" s="14" t="e">
        <f>SUM(H238/G244*100)</f>
        <v>#REF!</v>
      </c>
      <c r="J238" s="16">
        <f>SUM('ведомствен.2014'!G244)</f>
        <v>32642.1</v>
      </c>
    </row>
    <row r="239" spans="1:9" s="16" customFormat="1" ht="15">
      <c r="A239" s="292" t="s">
        <v>606</v>
      </c>
      <c r="B239" s="260"/>
      <c r="C239" s="220" t="s">
        <v>120</v>
      </c>
      <c r="D239" s="196" t="s">
        <v>95</v>
      </c>
      <c r="E239" s="54" t="s">
        <v>607</v>
      </c>
      <c r="F239" s="174"/>
      <c r="G239" s="144">
        <f>SUM(G240)</f>
        <v>240.8</v>
      </c>
      <c r="H239" s="18" t="e">
        <f>SUM(#REF!)</f>
        <v>#REF!</v>
      </c>
      <c r="I239" s="14" t="e">
        <f>SUM(H239/G245*100)</f>
        <v>#REF!</v>
      </c>
    </row>
    <row r="240" spans="1:10" s="16" customFormat="1" ht="15">
      <c r="A240" s="280" t="s">
        <v>458</v>
      </c>
      <c r="B240" s="261"/>
      <c r="C240" s="166" t="s">
        <v>120</v>
      </c>
      <c r="D240" s="117" t="s">
        <v>95</v>
      </c>
      <c r="E240" s="54" t="s">
        <v>607</v>
      </c>
      <c r="F240" s="174" t="s">
        <v>109</v>
      </c>
      <c r="G240" s="144">
        <v>240.8</v>
      </c>
      <c r="H240" s="18"/>
      <c r="I240" s="14"/>
      <c r="J240" s="16">
        <f>SUM('ведомствен.2014'!G246)</f>
        <v>240.8</v>
      </c>
    </row>
    <row r="241" spans="1:9" s="16" customFormat="1" ht="28.5">
      <c r="A241" s="280" t="s">
        <v>563</v>
      </c>
      <c r="B241" s="251"/>
      <c r="C241" s="166" t="s">
        <v>120</v>
      </c>
      <c r="D241" s="117" t="s">
        <v>95</v>
      </c>
      <c r="E241" s="173" t="s">
        <v>30</v>
      </c>
      <c r="F241" s="174"/>
      <c r="G241" s="144">
        <f>G242</f>
        <v>13474.9</v>
      </c>
      <c r="H241" s="18"/>
      <c r="I241" s="14">
        <f>SUM(H241/G250*100)</f>
        <v>0</v>
      </c>
    </row>
    <row r="242" spans="1:10" s="16" customFormat="1" ht="15">
      <c r="A242" s="280" t="s">
        <v>458</v>
      </c>
      <c r="B242" s="251"/>
      <c r="C242" s="166" t="s">
        <v>120</v>
      </c>
      <c r="D242" s="117" t="s">
        <v>95</v>
      </c>
      <c r="E242" s="173" t="s">
        <v>30</v>
      </c>
      <c r="F242" s="174" t="s">
        <v>109</v>
      </c>
      <c r="G242" s="144">
        <v>13474.9</v>
      </c>
      <c r="H242" s="18">
        <f>SUM(H243)</f>
        <v>0</v>
      </c>
      <c r="I242" s="14">
        <f>SUM(H242/G253*100)</f>
        <v>0</v>
      </c>
      <c r="J242" s="16">
        <f>SUM('ведомствен.2014'!G248)</f>
        <v>13474.9</v>
      </c>
    </row>
    <row r="243" spans="1:9" s="16" customFormat="1" ht="28.5" hidden="1">
      <c r="A243" s="280" t="s">
        <v>476</v>
      </c>
      <c r="B243" s="251"/>
      <c r="C243" s="166" t="s">
        <v>120</v>
      </c>
      <c r="D243" s="117" t="s">
        <v>95</v>
      </c>
      <c r="E243" s="173" t="s">
        <v>30</v>
      </c>
      <c r="F243" s="174" t="s">
        <v>477</v>
      </c>
      <c r="G243" s="144"/>
      <c r="H243" s="18">
        <f>SUM(H244:H250)</f>
        <v>0</v>
      </c>
      <c r="I243" s="14" t="e">
        <f>SUM(H243/G256*100)</f>
        <v>#DIV/0!</v>
      </c>
    </row>
    <row r="244" spans="1:9" s="16" customFormat="1" ht="28.5" hidden="1">
      <c r="A244" s="280" t="s">
        <v>478</v>
      </c>
      <c r="B244" s="251"/>
      <c r="C244" s="166" t="s">
        <v>120</v>
      </c>
      <c r="D244" s="117" t="s">
        <v>95</v>
      </c>
      <c r="E244" s="173" t="s">
        <v>30</v>
      </c>
      <c r="F244" s="174" t="s">
        <v>479</v>
      </c>
      <c r="G244" s="144"/>
      <c r="H244" s="18"/>
      <c r="I244" s="14" t="e">
        <f>SUM(H244/G257*100)</f>
        <v>#DIV/0!</v>
      </c>
    </row>
    <row r="245" spans="1:9" s="16" customFormat="1" ht="57">
      <c r="A245" s="285" t="s">
        <v>561</v>
      </c>
      <c r="B245" s="249"/>
      <c r="C245" s="141" t="s">
        <v>120</v>
      </c>
      <c r="D245" s="120" t="s">
        <v>95</v>
      </c>
      <c r="E245" s="176" t="s">
        <v>562</v>
      </c>
      <c r="F245" s="168"/>
      <c r="G245" s="149">
        <f>SUM(G246)</f>
        <v>198.4</v>
      </c>
      <c r="H245" s="18"/>
      <c r="I245" s="14" t="e">
        <f>SUM(H245/G258*100)</f>
        <v>#DIV/0!</v>
      </c>
    </row>
    <row r="246" spans="1:10" s="16" customFormat="1" ht="15">
      <c r="A246" s="280" t="s">
        <v>458</v>
      </c>
      <c r="B246" s="251"/>
      <c r="C246" s="166" t="s">
        <v>120</v>
      </c>
      <c r="D246" s="117" t="s">
        <v>95</v>
      </c>
      <c r="E246" s="176" t="s">
        <v>562</v>
      </c>
      <c r="F246" s="174" t="s">
        <v>109</v>
      </c>
      <c r="G246" s="144">
        <v>198.4</v>
      </c>
      <c r="H246" s="18"/>
      <c r="I246" s="14" t="e">
        <f>SUM(H246/G259*100)</f>
        <v>#DIV/0!</v>
      </c>
      <c r="J246" s="16">
        <f>SUM('ведомствен.2014'!G252)</f>
        <v>198.4</v>
      </c>
    </row>
    <row r="247" spans="1:9" s="16" customFormat="1" ht="15">
      <c r="A247" s="292" t="s">
        <v>117</v>
      </c>
      <c r="B247" s="260"/>
      <c r="C247" s="220" t="s">
        <v>120</v>
      </c>
      <c r="D247" s="196" t="s">
        <v>95</v>
      </c>
      <c r="E247" s="54" t="s">
        <v>118</v>
      </c>
      <c r="F247" s="174"/>
      <c r="G247" s="144">
        <f>SUM(G248)</f>
        <v>172.8</v>
      </c>
      <c r="H247" s="18"/>
      <c r="I247" s="14"/>
    </row>
    <row r="248" spans="1:9" s="16" customFormat="1" ht="42.75">
      <c r="A248" s="288" t="s">
        <v>627</v>
      </c>
      <c r="B248" s="262"/>
      <c r="C248" s="237" t="s">
        <v>120</v>
      </c>
      <c r="D248" s="198" t="s">
        <v>95</v>
      </c>
      <c r="E248" s="54" t="s">
        <v>608</v>
      </c>
      <c r="F248" s="174"/>
      <c r="G248" s="144">
        <f>SUM(G249)</f>
        <v>172.8</v>
      </c>
      <c r="H248" s="18"/>
      <c r="I248" s="14"/>
    </row>
    <row r="249" spans="1:10" s="16" customFormat="1" ht="15">
      <c r="A249" s="280" t="s">
        <v>458</v>
      </c>
      <c r="B249" s="261"/>
      <c r="C249" s="237" t="s">
        <v>120</v>
      </c>
      <c r="D249" s="198" t="s">
        <v>95</v>
      </c>
      <c r="E249" s="54" t="s">
        <v>608</v>
      </c>
      <c r="F249" s="174" t="s">
        <v>109</v>
      </c>
      <c r="G249" s="144">
        <v>172.8</v>
      </c>
      <c r="H249" s="18"/>
      <c r="I249" s="14"/>
      <c r="J249" s="16">
        <f>SUM('ведомствен.2014'!G255)</f>
        <v>172.8</v>
      </c>
    </row>
    <row r="250" spans="1:9" s="16" customFormat="1" ht="27.75" customHeight="1">
      <c r="A250" s="280" t="s">
        <v>53</v>
      </c>
      <c r="B250" s="251"/>
      <c r="C250" s="166" t="s">
        <v>120</v>
      </c>
      <c r="D250" s="117" t="s">
        <v>120</v>
      </c>
      <c r="E250" s="173"/>
      <c r="F250" s="174"/>
      <c r="G250" s="144">
        <f>G253+G251</f>
        <v>9198</v>
      </c>
      <c r="H250" s="18">
        <f>SUM(H253)</f>
        <v>0</v>
      </c>
      <c r="I250" s="14">
        <f>SUM(H250/G260*100)</f>
        <v>0</v>
      </c>
    </row>
    <row r="251" spans="1:9" s="16" customFormat="1" ht="15" hidden="1">
      <c r="A251" s="281" t="s">
        <v>469</v>
      </c>
      <c r="B251" s="244"/>
      <c r="C251" s="166" t="s">
        <v>120</v>
      </c>
      <c r="D251" s="117" t="s">
        <v>120</v>
      </c>
      <c r="E251" s="54" t="s">
        <v>470</v>
      </c>
      <c r="F251" s="129"/>
      <c r="G251" s="144">
        <f>G252</f>
        <v>0</v>
      </c>
      <c r="H251" s="18"/>
      <c r="I251" s="14"/>
    </row>
    <row r="252" spans="1:10" s="16" customFormat="1" ht="15" hidden="1">
      <c r="A252" s="279" t="s">
        <v>459</v>
      </c>
      <c r="B252" s="244"/>
      <c r="C252" s="166" t="s">
        <v>120</v>
      </c>
      <c r="D252" s="117" t="s">
        <v>120</v>
      </c>
      <c r="E252" s="54" t="s">
        <v>470</v>
      </c>
      <c r="F252" s="129" t="s">
        <v>163</v>
      </c>
      <c r="G252" s="146"/>
      <c r="H252" s="18"/>
      <c r="I252" s="14"/>
      <c r="J252" s="16">
        <f>SUM('ведомствен.2014'!G346)</f>
        <v>0</v>
      </c>
    </row>
    <row r="253" spans="1:9" s="16" customFormat="1" ht="15">
      <c r="A253" s="280" t="s">
        <v>509</v>
      </c>
      <c r="B253" s="251"/>
      <c r="C253" s="166" t="s">
        <v>120</v>
      </c>
      <c r="D253" s="117" t="s">
        <v>120</v>
      </c>
      <c r="E253" s="173" t="s">
        <v>118</v>
      </c>
      <c r="F253" s="174"/>
      <c r="G253" s="144">
        <f>G256+G258+G260+G262+G254</f>
        <v>9198</v>
      </c>
      <c r="H253" s="18">
        <f>SUM(H256)</f>
        <v>0</v>
      </c>
      <c r="I253" s="14">
        <f>SUM(H253/G261*100)</f>
        <v>0</v>
      </c>
    </row>
    <row r="254" spans="1:9" s="16" customFormat="1" ht="28.5">
      <c r="A254" s="279" t="s">
        <v>628</v>
      </c>
      <c r="B254" s="260"/>
      <c r="C254" s="53" t="s">
        <v>120</v>
      </c>
      <c r="D254" s="116" t="s">
        <v>120</v>
      </c>
      <c r="E254" s="54" t="s">
        <v>612</v>
      </c>
      <c r="F254" s="174"/>
      <c r="G254" s="144">
        <f>SUM(G255)</f>
        <v>995.3</v>
      </c>
      <c r="H254" s="18"/>
      <c r="I254" s="14"/>
    </row>
    <row r="255" spans="1:10" s="16" customFormat="1" ht="42" customHeight="1">
      <c r="A255" s="292" t="s">
        <v>611</v>
      </c>
      <c r="B255" s="261"/>
      <c r="C255" s="53" t="s">
        <v>120</v>
      </c>
      <c r="D255" s="116" t="s">
        <v>120</v>
      </c>
      <c r="E255" s="54" t="s">
        <v>612</v>
      </c>
      <c r="F255" s="130" t="s">
        <v>518</v>
      </c>
      <c r="G255" s="144">
        <v>995.3</v>
      </c>
      <c r="H255" s="18"/>
      <c r="I255" s="14"/>
      <c r="J255" s="16">
        <f>SUM('ведомствен.2014'!G262)</f>
        <v>995.3</v>
      </c>
    </row>
    <row r="256" spans="1:9" s="16" customFormat="1" ht="0.75" customHeight="1" hidden="1">
      <c r="A256" s="286" t="s">
        <v>514</v>
      </c>
      <c r="B256" s="251"/>
      <c r="C256" s="166" t="s">
        <v>120</v>
      </c>
      <c r="D256" s="117" t="s">
        <v>120</v>
      </c>
      <c r="E256" s="173" t="s">
        <v>9</v>
      </c>
      <c r="F256" s="174"/>
      <c r="G256" s="144">
        <f>G257</f>
        <v>0</v>
      </c>
      <c r="H256" s="18"/>
      <c r="I256" s="14">
        <f>SUM(H256/G262*100)</f>
        <v>0</v>
      </c>
    </row>
    <row r="257" spans="1:10" ht="28.5" hidden="1">
      <c r="A257" s="280" t="s">
        <v>482</v>
      </c>
      <c r="B257" s="251"/>
      <c r="C257" s="166" t="s">
        <v>120</v>
      </c>
      <c r="D257" s="117" t="s">
        <v>120</v>
      </c>
      <c r="E257" s="173" t="s">
        <v>9</v>
      </c>
      <c r="F257" s="174" t="s">
        <v>471</v>
      </c>
      <c r="G257" s="144"/>
      <c r="H257" s="14"/>
      <c r="I257" s="14"/>
      <c r="J257" s="16">
        <f>SUM('ведомствен.2014'!G264)</f>
        <v>0</v>
      </c>
    </row>
    <row r="258" spans="1:10" ht="42.75" hidden="1">
      <c r="A258" s="286" t="s">
        <v>515</v>
      </c>
      <c r="B258" s="251"/>
      <c r="C258" s="166" t="s">
        <v>516</v>
      </c>
      <c r="D258" s="117" t="s">
        <v>120</v>
      </c>
      <c r="E258" s="173" t="s">
        <v>10</v>
      </c>
      <c r="F258" s="174"/>
      <c r="G258" s="144">
        <f>G259</f>
        <v>0</v>
      </c>
      <c r="H258" s="14"/>
      <c r="I258" s="14"/>
      <c r="J258"/>
    </row>
    <row r="259" spans="1:10" ht="28.5" hidden="1">
      <c r="A259" s="280" t="s">
        <v>517</v>
      </c>
      <c r="B259" s="251"/>
      <c r="C259" s="166" t="s">
        <v>516</v>
      </c>
      <c r="D259" s="117" t="s">
        <v>120</v>
      </c>
      <c r="E259" s="173" t="s">
        <v>10</v>
      </c>
      <c r="F259" s="174" t="s">
        <v>518</v>
      </c>
      <c r="G259" s="144"/>
      <c r="H259" s="14"/>
      <c r="I259" s="14"/>
      <c r="J259" s="16">
        <f>SUM('ведомствен.2014'!G266)</f>
        <v>0</v>
      </c>
    </row>
    <row r="260" spans="1:10" ht="57">
      <c r="A260" s="280" t="s">
        <v>629</v>
      </c>
      <c r="B260" s="251"/>
      <c r="C260" s="166" t="s">
        <v>120</v>
      </c>
      <c r="D260" s="117" t="s">
        <v>120</v>
      </c>
      <c r="E260" s="173" t="s">
        <v>32</v>
      </c>
      <c r="F260" s="174"/>
      <c r="G260" s="144">
        <f>G261</f>
        <v>721.2</v>
      </c>
      <c r="H260" s="14"/>
      <c r="I260" s="14"/>
      <c r="J260"/>
    </row>
    <row r="261" spans="1:10" ht="28.5">
      <c r="A261" s="280" t="s">
        <v>517</v>
      </c>
      <c r="B261" s="251"/>
      <c r="C261" s="166" t="s">
        <v>120</v>
      </c>
      <c r="D261" s="117" t="s">
        <v>120</v>
      </c>
      <c r="E261" s="173" t="s">
        <v>32</v>
      </c>
      <c r="F261" s="174" t="s">
        <v>518</v>
      </c>
      <c r="G261" s="144">
        <v>721.2</v>
      </c>
      <c r="H261" s="14"/>
      <c r="I261" s="14"/>
      <c r="J261" s="16">
        <f>SUM('ведомствен.2014'!G268)</f>
        <v>721.2</v>
      </c>
    </row>
    <row r="262" spans="1:10" ht="28.5">
      <c r="A262" s="286" t="s">
        <v>624</v>
      </c>
      <c r="B262" s="251"/>
      <c r="C262" s="166" t="s">
        <v>120</v>
      </c>
      <c r="D262" s="117" t="s">
        <v>120</v>
      </c>
      <c r="E262" s="173" t="s">
        <v>44</v>
      </c>
      <c r="F262" s="174"/>
      <c r="G262" s="144">
        <f>SUM(G263:G264)</f>
        <v>7481.5</v>
      </c>
      <c r="H262" s="14"/>
      <c r="I262" s="14"/>
      <c r="J262"/>
    </row>
    <row r="263" spans="1:10" ht="28.5">
      <c r="A263" s="280" t="s">
        <v>517</v>
      </c>
      <c r="B263" s="251"/>
      <c r="C263" s="166" t="s">
        <v>120</v>
      </c>
      <c r="D263" s="117" t="s">
        <v>120</v>
      </c>
      <c r="E263" s="173" t="s">
        <v>44</v>
      </c>
      <c r="F263" s="174" t="s">
        <v>518</v>
      </c>
      <c r="G263" s="144">
        <v>5281.5</v>
      </c>
      <c r="H263" s="14"/>
      <c r="I263" s="14"/>
      <c r="J263" s="16">
        <f>SUM('ведомствен.2014'!G270)</f>
        <v>5281.5</v>
      </c>
    </row>
    <row r="264" spans="1:10" ht="28.5">
      <c r="A264" s="280" t="s">
        <v>482</v>
      </c>
      <c r="B264" s="251"/>
      <c r="C264" s="166" t="s">
        <v>120</v>
      </c>
      <c r="D264" s="117" t="s">
        <v>120</v>
      </c>
      <c r="E264" s="173" t="s">
        <v>44</v>
      </c>
      <c r="F264" s="174" t="s">
        <v>471</v>
      </c>
      <c r="G264" s="144">
        <v>2200</v>
      </c>
      <c r="H264" s="14"/>
      <c r="I264" s="14"/>
      <c r="J264" s="16">
        <f>SUM('ведомствен.2014'!G271)</f>
        <v>2200</v>
      </c>
    </row>
    <row r="265" spans="1:12" ht="15">
      <c r="A265" s="283" t="s">
        <v>56</v>
      </c>
      <c r="B265" s="248"/>
      <c r="C265" s="132" t="s">
        <v>352</v>
      </c>
      <c r="D265" s="118"/>
      <c r="E265" s="118"/>
      <c r="F265" s="135"/>
      <c r="G265" s="148">
        <f>SUM(G266)</f>
        <v>5832.400000000001</v>
      </c>
      <c r="H265" s="18">
        <f>SUM(H266)</f>
        <v>0</v>
      </c>
      <c r="I265" s="14">
        <f>SUM(H265/G271*100)</f>
        <v>0</v>
      </c>
      <c r="J265"/>
      <c r="K265">
        <f>SUM(J266:J275)</f>
        <v>5832.400000000001</v>
      </c>
      <c r="L265">
        <f>SUM('ведомствен.2014'!G272)</f>
        <v>5832.400000000001</v>
      </c>
    </row>
    <row r="266" spans="1:10" ht="15">
      <c r="A266" s="279" t="s">
        <v>56</v>
      </c>
      <c r="B266" s="244"/>
      <c r="C266" s="45" t="s">
        <v>352</v>
      </c>
      <c r="D266" s="54"/>
      <c r="E266" s="54"/>
      <c r="F266" s="129"/>
      <c r="G266" s="146">
        <f>SUM(G267)+G272</f>
        <v>5832.400000000001</v>
      </c>
      <c r="H266" s="18">
        <f>SUM(H267)</f>
        <v>0</v>
      </c>
      <c r="I266" s="14">
        <f>SUM(H266/G272*100)</f>
        <v>0</v>
      </c>
      <c r="J266"/>
    </row>
    <row r="267" spans="1:9" s="23" customFormat="1" ht="15">
      <c r="A267" s="280" t="s">
        <v>57</v>
      </c>
      <c r="B267" s="247"/>
      <c r="C267" s="166" t="s">
        <v>352</v>
      </c>
      <c r="D267" s="117" t="s">
        <v>95</v>
      </c>
      <c r="E267" s="117" t="s">
        <v>519</v>
      </c>
      <c r="F267" s="134"/>
      <c r="G267" s="144">
        <f>SUM(G268)</f>
        <v>5287.3</v>
      </c>
      <c r="H267" s="18"/>
      <c r="I267" s="14">
        <f>SUM(H267/G273*100)</f>
        <v>0</v>
      </c>
    </row>
    <row r="268" spans="1:10" ht="28.5">
      <c r="A268" s="280" t="s">
        <v>46</v>
      </c>
      <c r="B268" s="247"/>
      <c r="C268" s="166" t="s">
        <v>352</v>
      </c>
      <c r="D268" s="117" t="s">
        <v>95</v>
      </c>
      <c r="E268" s="117" t="s">
        <v>520</v>
      </c>
      <c r="F268" s="134"/>
      <c r="G268" s="144">
        <f>SUM(G269:G271)</f>
        <v>5287.3</v>
      </c>
      <c r="H268" s="18" t="e">
        <f>SUM(H271+H272+#REF!)</f>
        <v>#REF!</v>
      </c>
      <c r="I268" s="14" t="e">
        <f>SUM(H268/G274*100)</f>
        <v>#REF!</v>
      </c>
      <c r="J268"/>
    </row>
    <row r="269" spans="1:10" ht="42.75">
      <c r="A269" s="280" t="s">
        <v>453</v>
      </c>
      <c r="B269" s="247"/>
      <c r="C269" s="166" t="s">
        <v>352</v>
      </c>
      <c r="D269" s="117" t="s">
        <v>95</v>
      </c>
      <c r="E269" s="117" t="s">
        <v>520</v>
      </c>
      <c r="F269" s="134" t="s">
        <v>454</v>
      </c>
      <c r="G269" s="144">
        <v>4446.9</v>
      </c>
      <c r="H269" s="18"/>
      <c r="I269" s="14">
        <f>SUM(H269/G275*100)</f>
        <v>0</v>
      </c>
      <c r="J269">
        <f>SUM('ведомствен.2014'!G276)</f>
        <v>4446.9</v>
      </c>
    </row>
    <row r="270" spans="1:10" ht="15">
      <c r="A270" s="280" t="s">
        <v>458</v>
      </c>
      <c r="B270" s="247"/>
      <c r="C270" s="166" t="s">
        <v>352</v>
      </c>
      <c r="D270" s="117" t="s">
        <v>95</v>
      </c>
      <c r="E270" s="117" t="s">
        <v>520</v>
      </c>
      <c r="F270" s="134" t="s">
        <v>109</v>
      </c>
      <c r="G270" s="144">
        <v>760.3</v>
      </c>
      <c r="H270" s="24">
        <v>300</v>
      </c>
      <c r="I270" s="14" t="e">
        <f>SUM(H270/#REF!*100)</f>
        <v>#REF!</v>
      </c>
      <c r="J270">
        <f>SUM('ведомствен.2014'!G277)</f>
        <v>760.3</v>
      </c>
    </row>
    <row r="271" spans="1:10" ht="15">
      <c r="A271" s="280" t="s">
        <v>459</v>
      </c>
      <c r="B271" s="247"/>
      <c r="C271" s="166" t="s">
        <v>352</v>
      </c>
      <c r="D271" s="117" t="s">
        <v>95</v>
      </c>
      <c r="E271" s="117" t="s">
        <v>520</v>
      </c>
      <c r="F271" s="134" t="s">
        <v>163</v>
      </c>
      <c r="G271" s="144">
        <v>80.1</v>
      </c>
      <c r="H271" s="18"/>
      <c r="I271" s="14" t="e">
        <f>SUM(H271/#REF!*100)</f>
        <v>#REF!</v>
      </c>
      <c r="J271">
        <f>SUM('ведомствен.2014'!G278)</f>
        <v>80.1</v>
      </c>
    </row>
    <row r="272" spans="1:10" ht="15">
      <c r="A272" s="280" t="s">
        <v>58</v>
      </c>
      <c r="B272" s="247"/>
      <c r="C272" s="166" t="s">
        <v>352</v>
      </c>
      <c r="D272" s="117" t="s">
        <v>120</v>
      </c>
      <c r="E272" s="177"/>
      <c r="F272" s="134"/>
      <c r="G272" s="144">
        <f>G274</f>
        <v>545.1</v>
      </c>
      <c r="H272" s="18">
        <f>SUM(H273:H275)</f>
        <v>347.3</v>
      </c>
      <c r="I272" s="14" t="e">
        <f>SUM(H272/#REF!*100)</f>
        <v>#REF!</v>
      </c>
      <c r="J272"/>
    </row>
    <row r="273" spans="1:9" ht="15">
      <c r="A273" s="280" t="s">
        <v>509</v>
      </c>
      <c r="B273" s="247"/>
      <c r="C273" s="166" t="s">
        <v>352</v>
      </c>
      <c r="D273" s="117" t="s">
        <v>120</v>
      </c>
      <c r="E273" s="173" t="s">
        <v>118</v>
      </c>
      <c r="F273" s="134"/>
      <c r="G273" s="144">
        <f>SUM(G274)</f>
        <v>545.1</v>
      </c>
      <c r="H273" s="18"/>
      <c r="I273" s="14" t="e">
        <f>SUM(H273/#REF!*100)</f>
        <v>#REF!</v>
      </c>
    </row>
    <row r="274" spans="1:10" ht="15.75">
      <c r="A274" s="280" t="s">
        <v>591</v>
      </c>
      <c r="B274" s="250"/>
      <c r="C274" s="166" t="s">
        <v>352</v>
      </c>
      <c r="D274" s="117" t="s">
        <v>120</v>
      </c>
      <c r="E274" s="117" t="s">
        <v>59</v>
      </c>
      <c r="F274" s="134"/>
      <c r="G274" s="144">
        <f>G275</f>
        <v>545.1</v>
      </c>
      <c r="H274" s="18"/>
      <c r="I274" s="14"/>
      <c r="J274"/>
    </row>
    <row r="275" spans="1:10" ht="15">
      <c r="A275" s="280" t="s">
        <v>458</v>
      </c>
      <c r="B275" s="247"/>
      <c r="C275" s="166" t="s">
        <v>352</v>
      </c>
      <c r="D275" s="117" t="s">
        <v>120</v>
      </c>
      <c r="E275" s="117" t="s">
        <v>59</v>
      </c>
      <c r="F275" s="134" t="s">
        <v>109</v>
      </c>
      <c r="G275" s="144">
        <v>545.1</v>
      </c>
      <c r="H275" s="18">
        <v>347.3</v>
      </c>
      <c r="I275" s="14" t="e">
        <f>SUM(H275/#REF!*100)</f>
        <v>#REF!</v>
      </c>
      <c r="J275">
        <f>SUM('ведомствен.2014'!G282)</f>
        <v>545.1</v>
      </c>
    </row>
    <row r="276" spans="1:12" s="25" customFormat="1" ht="15">
      <c r="A276" s="283" t="s">
        <v>105</v>
      </c>
      <c r="B276" s="248"/>
      <c r="C276" s="136" t="s">
        <v>106</v>
      </c>
      <c r="D276" s="119"/>
      <c r="E276" s="119"/>
      <c r="F276" s="133"/>
      <c r="G276" s="148">
        <f>SUM(G277+G303+G356+G377)</f>
        <v>1802217.7999999998</v>
      </c>
      <c r="H276" s="14"/>
      <c r="I276" s="14"/>
      <c r="K276" s="57">
        <f>SUM(J281:J388)</f>
        <v>1785057.1999999997</v>
      </c>
      <c r="L276" s="57">
        <f>SUM('ведомствен.2014'!G283+'ведомствен.2014'!G366+'ведомствен.2014'!G523+'ведомствен.2014'!G564+'ведомствен.2014'!G674)</f>
        <v>1802217.7999999998</v>
      </c>
    </row>
    <row r="277" spans="1:12" s="25" customFormat="1" ht="15">
      <c r="A277" s="285" t="s">
        <v>316</v>
      </c>
      <c r="B277" s="263"/>
      <c r="C277" s="56" t="s">
        <v>106</v>
      </c>
      <c r="D277" s="111" t="s">
        <v>419</v>
      </c>
      <c r="E277" s="111"/>
      <c r="F277" s="183"/>
      <c r="G277" s="151">
        <f>SUM(G278+G299)+G294</f>
        <v>633092.7999999999</v>
      </c>
      <c r="H277" s="14"/>
      <c r="I277" s="14"/>
      <c r="L277" s="52">
        <f>SUM(L276-K276)</f>
        <v>17160.600000000093</v>
      </c>
    </row>
    <row r="278" spans="1:12" s="25" customFormat="1" ht="15">
      <c r="A278" s="285" t="s">
        <v>317</v>
      </c>
      <c r="B278" s="263"/>
      <c r="C278" s="56" t="s">
        <v>106</v>
      </c>
      <c r="D278" s="111" t="s">
        <v>419</v>
      </c>
      <c r="E278" s="111" t="s">
        <v>318</v>
      </c>
      <c r="F278" s="183"/>
      <c r="G278" s="151">
        <f>SUM(G279+G287+G291)</f>
        <v>610924.1</v>
      </c>
      <c r="H278" s="14"/>
      <c r="I278" s="14"/>
      <c r="K278" s="25">
        <f>SUM(J277:J302)</f>
        <v>615932.2000000001</v>
      </c>
      <c r="L278" s="25">
        <f>SUM('ведомствен.2014'!G565)</f>
        <v>633092.7999999999</v>
      </c>
    </row>
    <row r="279" spans="1:10" ht="28.5">
      <c r="A279" s="285" t="s">
        <v>564</v>
      </c>
      <c r="B279" s="263"/>
      <c r="C279" s="56" t="s">
        <v>106</v>
      </c>
      <c r="D279" s="111" t="s">
        <v>419</v>
      </c>
      <c r="E279" s="111" t="s">
        <v>74</v>
      </c>
      <c r="F279" s="183"/>
      <c r="G279" s="151">
        <f>SUM(G282+G280+G284)</f>
        <v>522328.7</v>
      </c>
      <c r="H279" s="14"/>
      <c r="I279" s="14"/>
      <c r="J279"/>
    </row>
    <row r="280" spans="1:10" ht="85.5">
      <c r="A280" s="285" t="s">
        <v>565</v>
      </c>
      <c r="B280" s="263"/>
      <c r="C280" s="56" t="s">
        <v>106</v>
      </c>
      <c r="D280" s="111" t="s">
        <v>419</v>
      </c>
      <c r="E280" s="111" t="s">
        <v>198</v>
      </c>
      <c r="F280" s="183"/>
      <c r="G280" s="151">
        <f>G281</f>
        <v>333529.6</v>
      </c>
      <c r="H280" s="14"/>
      <c r="I280" s="14"/>
      <c r="J280"/>
    </row>
    <row r="281" spans="1:10" s="25" customFormat="1" ht="28.5">
      <c r="A281" s="285" t="s">
        <v>482</v>
      </c>
      <c r="B281" s="263"/>
      <c r="C281" s="56" t="s">
        <v>106</v>
      </c>
      <c r="D281" s="111" t="s">
        <v>419</v>
      </c>
      <c r="E281" s="111" t="s">
        <v>198</v>
      </c>
      <c r="F281" s="183" t="s">
        <v>471</v>
      </c>
      <c r="G281" s="151">
        <v>333529.6</v>
      </c>
      <c r="H281" s="14"/>
      <c r="I281" s="14"/>
      <c r="J281">
        <f>SUM('ведомствен.2014'!G569)</f>
        <v>333529.6</v>
      </c>
    </row>
    <row r="282" spans="1:10" ht="28.5">
      <c r="A282" s="285" t="s">
        <v>191</v>
      </c>
      <c r="B282" s="263"/>
      <c r="C282" s="56" t="s">
        <v>106</v>
      </c>
      <c r="D282" s="111" t="s">
        <v>419</v>
      </c>
      <c r="E282" s="111" t="s">
        <v>75</v>
      </c>
      <c r="F282" s="183"/>
      <c r="G282" s="151">
        <f>SUM(G283)</f>
        <v>184978.4</v>
      </c>
      <c r="H282" s="14"/>
      <c r="I282" s="14"/>
      <c r="J282"/>
    </row>
    <row r="283" spans="1:10" ht="28.5">
      <c r="A283" s="285" t="s">
        <v>482</v>
      </c>
      <c r="B283" s="263"/>
      <c r="C283" s="56" t="s">
        <v>106</v>
      </c>
      <c r="D283" s="111" t="s">
        <v>419</v>
      </c>
      <c r="E283" s="111" t="s">
        <v>75</v>
      </c>
      <c r="F283" s="183" t="s">
        <v>471</v>
      </c>
      <c r="G283" s="151">
        <v>184978.4</v>
      </c>
      <c r="H283" s="14"/>
      <c r="I283" s="14"/>
      <c r="J283">
        <f>SUM('ведомствен.2014'!G571)</f>
        <v>184978.4</v>
      </c>
    </row>
    <row r="284" spans="1:10" ht="28.5">
      <c r="A284" s="294" t="s">
        <v>146</v>
      </c>
      <c r="B284" s="232"/>
      <c r="C284" s="220" t="s">
        <v>106</v>
      </c>
      <c r="D284" s="196" t="s">
        <v>419</v>
      </c>
      <c r="E284" s="196" t="s">
        <v>615</v>
      </c>
      <c r="F284" s="221"/>
      <c r="G284" s="214">
        <f>SUM(G285)</f>
        <v>3820.7</v>
      </c>
      <c r="H284" s="201"/>
      <c r="I284" s="201"/>
      <c r="J284"/>
    </row>
    <row r="285" spans="1:7" ht="28.5">
      <c r="A285" s="290" t="s">
        <v>143</v>
      </c>
      <c r="B285" s="232"/>
      <c r="C285" s="220" t="s">
        <v>106</v>
      </c>
      <c r="D285" s="196" t="s">
        <v>419</v>
      </c>
      <c r="E285" s="196" t="s">
        <v>614</v>
      </c>
      <c r="F285" s="221"/>
      <c r="G285" s="214">
        <f>SUM(G286)</f>
        <v>3820.7</v>
      </c>
    </row>
    <row r="286" spans="1:10" ht="28.5">
      <c r="A286" s="285" t="s">
        <v>482</v>
      </c>
      <c r="B286" s="232"/>
      <c r="C286" s="220" t="s">
        <v>106</v>
      </c>
      <c r="D286" s="196" t="s">
        <v>419</v>
      </c>
      <c r="E286" s="196" t="s">
        <v>614</v>
      </c>
      <c r="F286" s="183" t="s">
        <v>471</v>
      </c>
      <c r="G286" s="214">
        <v>3820.7</v>
      </c>
      <c r="J286" s="36">
        <f>SUM('ведомствен.2014'!G574)</f>
        <v>3820.7</v>
      </c>
    </row>
    <row r="287" spans="1:9" s="25" customFormat="1" ht="28.5">
      <c r="A287" s="285" t="s">
        <v>46</v>
      </c>
      <c r="B287" s="263"/>
      <c r="C287" s="56" t="s">
        <v>106</v>
      </c>
      <c r="D287" s="111" t="s">
        <v>419</v>
      </c>
      <c r="E287" s="111" t="s">
        <v>319</v>
      </c>
      <c r="F287" s="183"/>
      <c r="G287" s="151">
        <f>SUM(G288+G289+G290)</f>
        <v>37586.200000000004</v>
      </c>
      <c r="H287" s="14"/>
      <c r="I287" s="14"/>
    </row>
    <row r="288" spans="1:10" s="25" customFormat="1" ht="42.75">
      <c r="A288" s="285" t="s">
        <v>453</v>
      </c>
      <c r="B288" s="263"/>
      <c r="C288" s="56" t="s">
        <v>106</v>
      </c>
      <c r="D288" s="111" t="s">
        <v>419</v>
      </c>
      <c r="E288" s="111" t="s">
        <v>319</v>
      </c>
      <c r="F288" s="183" t="s">
        <v>454</v>
      </c>
      <c r="G288" s="151">
        <v>9732.7</v>
      </c>
      <c r="H288" s="14"/>
      <c r="I288" s="14"/>
      <c r="J288">
        <f>SUM('ведомствен.2014'!G576)</f>
        <v>9732.7</v>
      </c>
    </row>
    <row r="289" spans="1:10" s="25" customFormat="1" ht="15">
      <c r="A289" s="285" t="s">
        <v>458</v>
      </c>
      <c r="B289" s="264"/>
      <c r="C289" s="56" t="s">
        <v>106</v>
      </c>
      <c r="D289" s="111" t="s">
        <v>419</v>
      </c>
      <c r="E289" s="111" t="s">
        <v>319</v>
      </c>
      <c r="F289" s="183" t="s">
        <v>109</v>
      </c>
      <c r="G289" s="151">
        <v>25547.1</v>
      </c>
      <c r="H289" s="14"/>
      <c r="I289" s="14"/>
      <c r="J289">
        <f>SUM('ведомствен.2014'!G577)</f>
        <v>25547.1</v>
      </c>
    </row>
    <row r="290" spans="1:10" s="25" customFormat="1" ht="15">
      <c r="A290" s="285" t="s">
        <v>459</v>
      </c>
      <c r="B290" s="263"/>
      <c r="C290" s="56" t="s">
        <v>106</v>
      </c>
      <c r="D290" s="111" t="s">
        <v>419</v>
      </c>
      <c r="E290" s="111" t="s">
        <v>319</v>
      </c>
      <c r="F290" s="183" t="s">
        <v>163</v>
      </c>
      <c r="G290" s="151">
        <v>2306.4</v>
      </c>
      <c r="H290" s="14"/>
      <c r="I290" s="14"/>
      <c r="J290">
        <f>SUM('ведомствен.2014'!G578)</f>
        <v>2306.4</v>
      </c>
    </row>
    <row r="291" spans="1:9" s="25" customFormat="1" ht="57">
      <c r="A291" s="295" t="s">
        <v>566</v>
      </c>
      <c r="B291" s="263"/>
      <c r="C291" s="56" t="s">
        <v>106</v>
      </c>
      <c r="D291" s="111" t="s">
        <v>419</v>
      </c>
      <c r="E291" s="111" t="s">
        <v>320</v>
      </c>
      <c r="F291" s="183"/>
      <c r="G291" s="151">
        <f>SUM(G292+G293)</f>
        <v>51009.200000000004</v>
      </c>
      <c r="H291" s="14">
        <f>SUM(H303+H307+H314+H316+H305)</f>
        <v>213007.5</v>
      </c>
      <c r="I291" s="14">
        <f>SUM(H291/G303*100)</f>
        <v>19.883336530423932</v>
      </c>
    </row>
    <row r="292" spans="1:10" ht="42.75">
      <c r="A292" s="285" t="s">
        <v>453</v>
      </c>
      <c r="B292" s="263"/>
      <c r="C292" s="56" t="s">
        <v>106</v>
      </c>
      <c r="D292" s="111" t="s">
        <v>419</v>
      </c>
      <c r="E292" s="111" t="s">
        <v>320</v>
      </c>
      <c r="F292" s="183" t="s">
        <v>454</v>
      </c>
      <c r="G292" s="151">
        <v>49715.8</v>
      </c>
      <c r="H292" s="14"/>
      <c r="I292" s="14"/>
      <c r="J292">
        <f>SUM('ведомствен.2014'!G580)</f>
        <v>49715.8</v>
      </c>
    </row>
    <row r="293" spans="1:10" ht="15">
      <c r="A293" s="285" t="s">
        <v>458</v>
      </c>
      <c r="B293" s="263"/>
      <c r="C293" s="56" t="s">
        <v>106</v>
      </c>
      <c r="D293" s="111" t="s">
        <v>419</v>
      </c>
      <c r="E293" s="111" t="s">
        <v>320</v>
      </c>
      <c r="F293" s="183" t="s">
        <v>109</v>
      </c>
      <c r="G293" s="151">
        <v>1293.4</v>
      </c>
      <c r="H293" s="14">
        <v>187516.5</v>
      </c>
      <c r="I293" s="14">
        <f>SUM(H293/G305*100)</f>
        <v>51.90811273173204</v>
      </c>
      <c r="J293">
        <f>SUM('ведомствен.2014'!G581)</f>
        <v>1293.4</v>
      </c>
    </row>
    <row r="294" spans="1:10" ht="15">
      <c r="A294" s="285" t="s">
        <v>634</v>
      </c>
      <c r="B294" s="265"/>
      <c r="C294" s="111" t="s">
        <v>106</v>
      </c>
      <c r="D294" s="111" t="s">
        <v>419</v>
      </c>
      <c r="E294" s="111" t="s">
        <v>636</v>
      </c>
      <c r="F294" s="183"/>
      <c r="G294" s="151">
        <f>SUM(G295)</f>
        <v>17968.7</v>
      </c>
      <c r="H294" s="14"/>
      <c r="I294" s="14"/>
      <c r="J294"/>
    </row>
    <row r="295" spans="1:10" ht="42.75">
      <c r="A295" s="285" t="s">
        <v>646</v>
      </c>
      <c r="B295" s="265"/>
      <c r="C295" s="111" t="s">
        <v>106</v>
      </c>
      <c r="D295" s="111" t="s">
        <v>419</v>
      </c>
      <c r="E295" s="111" t="s">
        <v>647</v>
      </c>
      <c r="F295" s="183"/>
      <c r="G295" s="151">
        <f>SUM(G296:G298)</f>
        <v>17968.7</v>
      </c>
      <c r="H295" s="14"/>
      <c r="I295" s="14"/>
      <c r="J295"/>
    </row>
    <row r="296" spans="1:10" ht="15">
      <c r="A296" s="285" t="s">
        <v>458</v>
      </c>
      <c r="B296" s="265"/>
      <c r="C296" s="111" t="s">
        <v>106</v>
      </c>
      <c r="D296" s="111" t="s">
        <v>419</v>
      </c>
      <c r="E296" s="111" t="s">
        <v>647</v>
      </c>
      <c r="F296" s="183" t="s">
        <v>109</v>
      </c>
      <c r="G296" s="151">
        <v>6213</v>
      </c>
      <c r="H296" s="14"/>
      <c r="I296" s="14"/>
      <c r="J296"/>
    </row>
    <row r="297" spans="1:10" ht="15">
      <c r="A297" s="287" t="s">
        <v>463</v>
      </c>
      <c r="B297" s="265"/>
      <c r="C297" s="111" t="s">
        <v>106</v>
      </c>
      <c r="D297" s="111" t="s">
        <v>419</v>
      </c>
      <c r="E297" s="111" t="s">
        <v>647</v>
      </c>
      <c r="F297" s="183" t="s">
        <v>464</v>
      </c>
      <c r="G297" s="151">
        <v>808.1</v>
      </c>
      <c r="H297" s="14"/>
      <c r="I297" s="14"/>
      <c r="J297">
        <f>SUM('ведомствен.2014'!G585)</f>
        <v>808.1</v>
      </c>
    </row>
    <row r="298" spans="1:10" ht="28.5">
      <c r="A298" s="285" t="s">
        <v>475</v>
      </c>
      <c r="B298" s="269"/>
      <c r="C298" s="111" t="s">
        <v>106</v>
      </c>
      <c r="D298" s="111" t="s">
        <v>419</v>
      </c>
      <c r="E298" s="111" t="s">
        <v>647</v>
      </c>
      <c r="F298" s="183" t="s">
        <v>471</v>
      </c>
      <c r="G298" s="151">
        <v>10947.6</v>
      </c>
      <c r="H298" s="14"/>
      <c r="I298" s="14"/>
      <c r="J298"/>
    </row>
    <row r="299" spans="1:9" s="16" customFormat="1" ht="15">
      <c r="A299" s="285" t="s">
        <v>552</v>
      </c>
      <c r="B299" s="266"/>
      <c r="C299" s="56" t="s">
        <v>106</v>
      </c>
      <c r="D299" s="111" t="s">
        <v>419</v>
      </c>
      <c r="E299" s="111" t="s">
        <v>118</v>
      </c>
      <c r="F299" s="183"/>
      <c r="G299" s="151">
        <f>G300</f>
        <v>4200</v>
      </c>
      <c r="H299" s="14"/>
      <c r="I299" s="14"/>
    </row>
    <row r="300" spans="1:9" s="16" customFormat="1" ht="28.5">
      <c r="A300" s="285" t="s">
        <v>567</v>
      </c>
      <c r="B300" s="263"/>
      <c r="C300" s="56" t="s">
        <v>106</v>
      </c>
      <c r="D300" s="111" t="s">
        <v>419</v>
      </c>
      <c r="E300" s="111" t="s">
        <v>327</v>
      </c>
      <c r="F300" s="183"/>
      <c r="G300" s="151">
        <f>SUM(G301:G302)</f>
        <v>4200</v>
      </c>
      <c r="H300" s="14">
        <v>187516.5</v>
      </c>
      <c r="I300" s="14">
        <f>SUM(H300/G307*100)</f>
        <v>209.6325213722511</v>
      </c>
    </row>
    <row r="301" spans="1:10" s="16" customFormat="1" ht="15">
      <c r="A301" s="287" t="s">
        <v>463</v>
      </c>
      <c r="B301" s="267"/>
      <c r="C301" s="56" t="s">
        <v>106</v>
      </c>
      <c r="D301" s="111" t="s">
        <v>419</v>
      </c>
      <c r="E301" s="111" t="s">
        <v>327</v>
      </c>
      <c r="F301" s="183" t="s">
        <v>464</v>
      </c>
      <c r="G301" s="151">
        <v>1700</v>
      </c>
      <c r="H301" s="14"/>
      <c r="I301" s="14"/>
      <c r="J301">
        <f>SUM('ведомствен.2014'!G589)</f>
        <v>1700</v>
      </c>
    </row>
    <row r="302" spans="1:10" s="16" customFormat="1" ht="15">
      <c r="A302" s="285" t="s">
        <v>458</v>
      </c>
      <c r="B302" s="268"/>
      <c r="C302" s="56" t="s">
        <v>106</v>
      </c>
      <c r="D302" s="111" t="s">
        <v>419</v>
      </c>
      <c r="E302" s="111" t="s">
        <v>327</v>
      </c>
      <c r="F302" s="183" t="s">
        <v>109</v>
      </c>
      <c r="G302" s="151">
        <v>2500</v>
      </c>
      <c r="H302" s="14"/>
      <c r="I302" s="14"/>
      <c r="J302">
        <f>SUM('ведомствен.2014'!G590)</f>
        <v>2500</v>
      </c>
    </row>
    <row r="303" spans="1:12" s="25" customFormat="1" ht="15">
      <c r="A303" s="285" t="s">
        <v>321</v>
      </c>
      <c r="B303" s="263"/>
      <c r="C303" s="56" t="s">
        <v>106</v>
      </c>
      <c r="D303" s="111" t="s">
        <v>421</v>
      </c>
      <c r="E303" s="111"/>
      <c r="F303" s="183"/>
      <c r="G303" s="151">
        <f>SUM(G304+G324+G340+G348+G334)+G352</f>
        <v>1071286.5</v>
      </c>
      <c r="H303" s="14">
        <v>187516.5</v>
      </c>
      <c r="I303" s="14">
        <f>SUM(H303/G314*100)</f>
        <v>70.57890309334228</v>
      </c>
      <c r="J303" s="39"/>
      <c r="K303" s="25">
        <f>SUM(J304:J355)</f>
        <v>1071286.4999999998</v>
      </c>
      <c r="L303" s="25">
        <f>SUM('ведомствен.2014'!G367+'ведомствен.2014'!G524+'ведомствен.2014'!G591+'ведомствен.2014'!G675)</f>
        <v>1071286.5</v>
      </c>
    </row>
    <row r="304" spans="1:12" s="25" customFormat="1" ht="28.5">
      <c r="A304" s="285" t="s">
        <v>322</v>
      </c>
      <c r="B304" s="263"/>
      <c r="C304" s="56" t="s">
        <v>106</v>
      </c>
      <c r="D304" s="111" t="s">
        <v>421</v>
      </c>
      <c r="E304" s="111" t="s">
        <v>323</v>
      </c>
      <c r="F304" s="183"/>
      <c r="G304" s="151">
        <f>G305+G315</f>
        <v>777082.3999999999</v>
      </c>
      <c r="H304" s="14"/>
      <c r="I304" s="14">
        <f>SUM(H304/G315*100)</f>
        <v>0</v>
      </c>
      <c r="K304" s="57">
        <f>SUM(K303-G303)</f>
        <v>-2.3283064365386963E-10</v>
      </c>
      <c r="L304" s="241">
        <f>SUM(L303-K303)</f>
        <v>2.3283064365386963E-10</v>
      </c>
    </row>
    <row r="305" spans="1:10" ht="28.5">
      <c r="A305" s="285" t="s">
        <v>11</v>
      </c>
      <c r="B305" s="263"/>
      <c r="C305" s="56" t="s">
        <v>106</v>
      </c>
      <c r="D305" s="111" t="s">
        <v>421</v>
      </c>
      <c r="E305" s="111" t="s">
        <v>76</v>
      </c>
      <c r="F305" s="183"/>
      <c r="G305" s="151">
        <f>G306+G313+G308+G311</f>
        <v>361246.99999999994</v>
      </c>
      <c r="H305" s="14">
        <f>SUM(H306)</f>
        <v>120.3</v>
      </c>
      <c r="I305" s="14">
        <f>SUM(H305/G316*100)</f>
        <v>0.3291831987960049</v>
      </c>
      <c r="J305"/>
    </row>
    <row r="306" spans="1:10" ht="28.5">
      <c r="A306" s="285" t="s">
        <v>191</v>
      </c>
      <c r="B306" s="263"/>
      <c r="C306" s="56" t="s">
        <v>106</v>
      </c>
      <c r="D306" s="111" t="s">
        <v>421</v>
      </c>
      <c r="E306" s="111" t="s">
        <v>77</v>
      </c>
      <c r="F306" s="183"/>
      <c r="G306" s="151">
        <f>SUM(G307)</f>
        <v>89450.1</v>
      </c>
      <c r="H306" s="14">
        <v>120.3</v>
      </c>
      <c r="I306" s="14">
        <f>SUM(H306/G317*100)</f>
        <v>0.24703273235040452</v>
      </c>
      <c r="J306"/>
    </row>
    <row r="307" spans="1:10" s="25" customFormat="1" ht="28.5">
      <c r="A307" s="285" t="s">
        <v>475</v>
      </c>
      <c r="B307" s="263"/>
      <c r="C307" s="56" t="s">
        <v>106</v>
      </c>
      <c r="D307" s="111" t="s">
        <v>421</v>
      </c>
      <c r="E307" s="111" t="s">
        <v>77</v>
      </c>
      <c r="F307" s="183" t="s">
        <v>471</v>
      </c>
      <c r="G307" s="151">
        <v>89450.1</v>
      </c>
      <c r="H307" s="14">
        <f>SUM(H313)</f>
        <v>24134</v>
      </c>
      <c r="I307" s="14">
        <f>SUM(H307/G318*100)</f>
        <v>155.22353501115907</v>
      </c>
      <c r="J307">
        <f>SUM('ведомствен.2014'!G595)</f>
        <v>89450.1</v>
      </c>
    </row>
    <row r="308" spans="1:10" s="25" customFormat="1" ht="28.5">
      <c r="A308" s="294" t="s">
        <v>146</v>
      </c>
      <c r="B308" s="269"/>
      <c r="C308" s="220" t="s">
        <v>106</v>
      </c>
      <c r="D308" s="196" t="s">
        <v>421</v>
      </c>
      <c r="E308" s="196" t="s">
        <v>617</v>
      </c>
      <c r="F308" s="183"/>
      <c r="G308" s="151">
        <f>SUM(G309)</f>
        <v>1415.1</v>
      </c>
      <c r="H308" s="14"/>
      <c r="I308" s="14"/>
      <c r="J308"/>
    </row>
    <row r="309" spans="1:10" s="25" customFormat="1" ht="28.5">
      <c r="A309" s="290" t="s">
        <v>201</v>
      </c>
      <c r="B309" s="232"/>
      <c r="C309" s="220" t="s">
        <v>106</v>
      </c>
      <c r="D309" s="196" t="s">
        <v>421</v>
      </c>
      <c r="E309" s="196" t="s">
        <v>616</v>
      </c>
      <c r="F309" s="221"/>
      <c r="G309" s="204">
        <f>SUM(G310)</f>
        <v>1415.1</v>
      </c>
      <c r="H309" s="14"/>
      <c r="I309" s="14"/>
      <c r="J309"/>
    </row>
    <row r="310" spans="1:10" s="25" customFormat="1" ht="28.5">
      <c r="A310" s="285" t="s">
        <v>482</v>
      </c>
      <c r="B310" s="232"/>
      <c r="C310" s="220" t="s">
        <v>106</v>
      </c>
      <c r="D310" s="196" t="s">
        <v>421</v>
      </c>
      <c r="E310" s="196" t="s">
        <v>616</v>
      </c>
      <c r="F310" s="221" t="s">
        <v>471</v>
      </c>
      <c r="G310" s="204">
        <v>1415.1</v>
      </c>
      <c r="H310" s="14"/>
      <c r="I310" s="14"/>
      <c r="J310">
        <f>SUM('ведомствен.2014'!G598)</f>
        <v>1415.1</v>
      </c>
    </row>
    <row r="311" spans="1:10" s="25" customFormat="1" ht="57">
      <c r="A311" s="294" t="s">
        <v>619</v>
      </c>
      <c r="B311" s="270"/>
      <c r="C311" s="220" t="s">
        <v>106</v>
      </c>
      <c r="D311" s="196" t="s">
        <v>421</v>
      </c>
      <c r="E311" s="196" t="s">
        <v>621</v>
      </c>
      <c r="F311" s="221"/>
      <c r="G311" s="204">
        <f>SUM(G312)</f>
        <v>4698.3</v>
      </c>
      <c r="H311" s="14"/>
      <c r="I311" s="14"/>
      <c r="J311"/>
    </row>
    <row r="312" spans="1:10" s="25" customFormat="1" ht="28.5">
      <c r="A312" s="285" t="s">
        <v>482</v>
      </c>
      <c r="B312" s="232"/>
      <c r="C312" s="220" t="s">
        <v>106</v>
      </c>
      <c r="D312" s="196" t="s">
        <v>421</v>
      </c>
      <c r="E312" s="196" t="s">
        <v>621</v>
      </c>
      <c r="F312" s="221" t="s">
        <v>471</v>
      </c>
      <c r="G312" s="204">
        <v>4698.3</v>
      </c>
      <c r="H312" s="14"/>
      <c r="I312" s="14"/>
      <c r="J312">
        <f>SUM('ведомствен.2014'!G600)</f>
        <v>4698.3</v>
      </c>
    </row>
    <row r="313" spans="1:10" s="25" customFormat="1" ht="85.5">
      <c r="A313" s="285" t="s">
        <v>568</v>
      </c>
      <c r="B313" s="263"/>
      <c r="C313" s="56" t="s">
        <v>106</v>
      </c>
      <c r="D313" s="111" t="s">
        <v>421</v>
      </c>
      <c r="E313" s="111" t="s">
        <v>78</v>
      </c>
      <c r="F313" s="183"/>
      <c r="G313" s="151">
        <f>SUM(G314)</f>
        <v>265683.5</v>
      </c>
      <c r="H313" s="14">
        <v>24134</v>
      </c>
      <c r="I313" s="14">
        <f aca="true" t="shared" si="5" ref="I313:I318">SUM(H313/G321*100)</f>
        <v>7.774137062410852</v>
      </c>
      <c r="J313" s="39"/>
    </row>
    <row r="314" spans="1:10" s="25" customFormat="1" ht="28.5">
      <c r="A314" s="285" t="s">
        <v>475</v>
      </c>
      <c r="B314" s="263"/>
      <c r="C314" s="56" t="s">
        <v>106</v>
      </c>
      <c r="D314" s="111" t="s">
        <v>421</v>
      </c>
      <c r="E314" s="111" t="s">
        <v>78</v>
      </c>
      <c r="F314" s="183" t="s">
        <v>471</v>
      </c>
      <c r="G314" s="151">
        <v>265683.5</v>
      </c>
      <c r="H314" s="14">
        <f>SUM(H315)</f>
        <v>1236.7</v>
      </c>
      <c r="I314" s="14">
        <f t="shared" si="5"/>
        <v>0.4036755463100752</v>
      </c>
      <c r="J314">
        <f>SUM('ведомствен.2014'!G602)</f>
        <v>265683.5</v>
      </c>
    </row>
    <row r="315" spans="1:10" s="25" customFormat="1" ht="28.5">
      <c r="A315" s="285" t="s">
        <v>46</v>
      </c>
      <c r="B315" s="263"/>
      <c r="C315" s="56" t="s">
        <v>106</v>
      </c>
      <c r="D315" s="111" t="s">
        <v>421</v>
      </c>
      <c r="E315" s="111" t="s">
        <v>324</v>
      </c>
      <c r="F315" s="183"/>
      <c r="G315" s="151">
        <f>SUM(G316+G317+G318+G321+G319)</f>
        <v>415835.4</v>
      </c>
      <c r="H315" s="14">
        <v>1236.7</v>
      </c>
      <c r="I315" s="14">
        <f t="shared" si="5"/>
        <v>30.31350344388068</v>
      </c>
      <c r="J315" s="39"/>
    </row>
    <row r="316" spans="1:10" s="25" customFormat="1" ht="42.75">
      <c r="A316" s="285" t="s">
        <v>453</v>
      </c>
      <c r="B316" s="263"/>
      <c r="C316" s="56" t="s">
        <v>106</v>
      </c>
      <c r="D316" s="111" t="s">
        <v>421</v>
      </c>
      <c r="E316" s="111" t="s">
        <v>324</v>
      </c>
      <c r="F316" s="183" t="s">
        <v>454</v>
      </c>
      <c r="G316" s="151">
        <v>36545</v>
      </c>
      <c r="H316" s="14">
        <f>SUM(H317)</f>
        <v>0</v>
      </c>
      <c r="I316" s="14">
        <f t="shared" si="5"/>
        <v>0</v>
      </c>
      <c r="J316">
        <f>SUM('ведомствен.2014'!G604)</f>
        <v>36545</v>
      </c>
    </row>
    <row r="317" spans="1:10" s="25" customFormat="1" ht="15">
      <c r="A317" s="285" t="s">
        <v>458</v>
      </c>
      <c r="B317" s="263"/>
      <c r="C317" s="56" t="s">
        <v>106</v>
      </c>
      <c r="D317" s="111" t="s">
        <v>421</v>
      </c>
      <c r="E317" s="111" t="s">
        <v>324</v>
      </c>
      <c r="F317" s="183" t="s">
        <v>109</v>
      </c>
      <c r="G317" s="151">
        <v>48698</v>
      </c>
      <c r="H317" s="14"/>
      <c r="I317" s="14">
        <f t="shared" si="5"/>
        <v>0</v>
      </c>
      <c r="J317">
        <f>SUM('ведомствен.2014'!G605)</f>
        <v>48698</v>
      </c>
    </row>
    <row r="318" spans="1:15" s="25" customFormat="1" ht="15">
      <c r="A318" s="285" t="s">
        <v>459</v>
      </c>
      <c r="B318" s="267"/>
      <c r="C318" s="56" t="s">
        <v>106</v>
      </c>
      <c r="D318" s="111" t="s">
        <v>421</v>
      </c>
      <c r="E318" s="111" t="s">
        <v>324</v>
      </c>
      <c r="F318" s="186">
        <v>800</v>
      </c>
      <c r="G318" s="151">
        <v>15547.9</v>
      </c>
      <c r="H318" s="14">
        <f>SUM(H321)</f>
        <v>9549.8</v>
      </c>
      <c r="I318" s="14" t="e">
        <f t="shared" si="5"/>
        <v>#DIV/0!</v>
      </c>
      <c r="J318">
        <f>SUM('ведомствен.2014'!G606)</f>
        <v>15547.9</v>
      </c>
      <c r="O318" s="52">
        <f>SUM(G326+G341)</f>
        <v>52860.4</v>
      </c>
    </row>
    <row r="319" spans="1:15" s="25" customFormat="1" ht="57">
      <c r="A319" s="294" t="s">
        <v>619</v>
      </c>
      <c r="B319" s="270"/>
      <c r="C319" s="220" t="s">
        <v>106</v>
      </c>
      <c r="D319" s="196" t="s">
        <v>421</v>
      </c>
      <c r="E319" s="196" t="s">
        <v>620</v>
      </c>
      <c r="F319" s="221"/>
      <c r="G319" s="204">
        <f>SUM(G320)</f>
        <v>4604.9</v>
      </c>
      <c r="H319" s="14"/>
      <c r="I319" s="14"/>
      <c r="J319"/>
      <c r="O319" s="52"/>
    </row>
    <row r="320" spans="1:15" s="25" customFormat="1" ht="15">
      <c r="A320" s="285" t="s">
        <v>458</v>
      </c>
      <c r="B320" s="268"/>
      <c r="C320" s="220" t="s">
        <v>106</v>
      </c>
      <c r="D320" s="196" t="s">
        <v>421</v>
      </c>
      <c r="E320" s="196" t="s">
        <v>620</v>
      </c>
      <c r="F320" s="186">
        <v>200</v>
      </c>
      <c r="G320" s="151">
        <v>4604.9</v>
      </c>
      <c r="H320" s="14"/>
      <c r="I320" s="14"/>
      <c r="J320">
        <f>SUM('ведомствен.2014'!G608)</f>
        <v>4604.9</v>
      </c>
      <c r="O320" s="52"/>
    </row>
    <row r="321" spans="1:9" s="25" customFormat="1" ht="85.5">
      <c r="A321" s="296" t="s">
        <v>568</v>
      </c>
      <c r="B321" s="263"/>
      <c r="C321" s="56" t="s">
        <v>106</v>
      </c>
      <c r="D321" s="111" t="s">
        <v>421</v>
      </c>
      <c r="E321" s="111" t="s">
        <v>297</v>
      </c>
      <c r="F321" s="183"/>
      <c r="G321" s="151">
        <f>SUM(G322+G323)</f>
        <v>310439.60000000003</v>
      </c>
      <c r="H321" s="14">
        <f>SUM(H322)</f>
        <v>9549.8</v>
      </c>
      <c r="I321" s="14" t="e">
        <f>SUM(H321/G327*100)</f>
        <v>#DIV/0!</v>
      </c>
    </row>
    <row r="322" spans="1:10" ht="42.75">
      <c r="A322" s="285" t="s">
        <v>453</v>
      </c>
      <c r="B322" s="263"/>
      <c r="C322" s="56" t="s">
        <v>106</v>
      </c>
      <c r="D322" s="111" t="s">
        <v>421</v>
      </c>
      <c r="E322" s="111" t="s">
        <v>297</v>
      </c>
      <c r="F322" s="183" t="s">
        <v>454</v>
      </c>
      <c r="G322" s="151">
        <v>306359.9</v>
      </c>
      <c r="H322" s="14">
        <v>9549.8</v>
      </c>
      <c r="I322" s="14">
        <f>SUM(H322/G328*100)</f>
        <v>5.838852846209954</v>
      </c>
      <c r="J322">
        <f>SUM('ведомствен.2014'!G610)</f>
        <v>306359.9</v>
      </c>
    </row>
    <row r="323" spans="1:10" ht="15">
      <c r="A323" s="285" t="s">
        <v>458</v>
      </c>
      <c r="B323" s="263"/>
      <c r="C323" s="56" t="s">
        <v>106</v>
      </c>
      <c r="D323" s="111" t="s">
        <v>421</v>
      </c>
      <c r="E323" s="111" t="s">
        <v>297</v>
      </c>
      <c r="F323" s="183" t="s">
        <v>109</v>
      </c>
      <c r="G323" s="151">
        <v>4079.7</v>
      </c>
      <c r="H323" s="14">
        <v>9549.8</v>
      </c>
      <c r="I323" s="14">
        <f>SUM(H323/G329*100)</f>
        <v>5.838852846209954</v>
      </c>
      <c r="J323">
        <f>SUM('ведомствен.2014'!G611)</f>
        <v>4079.7</v>
      </c>
    </row>
    <row r="324" spans="1:10" ht="15">
      <c r="A324" s="285" t="s">
        <v>583</v>
      </c>
      <c r="B324" s="264"/>
      <c r="C324" s="56" t="s">
        <v>106</v>
      </c>
      <c r="D324" s="111" t="s">
        <v>421</v>
      </c>
      <c r="E324" s="111" t="s">
        <v>299</v>
      </c>
      <c r="F324" s="183"/>
      <c r="G324" s="151">
        <f>SUM(G325)</f>
        <v>170577.7</v>
      </c>
      <c r="H324" s="14">
        <v>56722</v>
      </c>
      <c r="I324" s="14">
        <f>SUM(H324/G340*100)</f>
        <v>107.30527956655645</v>
      </c>
      <c r="J324"/>
    </row>
    <row r="325" spans="1:10" ht="28.5">
      <c r="A325" s="285" t="s">
        <v>564</v>
      </c>
      <c r="B325" s="263"/>
      <c r="C325" s="56" t="s">
        <v>106</v>
      </c>
      <c r="D325" s="111" t="s">
        <v>421</v>
      </c>
      <c r="E325" s="111" t="s">
        <v>67</v>
      </c>
      <c r="F325" s="183"/>
      <c r="G325" s="151">
        <f>SUM(G328+G330)</f>
        <v>170577.7</v>
      </c>
      <c r="H325" s="14" t="e">
        <f>SUM(#REF!)</f>
        <v>#REF!</v>
      </c>
      <c r="I325" s="14" t="e">
        <f>SUM(H325/G341*100)</f>
        <v>#REF!</v>
      </c>
      <c r="J325"/>
    </row>
    <row r="326" spans="1:9" s="16" customFormat="1" ht="57" hidden="1">
      <c r="A326" s="285" t="s">
        <v>197</v>
      </c>
      <c r="B326" s="263"/>
      <c r="C326" s="56" t="s">
        <v>106</v>
      </c>
      <c r="D326" s="111" t="s">
        <v>421</v>
      </c>
      <c r="E326" s="111" t="s">
        <v>199</v>
      </c>
      <c r="F326" s="183"/>
      <c r="G326" s="151">
        <f>SUM(G327)</f>
        <v>0</v>
      </c>
      <c r="H326" s="14"/>
      <c r="I326" s="14"/>
    </row>
    <row r="327" spans="1:9" s="16" customFormat="1" ht="28.5" hidden="1">
      <c r="A327" s="285" t="s">
        <v>146</v>
      </c>
      <c r="B327" s="263"/>
      <c r="C327" s="56" t="s">
        <v>106</v>
      </c>
      <c r="D327" s="111" t="s">
        <v>421</v>
      </c>
      <c r="E327" s="111" t="s">
        <v>199</v>
      </c>
      <c r="F327" s="183" t="s">
        <v>72</v>
      </c>
      <c r="G327" s="151"/>
      <c r="H327" s="14"/>
      <c r="I327" s="14"/>
    </row>
    <row r="328" spans="1:9" s="16" customFormat="1" ht="28.5">
      <c r="A328" s="285" t="s">
        <v>83</v>
      </c>
      <c r="B328" s="263"/>
      <c r="C328" s="56" t="s">
        <v>106</v>
      </c>
      <c r="D328" s="111" t="s">
        <v>421</v>
      </c>
      <c r="E328" s="111" t="s">
        <v>68</v>
      </c>
      <c r="F328" s="183"/>
      <c r="G328" s="151">
        <f>SUM(G329)</f>
        <v>163556.1</v>
      </c>
      <c r="H328" s="14"/>
      <c r="I328" s="14"/>
    </row>
    <row r="329" spans="1:10" s="16" customFormat="1" ht="28.5">
      <c r="A329" s="285" t="s">
        <v>475</v>
      </c>
      <c r="B329" s="263"/>
      <c r="C329" s="56" t="s">
        <v>106</v>
      </c>
      <c r="D329" s="111" t="s">
        <v>421</v>
      </c>
      <c r="E329" s="111" t="s">
        <v>68</v>
      </c>
      <c r="F329" s="183" t="s">
        <v>471</v>
      </c>
      <c r="G329" s="151">
        <v>163556.1</v>
      </c>
      <c r="H329" s="14"/>
      <c r="I329" s="14"/>
      <c r="J329" s="16">
        <f>SUM('ведомствен.2014'!G679+'ведомствен.2014'!G617+'ведомствен.2014'!G528)</f>
        <v>163556.09999999998</v>
      </c>
    </row>
    <row r="330" spans="1:9" s="16" customFormat="1" ht="28.5">
      <c r="A330" s="285" t="s">
        <v>146</v>
      </c>
      <c r="B330" s="269"/>
      <c r="C330" s="53" t="s">
        <v>106</v>
      </c>
      <c r="D330" s="116" t="s">
        <v>421</v>
      </c>
      <c r="E330" s="116" t="s">
        <v>140</v>
      </c>
      <c r="F330" s="131"/>
      <c r="G330" s="146">
        <f>SUM(G331)</f>
        <v>7021.6</v>
      </c>
      <c r="H330" s="14"/>
      <c r="I330" s="14"/>
    </row>
    <row r="331" spans="1:9" s="16" customFormat="1" ht="28.5">
      <c r="A331" s="285" t="s">
        <v>143</v>
      </c>
      <c r="B331" s="269"/>
      <c r="C331" s="53" t="s">
        <v>106</v>
      </c>
      <c r="D331" s="116" t="s">
        <v>421</v>
      </c>
      <c r="E331" s="116" t="s">
        <v>206</v>
      </c>
      <c r="F331" s="131"/>
      <c r="G331" s="146">
        <f>SUM(G332)</f>
        <v>7021.6</v>
      </c>
      <c r="H331" s="14"/>
      <c r="I331" s="14"/>
    </row>
    <row r="332" spans="1:10" s="16" customFormat="1" ht="27.75" customHeight="1">
      <c r="A332" s="285" t="s">
        <v>475</v>
      </c>
      <c r="B332" s="269"/>
      <c r="C332" s="53" t="s">
        <v>106</v>
      </c>
      <c r="D332" s="116" t="s">
        <v>421</v>
      </c>
      <c r="E332" s="116" t="s">
        <v>206</v>
      </c>
      <c r="F332" s="131" t="s">
        <v>471</v>
      </c>
      <c r="G332" s="146">
        <v>7021.6</v>
      </c>
      <c r="H332" s="14"/>
      <c r="I332" s="14"/>
      <c r="J332" s="16">
        <f>SUM('ведомствен.2014'!G684)+'ведомствен.2014'!G620</f>
        <v>7021.6</v>
      </c>
    </row>
    <row r="333" spans="1:9" s="16" customFormat="1" ht="28.5" hidden="1">
      <c r="A333" s="285" t="s">
        <v>143</v>
      </c>
      <c r="B333" s="269"/>
      <c r="C333" s="53" t="s">
        <v>106</v>
      </c>
      <c r="D333" s="116" t="s">
        <v>421</v>
      </c>
      <c r="E333" s="116" t="s">
        <v>206</v>
      </c>
      <c r="F333" s="131"/>
      <c r="G333" s="146"/>
      <c r="H333" s="14"/>
      <c r="I333" s="14"/>
    </row>
    <row r="334" spans="1:10" ht="15">
      <c r="A334" s="279" t="s">
        <v>301</v>
      </c>
      <c r="B334" s="244"/>
      <c r="C334" s="53" t="s">
        <v>106</v>
      </c>
      <c r="D334" s="116" t="s">
        <v>421</v>
      </c>
      <c r="E334" s="116" t="s">
        <v>302</v>
      </c>
      <c r="F334" s="129"/>
      <c r="G334" s="146">
        <f>SUM(G335)</f>
        <v>64535.2</v>
      </c>
      <c r="H334" s="14">
        <f>SUM(H335)</f>
        <v>0</v>
      </c>
      <c r="I334" s="14">
        <f>SUM(H334/G346*100)</f>
        <v>0</v>
      </c>
      <c r="J334"/>
    </row>
    <row r="335" spans="1:9" s="16" customFormat="1" ht="71.25">
      <c r="A335" s="279" t="s">
        <v>426</v>
      </c>
      <c r="B335" s="244"/>
      <c r="C335" s="53" t="s">
        <v>106</v>
      </c>
      <c r="D335" s="116" t="s">
        <v>421</v>
      </c>
      <c r="E335" s="116" t="s">
        <v>307</v>
      </c>
      <c r="F335" s="129"/>
      <c r="G335" s="146">
        <f>SUM(G336:G339)</f>
        <v>64535.2</v>
      </c>
      <c r="H335" s="14"/>
      <c r="I335" s="14"/>
    </row>
    <row r="336" spans="1:10" s="16" customFormat="1" ht="42.75">
      <c r="A336" s="279" t="s">
        <v>453</v>
      </c>
      <c r="B336" s="244"/>
      <c r="C336" s="53" t="s">
        <v>106</v>
      </c>
      <c r="D336" s="116" t="s">
        <v>421</v>
      </c>
      <c r="E336" s="116" t="s">
        <v>307</v>
      </c>
      <c r="F336" s="129" t="s">
        <v>454</v>
      </c>
      <c r="G336" s="146">
        <v>43472.3</v>
      </c>
      <c r="H336" s="14"/>
      <c r="I336" s="14"/>
      <c r="J336" s="16">
        <f>SUM('ведомствен.2014'!G380)</f>
        <v>43472.3</v>
      </c>
    </row>
    <row r="337" spans="1:10" s="16" customFormat="1" ht="15">
      <c r="A337" s="279" t="s">
        <v>458</v>
      </c>
      <c r="B337" s="244"/>
      <c r="C337" s="53" t="s">
        <v>106</v>
      </c>
      <c r="D337" s="116" t="s">
        <v>421</v>
      </c>
      <c r="E337" s="116" t="s">
        <v>307</v>
      </c>
      <c r="F337" s="129" t="s">
        <v>109</v>
      </c>
      <c r="G337" s="146">
        <v>20358.7</v>
      </c>
      <c r="H337" s="14"/>
      <c r="I337" s="14"/>
      <c r="J337" s="16">
        <f>SUM('ведомствен.2014'!G381)</f>
        <v>20358.7</v>
      </c>
    </row>
    <row r="338" spans="1:10" s="16" customFormat="1" ht="15">
      <c r="A338" s="279" t="s">
        <v>463</v>
      </c>
      <c r="B338" s="260"/>
      <c r="C338" s="53" t="s">
        <v>106</v>
      </c>
      <c r="D338" s="116" t="s">
        <v>421</v>
      </c>
      <c r="E338" s="116" t="s">
        <v>307</v>
      </c>
      <c r="F338" s="129" t="s">
        <v>464</v>
      </c>
      <c r="G338" s="146">
        <v>27.2</v>
      </c>
      <c r="H338" s="14"/>
      <c r="I338" s="14"/>
      <c r="J338" s="16">
        <f>SUM('ведомствен.2014'!G382)</f>
        <v>27.2</v>
      </c>
    </row>
    <row r="339" spans="1:10" s="16" customFormat="1" ht="15">
      <c r="A339" s="279" t="s">
        <v>459</v>
      </c>
      <c r="B339" s="244"/>
      <c r="C339" s="53" t="s">
        <v>106</v>
      </c>
      <c r="D339" s="116" t="s">
        <v>421</v>
      </c>
      <c r="E339" s="116" t="s">
        <v>307</v>
      </c>
      <c r="F339" s="129" t="s">
        <v>163</v>
      </c>
      <c r="G339" s="146">
        <v>677</v>
      </c>
      <c r="H339" s="14"/>
      <c r="I339" s="14"/>
      <c r="J339" s="16">
        <f>SUM('ведомствен.2014'!G383)</f>
        <v>677</v>
      </c>
    </row>
    <row r="340" spans="1:9" s="16" customFormat="1" ht="15">
      <c r="A340" s="285" t="s">
        <v>308</v>
      </c>
      <c r="B340" s="264"/>
      <c r="C340" s="56" t="s">
        <v>106</v>
      </c>
      <c r="D340" s="111" t="s">
        <v>421</v>
      </c>
      <c r="E340" s="111" t="s">
        <v>309</v>
      </c>
      <c r="F340" s="183"/>
      <c r="G340" s="151">
        <f>SUM(G341)</f>
        <v>52860.4</v>
      </c>
      <c r="H340" s="14"/>
      <c r="I340" s="14"/>
    </row>
    <row r="341" spans="1:9" s="16" customFormat="1" ht="28.5">
      <c r="A341" s="285" t="s">
        <v>46</v>
      </c>
      <c r="B341" s="263"/>
      <c r="C341" s="56" t="s">
        <v>106</v>
      </c>
      <c r="D341" s="111" t="s">
        <v>421</v>
      </c>
      <c r="E341" s="111" t="s">
        <v>310</v>
      </c>
      <c r="F341" s="183"/>
      <c r="G341" s="151">
        <f>SUM(G342+G343+G344+G345)</f>
        <v>52860.4</v>
      </c>
      <c r="H341" s="14"/>
      <c r="I341" s="14"/>
    </row>
    <row r="342" spans="1:10" s="16" customFormat="1" ht="42.75">
      <c r="A342" s="285" t="s">
        <v>453</v>
      </c>
      <c r="B342" s="263"/>
      <c r="C342" s="56" t="s">
        <v>106</v>
      </c>
      <c r="D342" s="111" t="s">
        <v>421</v>
      </c>
      <c r="E342" s="111" t="s">
        <v>250</v>
      </c>
      <c r="F342" s="183" t="s">
        <v>454</v>
      </c>
      <c r="G342" s="151">
        <v>3013.1</v>
      </c>
      <c r="H342" s="14"/>
      <c r="I342" s="14"/>
      <c r="J342" s="16">
        <f>SUM('ведомствен.2014'!G623)</f>
        <v>3013.1</v>
      </c>
    </row>
    <row r="343" spans="1:10" s="16" customFormat="1" ht="15">
      <c r="A343" s="285" t="s">
        <v>458</v>
      </c>
      <c r="B343" s="263"/>
      <c r="C343" s="56" t="s">
        <v>106</v>
      </c>
      <c r="D343" s="111" t="s">
        <v>421</v>
      </c>
      <c r="E343" s="111" t="s">
        <v>250</v>
      </c>
      <c r="F343" s="183" t="s">
        <v>109</v>
      </c>
      <c r="G343" s="151">
        <v>3101.9</v>
      </c>
      <c r="H343" s="14"/>
      <c r="I343" s="14" t="e">
        <f>SUM(H343/#REF!*100)</f>
        <v>#REF!</v>
      </c>
      <c r="J343" s="16">
        <f>SUM('ведомствен.2014'!G624)</f>
        <v>3101.9</v>
      </c>
    </row>
    <row r="344" spans="1:10" ht="15">
      <c r="A344" s="285" t="s">
        <v>459</v>
      </c>
      <c r="B344" s="263"/>
      <c r="C344" s="56" t="s">
        <v>106</v>
      </c>
      <c r="D344" s="111" t="s">
        <v>421</v>
      </c>
      <c r="E344" s="111" t="s">
        <v>250</v>
      </c>
      <c r="F344" s="183" t="s">
        <v>163</v>
      </c>
      <c r="G344" s="151">
        <v>1218</v>
      </c>
      <c r="H344" s="14"/>
      <c r="I344" s="14"/>
      <c r="J344" s="16">
        <f>SUM('ведомствен.2014'!G625)</f>
        <v>1218</v>
      </c>
    </row>
    <row r="345" spans="1:10" ht="85.5">
      <c r="A345" s="285" t="s">
        <v>570</v>
      </c>
      <c r="B345" s="263"/>
      <c r="C345" s="56" t="s">
        <v>106</v>
      </c>
      <c r="D345" s="111" t="s">
        <v>421</v>
      </c>
      <c r="E345" s="111" t="s">
        <v>311</v>
      </c>
      <c r="F345" s="183"/>
      <c r="G345" s="151">
        <f>SUM(G346+G347)</f>
        <v>45527.4</v>
      </c>
      <c r="H345" s="14"/>
      <c r="I345" s="14"/>
      <c r="J345" s="16"/>
    </row>
    <row r="346" spans="1:10" s="25" customFormat="1" ht="42.75">
      <c r="A346" s="285" t="s">
        <v>453</v>
      </c>
      <c r="B346" s="263"/>
      <c r="C346" s="56" t="s">
        <v>106</v>
      </c>
      <c r="D346" s="111" t="s">
        <v>421</v>
      </c>
      <c r="E346" s="111" t="s">
        <v>311</v>
      </c>
      <c r="F346" s="183" t="s">
        <v>454</v>
      </c>
      <c r="G346" s="151">
        <v>33584</v>
      </c>
      <c r="H346" s="14" t="e">
        <f>SUM(H348+#REF!+#REF!+#REF!)+#REF!+#REF!+#REF!+#REF!+#REF!+#REF!</f>
        <v>#REF!</v>
      </c>
      <c r="I346" s="14" t="e">
        <f>SUM(H346/G348*100)</f>
        <v>#REF!</v>
      </c>
      <c r="J346" s="16">
        <f>SUM('ведомствен.2014'!G627)</f>
        <v>33584</v>
      </c>
    </row>
    <row r="347" spans="1:10" ht="15">
      <c r="A347" s="285" t="s">
        <v>458</v>
      </c>
      <c r="B347" s="263"/>
      <c r="C347" s="56" t="s">
        <v>106</v>
      </c>
      <c r="D347" s="111" t="s">
        <v>421</v>
      </c>
      <c r="E347" s="111" t="s">
        <v>311</v>
      </c>
      <c r="F347" s="183" t="s">
        <v>109</v>
      </c>
      <c r="G347" s="151">
        <v>11943.4</v>
      </c>
      <c r="H347" s="14"/>
      <c r="I347" s="14" t="e">
        <f>SUM(H347/G357*100)</f>
        <v>#DIV/0!</v>
      </c>
      <c r="J347" s="16">
        <f>SUM('ведомствен.2014'!G628)</f>
        <v>11943.4</v>
      </c>
    </row>
    <row r="348" spans="1:9" s="25" customFormat="1" ht="15">
      <c r="A348" s="285" t="s">
        <v>312</v>
      </c>
      <c r="B348" s="264"/>
      <c r="C348" s="56" t="s">
        <v>106</v>
      </c>
      <c r="D348" s="111" t="s">
        <v>421</v>
      </c>
      <c r="E348" s="111" t="s">
        <v>313</v>
      </c>
      <c r="F348" s="183"/>
      <c r="G348" s="151">
        <f>G349</f>
        <v>6181.3</v>
      </c>
      <c r="H348" s="14" t="e">
        <f>SUM(H368)</f>
        <v>#REF!</v>
      </c>
      <c r="I348" s="14" t="e">
        <f>SUM(H348/G358*100)</f>
        <v>#REF!</v>
      </c>
    </row>
    <row r="349" spans="1:9" s="25" customFormat="1" ht="15">
      <c r="A349" s="285" t="s">
        <v>220</v>
      </c>
      <c r="B349" s="264"/>
      <c r="C349" s="56" t="s">
        <v>106</v>
      </c>
      <c r="D349" s="111" t="s">
        <v>421</v>
      </c>
      <c r="E349" s="111" t="s">
        <v>279</v>
      </c>
      <c r="F349" s="183"/>
      <c r="G349" s="151">
        <f>G350</f>
        <v>6181.3</v>
      </c>
      <c r="H349" s="14"/>
      <c r="I349" s="14"/>
    </row>
    <row r="350" spans="1:10" ht="57">
      <c r="A350" s="285" t="s">
        <v>571</v>
      </c>
      <c r="B350" s="264"/>
      <c r="C350" s="56" t="s">
        <v>106</v>
      </c>
      <c r="D350" s="111" t="s">
        <v>421</v>
      </c>
      <c r="E350" s="111" t="s">
        <v>275</v>
      </c>
      <c r="F350" s="183"/>
      <c r="G350" s="151">
        <f>G351</f>
        <v>6181.3</v>
      </c>
      <c r="H350" s="14"/>
      <c r="I350" s="14"/>
      <c r="J350"/>
    </row>
    <row r="351" spans="1:10" ht="28.5">
      <c r="A351" s="285" t="s">
        <v>475</v>
      </c>
      <c r="B351" s="264"/>
      <c r="C351" s="56" t="s">
        <v>106</v>
      </c>
      <c r="D351" s="111" t="s">
        <v>421</v>
      </c>
      <c r="E351" s="111" t="s">
        <v>275</v>
      </c>
      <c r="F351" s="183" t="s">
        <v>471</v>
      </c>
      <c r="G351" s="151">
        <v>6181.3</v>
      </c>
      <c r="H351" s="14"/>
      <c r="I351" s="14"/>
      <c r="J351">
        <f>SUM('ведомствен.2014'!G632)</f>
        <v>6181.3</v>
      </c>
    </row>
    <row r="352" spans="1:10" ht="15">
      <c r="A352" s="285" t="s">
        <v>634</v>
      </c>
      <c r="B352" s="271"/>
      <c r="C352" s="111" t="s">
        <v>106</v>
      </c>
      <c r="D352" s="111" t="s">
        <v>421</v>
      </c>
      <c r="E352" s="111" t="s">
        <v>636</v>
      </c>
      <c r="F352" s="183"/>
      <c r="G352" s="151">
        <f>SUM(G353)</f>
        <v>49.5</v>
      </c>
      <c r="H352" s="14"/>
      <c r="I352" s="14"/>
      <c r="J352"/>
    </row>
    <row r="353" spans="1:10" ht="28.5">
      <c r="A353" s="285" t="s">
        <v>635</v>
      </c>
      <c r="B353" s="271"/>
      <c r="C353" s="111" t="s">
        <v>106</v>
      </c>
      <c r="D353" s="111" t="s">
        <v>421</v>
      </c>
      <c r="E353" s="111" t="s">
        <v>637</v>
      </c>
      <c r="F353" s="183"/>
      <c r="G353" s="151">
        <f>SUM(G354:G355)</f>
        <v>49.5</v>
      </c>
      <c r="H353" s="14"/>
      <c r="I353" s="14"/>
      <c r="J353"/>
    </row>
    <row r="354" spans="1:10" ht="15">
      <c r="A354" s="285" t="s">
        <v>458</v>
      </c>
      <c r="B354" s="271"/>
      <c r="C354" s="111" t="s">
        <v>106</v>
      </c>
      <c r="D354" s="111" t="s">
        <v>421</v>
      </c>
      <c r="E354" s="111" t="s">
        <v>637</v>
      </c>
      <c r="F354" s="183" t="s">
        <v>109</v>
      </c>
      <c r="G354" s="151">
        <v>43.5</v>
      </c>
      <c r="H354" s="14"/>
      <c r="I354" s="14"/>
      <c r="J354">
        <f>SUM('ведомствен.2014'!G635)</f>
        <v>43.5</v>
      </c>
    </row>
    <row r="355" spans="1:10" ht="28.5">
      <c r="A355" s="285" t="s">
        <v>482</v>
      </c>
      <c r="B355" s="271"/>
      <c r="C355" s="111" t="s">
        <v>106</v>
      </c>
      <c r="D355" s="111" t="s">
        <v>421</v>
      </c>
      <c r="E355" s="111" t="s">
        <v>637</v>
      </c>
      <c r="F355" s="183" t="s">
        <v>471</v>
      </c>
      <c r="G355" s="151">
        <v>6</v>
      </c>
      <c r="H355" s="14"/>
      <c r="I355" s="14"/>
      <c r="J355">
        <f>SUM('ведомствен.2014'!G636)</f>
        <v>6</v>
      </c>
    </row>
    <row r="356" spans="1:12" s="25" customFormat="1" ht="15">
      <c r="A356" s="285" t="s">
        <v>107</v>
      </c>
      <c r="B356" s="264"/>
      <c r="C356" s="56" t="s">
        <v>106</v>
      </c>
      <c r="D356" s="111" t="s">
        <v>106</v>
      </c>
      <c r="E356" s="111"/>
      <c r="F356" s="183"/>
      <c r="G356" s="151">
        <f>SUM(G361+G368+G357+G374)</f>
        <v>27433.800000000003</v>
      </c>
      <c r="H356" s="14"/>
      <c r="I356" s="14"/>
      <c r="K356" s="25">
        <f>SUM(J365:J376)</f>
        <v>27433.800000000003</v>
      </c>
      <c r="L356" s="25">
        <f>SUM('ведомствен.2014'!G637)</f>
        <v>27433.800000000003</v>
      </c>
    </row>
    <row r="357" spans="1:9" s="25" customFormat="1" ht="15" hidden="1">
      <c r="A357" s="285" t="s">
        <v>368</v>
      </c>
      <c r="B357" s="264"/>
      <c r="C357" s="56" t="s">
        <v>106</v>
      </c>
      <c r="D357" s="111" t="s">
        <v>106</v>
      </c>
      <c r="E357" s="111" t="s">
        <v>370</v>
      </c>
      <c r="F357" s="183"/>
      <c r="G357" s="151">
        <f>SUM(G358)</f>
        <v>0</v>
      </c>
      <c r="H357" s="14"/>
      <c r="I357" s="14"/>
    </row>
    <row r="358" spans="1:9" s="25" customFormat="1" ht="15" hidden="1">
      <c r="A358" s="285" t="s">
        <v>348</v>
      </c>
      <c r="B358" s="264"/>
      <c r="C358" s="56" t="s">
        <v>106</v>
      </c>
      <c r="D358" s="111" t="s">
        <v>106</v>
      </c>
      <c r="E358" s="111" t="s">
        <v>349</v>
      </c>
      <c r="F358" s="183"/>
      <c r="G358" s="151">
        <f>SUM(G359+G360)</f>
        <v>0</v>
      </c>
      <c r="H358" s="14"/>
      <c r="I358" s="14"/>
    </row>
    <row r="359" spans="1:9" s="16" customFormat="1" ht="15" hidden="1">
      <c r="A359" s="285" t="s">
        <v>232</v>
      </c>
      <c r="B359" s="264"/>
      <c r="C359" s="56" t="s">
        <v>106</v>
      </c>
      <c r="D359" s="111" t="s">
        <v>106</v>
      </c>
      <c r="E359" s="111" t="s">
        <v>349</v>
      </c>
      <c r="F359" s="183" t="s">
        <v>233</v>
      </c>
      <c r="G359" s="151"/>
      <c r="H359" s="14"/>
      <c r="I359" s="14"/>
    </row>
    <row r="360" spans="1:9" s="16" customFormat="1" ht="15" hidden="1">
      <c r="A360" s="285" t="s">
        <v>211</v>
      </c>
      <c r="B360" s="264"/>
      <c r="C360" s="56" t="s">
        <v>106</v>
      </c>
      <c r="D360" s="111" t="s">
        <v>106</v>
      </c>
      <c r="E360" s="111" t="s">
        <v>349</v>
      </c>
      <c r="F360" s="183" t="s">
        <v>212</v>
      </c>
      <c r="G360" s="151"/>
      <c r="H360" s="14"/>
      <c r="I360" s="14"/>
    </row>
    <row r="361" spans="1:9" s="16" customFormat="1" ht="15">
      <c r="A361" s="285" t="s">
        <v>213</v>
      </c>
      <c r="B361" s="264"/>
      <c r="C361" s="56" t="s">
        <v>106</v>
      </c>
      <c r="D361" s="111" t="s">
        <v>106</v>
      </c>
      <c r="E361" s="111" t="s">
        <v>214</v>
      </c>
      <c r="F361" s="183"/>
      <c r="G361" s="151">
        <f>SUM(G364+G362)</f>
        <v>1873.8999999999999</v>
      </c>
      <c r="H361" s="14"/>
      <c r="I361" s="14"/>
    </row>
    <row r="362" spans="1:9" s="16" customFormat="1" ht="28.5" hidden="1">
      <c r="A362" s="285" t="s">
        <v>243</v>
      </c>
      <c r="B362" s="264"/>
      <c r="C362" s="56" t="s">
        <v>106</v>
      </c>
      <c r="D362" s="111" t="s">
        <v>106</v>
      </c>
      <c r="E362" s="111" t="s">
        <v>200</v>
      </c>
      <c r="F362" s="183"/>
      <c r="G362" s="151"/>
      <c r="H362" s="14"/>
      <c r="I362" s="14"/>
    </row>
    <row r="363" spans="1:10" ht="15" hidden="1">
      <c r="A363" s="285" t="s">
        <v>47</v>
      </c>
      <c r="B363" s="264"/>
      <c r="C363" s="56" t="s">
        <v>106</v>
      </c>
      <c r="D363" s="111" t="s">
        <v>106</v>
      </c>
      <c r="E363" s="111" t="s">
        <v>200</v>
      </c>
      <c r="F363" s="183"/>
      <c r="G363" s="151"/>
      <c r="H363" s="14"/>
      <c r="I363" s="14"/>
      <c r="J363"/>
    </row>
    <row r="364" spans="1:10" ht="28.5">
      <c r="A364" s="285" t="s">
        <v>46</v>
      </c>
      <c r="B364" s="264"/>
      <c r="C364" s="56" t="s">
        <v>106</v>
      </c>
      <c r="D364" s="111" t="s">
        <v>106</v>
      </c>
      <c r="E364" s="111" t="s">
        <v>217</v>
      </c>
      <c r="F364" s="183"/>
      <c r="G364" s="151">
        <f>SUM(G365+G366+G367)</f>
        <v>1873.8999999999999</v>
      </c>
      <c r="H364" s="14"/>
      <c r="I364" s="14"/>
      <c r="J364"/>
    </row>
    <row r="365" spans="1:10" s="25" customFormat="1" ht="42.75">
      <c r="A365" s="285" t="s">
        <v>453</v>
      </c>
      <c r="B365" s="264"/>
      <c r="C365" s="56" t="s">
        <v>106</v>
      </c>
      <c r="D365" s="111" t="s">
        <v>106</v>
      </c>
      <c r="E365" s="111" t="s">
        <v>217</v>
      </c>
      <c r="F365" s="183" t="s">
        <v>454</v>
      </c>
      <c r="G365" s="151">
        <v>1714.3</v>
      </c>
      <c r="H365" s="14"/>
      <c r="I365" s="14"/>
      <c r="J365">
        <f>SUM('ведомствен.2014'!G646)</f>
        <v>1714.3</v>
      </c>
    </row>
    <row r="366" spans="1:10" ht="15">
      <c r="A366" s="285" t="s">
        <v>458</v>
      </c>
      <c r="B366" s="264"/>
      <c r="C366" s="56" t="s">
        <v>106</v>
      </c>
      <c r="D366" s="111" t="s">
        <v>106</v>
      </c>
      <c r="E366" s="111" t="s">
        <v>217</v>
      </c>
      <c r="F366" s="183" t="s">
        <v>109</v>
      </c>
      <c r="G366" s="151">
        <v>147.8</v>
      </c>
      <c r="H366" s="14"/>
      <c r="I366" s="14"/>
      <c r="J366" s="57">
        <f>SUM('ведомствен.2014'!G647)</f>
        <v>147.8</v>
      </c>
    </row>
    <row r="367" spans="1:10" s="25" customFormat="1" ht="15">
      <c r="A367" s="285" t="s">
        <v>459</v>
      </c>
      <c r="B367" s="264"/>
      <c r="C367" s="56" t="s">
        <v>106</v>
      </c>
      <c r="D367" s="111" t="s">
        <v>106</v>
      </c>
      <c r="E367" s="111" t="s">
        <v>217</v>
      </c>
      <c r="F367" s="183" t="s">
        <v>163</v>
      </c>
      <c r="G367" s="151">
        <v>11.8</v>
      </c>
      <c r="H367" s="14"/>
      <c r="I367" s="14"/>
      <c r="J367" s="57">
        <f>SUM('ведомствен.2014'!G648)</f>
        <v>11.8</v>
      </c>
    </row>
    <row r="368" spans="1:9" s="25" customFormat="1" ht="15">
      <c r="A368" s="297" t="s">
        <v>218</v>
      </c>
      <c r="B368" s="264"/>
      <c r="C368" s="56" t="s">
        <v>106</v>
      </c>
      <c r="D368" s="111" t="s">
        <v>106</v>
      </c>
      <c r="E368" s="111" t="s">
        <v>108</v>
      </c>
      <c r="F368" s="183"/>
      <c r="G368" s="151">
        <f>SUM(G369)</f>
        <v>24763</v>
      </c>
      <c r="H368" s="14" t="e">
        <f>SUM(H369+H377+H379+H386+#REF!+H372+H375)+#REF!</f>
        <v>#REF!</v>
      </c>
      <c r="I368" s="14" t="e">
        <f>SUM(H368/G375*100)</f>
        <v>#REF!</v>
      </c>
    </row>
    <row r="369" spans="1:9" s="25" customFormat="1" ht="42.75">
      <c r="A369" s="297" t="s">
        <v>79</v>
      </c>
      <c r="B369" s="264"/>
      <c r="C369" s="56" t="s">
        <v>106</v>
      </c>
      <c r="D369" s="111" t="s">
        <v>106</v>
      </c>
      <c r="E369" s="111" t="s">
        <v>80</v>
      </c>
      <c r="F369" s="183"/>
      <c r="G369" s="151">
        <f>SUM(G370)</f>
        <v>24763</v>
      </c>
      <c r="H369" s="14">
        <v>53118.9</v>
      </c>
      <c r="I369" s="14">
        <f>SUM(H369/G376*100)</f>
        <v>6665.69205671979</v>
      </c>
    </row>
    <row r="370" spans="1:9" s="25" customFormat="1" ht="42.75">
      <c r="A370" s="297" t="s">
        <v>81</v>
      </c>
      <c r="B370" s="264"/>
      <c r="C370" s="56" t="s">
        <v>106</v>
      </c>
      <c r="D370" s="111" t="s">
        <v>106</v>
      </c>
      <c r="E370" s="111" t="s">
        <v>82</v>
      </c>
      <c r="F370" s="183"/>
      <c r="G370" s="151">
        <f>SUM(G372:G373)</f>
        <v>24763</v>
      </c>
      <c r="H370" s="14"/>
      <c r="I370" s="14">
        <f>SUM(H370/G377*100)</f>
        <v>0</v>
      </c>
    </row>
    <row r="371" spans="1:9" s="25" customFormat="1" ht="15" hidden="1">
      <c r="A371" s="285" t="s">
        <v>47</v>
      </c>
      <c r="B371" s="264"/>
      <c r="C371" s="56" t="s">
        <v>106</v>
      </c>
      <c r="D371" s="111" t="s">
        <v>106</v>
      </c>
      <c r="E371" s="111" t="s">
        <v>82</v>
      </c>
      <c r="F371" s="183"/>
      <c r="G371" s="151"/>
      <c r="H371" s="14"/>
      <c r="I371" s="14">
        <f>SUM(H371/G378*100)</f>
        <v>0</v>
      </c>
    </row>
    <row r="372" spans="1:10" s="25" customFormat="1" ht="15">
      <c r="A372" s="285" t="s">
        <v>458</v>
      </c>
      <c r="B372" s="264"/>
      <c r="C372" s="56" t="s">
        <v>106</v>
      </c>
      <c r="D372" s="111" t="s">
        <v>106</v>
      </c>
      <c r="E372" s="111" t="s">
        <v>82</v>
      </c>
      <c r="F372" s="183" t="s">
        <v>109</v>
      </c>
      <c r="G372" s="151">
        <v>23213.5</v>
      </c>
      <c r="H372" s="14">
        <f>SUM(H374)</f>
        <v>392.5</v>
      </c>
      <c r="I372" s="14">
        <f>SUM(H372/G379*100)</f>
        <v>1.2954778745581348</v>
      </c>
      <c r="J372" s="57">
        <f>SUM('ведомствен.2014'!G653)</f>
        <v>23213.5</v>
      </c>
    </row>
    <row r="373" spans="1:10" s="25" customFormat="1" ht="28.5">
      <c r="A373" s="285" t="s">
        <v>482</v>
      </c>
      <c r="B373" s="271"/>
      <c r="C373" s="111" t="s">
        <v>106</v>
      </c>
      <c r="D373" s="111" t="s">
        <v>106</v>
      </c>
      <c r="E373" s="111" t="s">
        <v>82</v>
      </c>
      <c r="F373" s="183" t="s">
        <v>471</v>
      </c>
      <c r="G373" s="151">
        <v>1549.5</v>
      </c>
      <c r="H373" s="14"/>
      <c r="I373" s="14"/>
      <c r="J373" s="57">
        <f>SUM('ведомствен.2014'!G654)</f>
        <v>1549.5</v>
      </c>
    </row>
    <row r="374" spans="1:9" s="25" customFormat="1" ht="15">
      <c r="A374" s="285" t="s">
        <v>552</v>
      </c>
      <c r="B374" s="266"/>
      <c r="C374" s="56" t="s">
        <v>106</v>
      </c>
      <c r="D374" s="111" t="s">
        <v>106</v>
      </c>
      <c r="E374" s="111" t="s">
        <v>118</v>
      </c>
      <c r="F374" s="183"/>
      <c r="G374" s="151">
        <f>SUM(G375)</f>
        <v>796.9</v>
      </c>
      <c r="H374" s="14">
        <v>392.5</v>
      </c>
      <c r="I374" s="14">
        <f>SUM(H374/G380*100)</f>
        <v>1.4659197012138188</v>
      </c>
    </row>
    <row r="375" spans="1:9" s="25" customFormat="1" ht="28.5">
      <c r="A375" s="298" t="s">
        <v>572</v>
      </c>
      <c r="B375" s="266"/>
      <c r="C375" s="56" t="s">
        <v>106</v>
      </c>
      <c r="D375" s="111" t="s">
        <v>106</v>
      </c>
      <c r="E375" s="111" t="s">
        <v>86</v>
      </c>
      <c r="F375" s="183"/>
      <c r="G375" s="152">
        <f>SUM(G376)</f>
        <v>796.9</v>
      </c>
      <c r="H375" s="14">
        <f>SUM(H376)</f>
        <v>0</v>
      </c>
      <c r="I375" s="14">
        <f>SUM(H375/G381*100)</f>
        <v>0</v>
      </c>
    </row>
    <row r="376" spans="1:10" s="25" customFormat="1" ht="15">
      <c r="A376" s="285" t="s">
        <v>458</v>
      </c>
      <c r="B376" s="266"/>
      <c r="C376" s="56" t="s">
        <v>106</v>
      </c>
      <c r="D376" s="111" t="s">
        <v>106</v>
      </c>
      <c r="E376" s="111" t="s">
        <v>86</v>
      </c>
      <c r="F376" s="183" t="s">
        <v>109</v>
      </c>
      <c r="G376" s="152">
        <v>796.9</v>
      </c>
      <c r="H376" s="14"/>
      <c r="I376" s="14">
        <f>SUM(H376/G382*100)</f>
        <v>0</v>
      </c>
      <c r="J376" s="57">
        <f>SUM('ведомствен.2014'!G657)</f>
        <v>796.9</v>
      </c>
    </row>
    <row r="377" spans="1:11" s="25" customFormat="1" ht="15">
      <c r="A377" s="285" t="s">
        <v>219</v>
      </c>
      <c r="B377" s="264"/>
      <c r="C377" s="56" t="s">
        <v>106</v>
      </c>
      <c r="D377" s="111" t="s">
        <v>285</v>
      </c>
      <c r="E377" s="111"/>
      <c r="F377" s="183"/>
      <c r="G377" s="151">
        <f>G378+G386+G383</f>
        <v>70404.7</v>
      </c>
      <c r="H377" s="14">
        <f>SUM(H378)</f>
        <v>5014</v>
      </c>
      <c r="I377" s="14">
        <f>SUM(H377/G386*100)</f>
        <v>12.503740648379052</v>
      </c>
      <c r="K377" s="57">
        <f>SUM(J380:J388)</f>
        <v>70404.7</v>
      </c>
    </row>
    <row r="378" spans="1:9" s="25" customFormat="1" ht="57">
      <c r="A378" s="297" t="s">
        <v>276</v>
      </c>
      <c r="B378" s="264"/>
      <c r="C378" s="56" t="s">
        <v>106</v>
      </c>
      <c r="D378" s="111" t="s">
        <v>285</v>
      </c>
      <c r="E378" s="111" t="s">
        <v>277</v>
      </c>
      <c r="F378" s="183"/>
      <c r="G378" s="151">
        <f>SUM(G379)</f>
        <v>30297.7</v>
      </c>
      <c r="H378" s="14">
        <v>5014</v>
      </c>
      <c r="I378" s="14">
        <f>SUM(H378/G387*100)</f>
        <v>12.503740648379052</v>
      </c>
    </row>
    <row r="379" spans="1:10" ht="28.5">
      <c r="A379" s="285" t="s">
        <v>46</v>
      </c>
      <c r="B379" s="264"/>
      <c r="C379" s="56" t="s">
        <v>106</v>
      </c>
      <c r="D379" s="111" t="s">
        <v>285</v>
      </c>
      <c r="E379" s="111" t="s">
        <v>278</v>
      </c>
      <c r="F379" s="183"/>
      <c r="G379" s="151">
        <f>SUM(G380+G381+G382)</f>
        <v>30297.7</v>
      </c>
      <c r="H379" s="14">
        <f>SUM(H380)</f>
        <v>0</v>
      </c>
      <c r="I379" s="14">
        <f>SUM(H379/G388*100)</f>
        <v>0</v>
      </c>
      <c r="J379"/>
    </row>
    <row r="380" spans="1:10" s="25" customFormat="1" ht="42.75">
      <c r="A380" s="285" t="s">
        <v>453</v>
      </c>
      <c r="B380" s="264"/>
      <c r="C380" s="56" t="s">
        <v>106</v>
      </c>
      <c r="D380" s="111" t="s">
        <v>285</v>
      </c>
      <c r="E380" s="111" t="s">
        <v>278</v>
      </c>
      <c r="F380" s="183" t="s">
        <v>454</v>
      </c>
      <c r="G380" s="151">
        <v>26775</v>
      </c>
      <c r="H380" s="14"/>
      <c r="I380" s="14" t="e">
        <f>SUM(H380/#REF!*100)</f>
        <v>#REF!</v>
      </c>
      <c r="J380" s="57">
        <f>SUM('ведомствен.2014'!G661)</f>
        <v>26775</v>
      </c>
    </row>
    <row r="381" spans="1:10" ht="15">
      <c r="A381" s="285" t="s">
        <v>458</v>
      </c>
      <c r="B381" s="266"/>
      <c r="C381" s="56" t="s">
        <v>106</v>
      </c>
      <c r="D381" s="111" t="s">
        <v>285</v>
      </c>
      <c r="E381" s="111" t="s">
        <v>278</v>
      </c>
      <c r="F381" s="183" t="s">
        <v>109</v>
      </c>
      <c r="G381" s="151">
        <v>3119.3</v>
      </c>
      <c r="H381" s="14">
        <f>SUM(H382)</f>
        <v>0</v>
      </c>
      <c r="I381" s="14" t="e">
        <f>SUM(H381/#REF!*100)</f>
        <v>#REF!</v>
      </c>
      <c r="J381" s="57">
        <f>SUM('ведомствен.2014'!G662)</f>
        <v>3119.3</v>
      </c>
    </row>
    <row r="382" spans="1:10" ht="15">
      <c r="A382" s="285" t="s">
        <v>459</v>
      </c>
      <c r="B382" s="264"/>
      <c r="C382" s="56" t="s">
        <v>106</v>
      </c>
      <c r="D382" s="111" t="s">
        <v>285</v>
      </c>
      <c r="E382" s="111" t="s">
        <v>278</v>
      </c>
      <c r="F382" s="183" t="s">
        <v>163</v>
      </c>
      <c r="G382" s="151">
        <v>403.4</v>
      </c>
      <c r="H382" s="14"/>
      <c r="I382" s="14" t="e">
        <f>SUM(H382/#REF!*100)</f>
        <v>#REF!</v>
      </c>
      <c r="J382" s="57">
        <f>SUM('ведомствен.2014'!G663)</f>
        <v>403.4</v>
      </c>
    </row>
    <row r="383" spans="1:10" ht="15">
      <c r="A383" s="285" t="s">
        <v>634</v>
      </c>
      <c r="B383" s="272"/>
      <c r="C383" s="116" t="s">
        <v>106</v>
      </c>
      <c r="D383" s="116" t="s">
        <v>285</v>
      </c>
      <c r="E383" s="116" t="s">
        <v>636</v>
      </c>
      <c r="F383" s="131"/>
      <c r="G383" s="146">
        <f>SUM(G384)</f>
        <v>7</v>
      </c>
      <c r="H383" s="14"/>
      <c r="I383" s="14"/>
      <c r="J383" s="57"/>
    </row>
    <row r="384" spans="1:10" ht="28.5">
      <c r="A384" s="285" t="s">
        <v>635</v>
      </c>
      <c r="B384" s="272"/>
      <c r="C384" s="116" t="s">
        <v>106</v>
      </c>
      <c r="D384" s="116" t="s">
        <v>285</v>
      </c>
      <c r="E384" s="116" t="s">
        <v>637</v>
      </c>
      <c r="F384" s="131"/>
      <c r="G384" s="146">
        <f>SUM(G385)</f>
        <v>7</v>
      </c>
      <c r="H384" s="14"/>
      <c r="I384" s="14"/>
      <c r="J384" s="57"/>
    </row>
    <row r="385" spans="1:10" ht="42.75">
      <c r="A385" s="279" t="s">
        <v>453</v>
      </c>
      <c r="B385" s="272"/>
      <c r="C385" s="116" t="s">
        <v>106</v>
      </c>
      <c r="D385" s="116" t="s">
        <v>285</v>
      </c>
      <c r="E385" s="116" t="s">
        <v>637</v>
      </c>
      <c r="F385" s="131" t="s">
        <v>454</v>
      </c>
      <c r="G385" s="146">
        <v>7</v>
      </c>
      <c r="H385" s="14"/>
      <c r="I385" s="14"/>
      <c r="J385" s="57">
        <f>SUM('ведомствен.2014'!G397)</f>
        <v>7</v>
      </c>
    </row>
    <row r="386" spans="1:10" ht="15">
      <c r="A386" s="280" t="s">
        <v>509</v>
      </c>
      <c r="B386" s="247"/>
      <c r="C386" s="166" t="s">
        <v>106</v>
      </c>
      <c r="D386" s="117" t="s">
        <v>285</v>
      </c>
      <c r="E386" s="173" t="s">
        <v>118</v>
      </c>
      <c r="F386" s="134"/>
      <c r="G386" s="144">
        <f>SUM(G387)</f>
        <v>40100</v>
      </c>
      <c r="H386" s="14">
        <f>SUM(H387)</f>
        <v>454</v>
      </c>
      <c r="I386" s="14" t="e">
        <f>SUM(H386/#REF!*100)</f>
        <v>#REF!</v>
      </c>
      <c r="J386"/>
    </row>
    <row r="387" spans="1:9" s="25" customFormat="1" ht="28.5">
      <c r="A387" s="286" t="s">
        <v>624</v>
      </c>
      <c r="B387" s="247"/>
      <c r="C387" s="166" t="s">
        <v>106</v>
      </c>
      <c r="D387" s="117" t="s">
        <v>285</v>
      </c>
      <c r="E387" s="117" t="s">
        <v>44</v>
      </c>
      <c r="F387" s="134"/>
      <c r="G387" s="144">
        <f>G388</f>
        <v>40100</v>
      </c>
      <c r="H387" s="14">
        <v>454</v>
      </c>
      <c r="I387" s="14" t="e">
        <f>SUM(H387/#REF!*100)</f>
        <v>#REF!</v>
      </c>
    </row>
    <row r="388" spans="1:10" ht="28.5">
      <c r="A388" s="280" t="s">
        <v>524</v>
      </c>
      <c r="B388" s="247"/>
      <c r="C388" s="166" t="s">
        <v>106</v>
      </c>
      <c r="D388" s="117" t="s">
        <v>285</v>
      </c>
      <c r="E388" s="117" t="s">
        <v>521</v>
      </c>
      <c r="F388" s="134" t="s">
        <v>518</v>
      </c>
      <c r="G388" s="144">
        <v>40100</v>
      </c>
      <c r="H388" s="14"/>
      <c r="I388" s="14" t="e">
        <f>SUM(H388/#REF!*100)</f>
        <v>#REF!</v>
      </c>
      <c r="J388">
        <f>SUM('ведомствен.2014'!G287)</f>
        <v>40100</v>
      </c>
    </row>
    <row r="389" spans="1:12" ht="15">
      <c r="A389" s="283" t="s">
        <v>306</v>
      </c>
      <c r="B389" s="248"/>
      <c r="C389" s="136" t="s">
        <v>113</v>
      </c>
      <c r="D389" s="119"/>
      <c r="E389" s="119"/>
      <c r="F389" s="133"/>
      <c r="G389" s="153">
        <f>SUM(G390+G443)</f>
        <v>114819.79999999999</v>
      </c>
      <c r="H389" s="14">
        <f>SUM(H405:H406)</f>
        <v>14679.5</v>
      </c>
      <c r="I389" s="14" t="e">
        <f>SUM(H389/G403*100)</f>
        <v>#DIV/0!</v>
      </c>
      <c r="J389"/>
      <c r="K389">
        <f>SUM(J390:J464)</f>
        <v>114819.79999999999</v>
      </c>
      <c r="L389">
        <f>SUM('ведомствен.2014'!G703)</f>
        <v>114819.79999999999</v>
      </c>
    </row>
    <row r="390" spans="1:10" ht="15">
      <c r="A390" s="279" t="s">
        <v>328</v>
      </c>
      <c r="B390" s="244"/>
      <c r="C390" s="53" t="s">
        <v>113</v>
      </c>
      <c r="D390" s="116" t="s">
        <v>419</v>
      </c>
      <c r="E390" s="116"/>
      <c r="F390" s="130"/>
      <c r="G390" s="146">
        <f>SUM(G391+G417+G428)</f>
        <v>106619.29999999999</v>
      </c>
      <c r="H390" s="14"/>
      <c r="I390" s="14"/>
      <c r="J390"/>
    </row>
    <row r="391" spans="1:10" ht="28.5">
      <c r="A391" s="280" t="s">
        <v>557</v>
      </c>
      <c r="B391" s="244"/>
      <c r="C391" s="53" t="s">
        <v>113</v>
      </c>
      <c r="D391" s="116" t="s">
        <v>419</v>
      </c>
      <c r="E391" s="116" t="s">
        <v>125</v>
      </c>
      <c r="F391" s="130"/>
      <c r="G391" s="146">
        <f>SUM(G392+G398)</f>
        <v>59374.2</v>
      </c>
      <c r="H391" s="14"/>
      <c r="I391" s="14"/>
      <c r="J391"/>
    </row>
    <row r="392" spans="1:10" ht="28.5">
      <c r="A392" s="279" t="s">
        <v>11</v>
      </c>
      <c r="B392" s="248"/>
      <c r="C392" s="53" t="s">
        <v>113</v>
      </c>
      <c r="D392" s="116" t="s">
        <v>419</v>
      </c>
      <c r="E392" s="116" t="s">
        <v>190</v>
      </c>
      <c r="F392" s="130"/>
      <c r="G392" s="146">
        <f>SUM(G393)+G395</f>
        <v>38342.5</v>
      </c>
      <c r="H392" s="14"/>
      <c r="I392" s="14"/>
      <c r="J392"/>
    </row>
    <row r="393" spans="1:10" ht="28.5">
      <c r="A393" s="279" t="s">
        <v>83</v>
      </c>
      <c r="B393" s="248"/>
      <c r="C393" s="53" t="s">
        <v>113</v>
      </c>
      <c r="D393" s="116" t="s">
        <v>419</v>
      </c>
      <c r="E393" s="116" t="s">
        <v>192</v>
      </c>
      <c r="F393" s="130"/>
      <c r="G393" s="146">
        <f>SUM(G394)</f>
        <v>38299.5</v>
      </c>
      <c r="H393" s="14"/>
      <c r="I393" s="14"/>
      <c r="J393"/>
    </row>
    <row r="394" spans="1:10" ht="28.5">
      <c r="A394" s="285" t="s">
        <v>475</v>
      </c>
      <c r="B394" s="263"/>
      <c r="C394" s="53" t="s">
        <v>113</v>
      </c>
      <c r="D394" s="116" t="s">
        <v>419</v>
      </c>
      <c r="E394" s="116" t="s">
        <v>192</v>
      </c>
      <c r="F394" s="131" t="s">
        <v>471</v>
      </c>
      <c r="G394" s="146">
        <v>38299.5</v>
      </c>
      <c r="H394" s="14"/>
      <c r="I394" s="14"/>
      <c r="J394">
        <f>SUM('ведомствен.2014'!G708)</f>
        <v>38299.5</v>
      </c>
    </row>
    <row r="395" spans="1:10" ht="28.5">
      <c r="A395" s="279" t="s">
        <v>146</v>
      </c>
      <c r="B395" s="265"/>
      <c r="C395" s="116" t="s">
        <v>113</v>
      </c>
      <c r="D395" s="116" t="s">
        <v>419</v>
      </c>
      <c r="E395" s="116" t="s">
        <v>376</v>
      </c>
      <c r="F395" s="131"/>
      <c r="G395" s="146">
        <f>SUM(G396)</f>
        <v>43</v>
      </c>
      <c r="H395" s="14"/>
      <c r="I395" s="14"/>
      <c r="J395"/>
    </row>
    <row r="396" spans="1:10" ht="28.5">
      <c r="A396" s="285" t="s">
        <v>133</v>
      </c>
      <c r="B396" s="265"/>
      <c r="C396" s="116" t="s">
        <v>113</v>
      </c>
      <c r="D396" s="116" t="s">
        <v>419</v>
      </c>
      <c r="E396" s="116" t="s">
        <v>377</v>
      </c>
      <c r="F396" s="131"/>
      <c r="G396" s="146">
        <f>SUM(G397)</f>
        <v>43</v>
      </c>
      <c r="H396" s="14"/>
      <c r="I396" s="14"/>
      <c r="J396"/>
    </row>
    <row r="397" spans="1:10" ht="28.5">
      <c r="A397" s="285" t="s">
        <v>475</v>
      </c>
      <c r="B397" s="265"/>
      <c r="C397" s="116" t="s">
        <v>113</v>
      </c>
      <c r="D397" s="116" t="s">
        <v>419</v>
      </c>
      <c r="E397" s="116" t="s">
        <v>377</v>
      </c>
      <c r="F397" s="131" t="s">
        <v>471</v>
      </c>
      <c r="G397" s="146">
        <v>43</v>
      </c>
      <c r="H397" s="14"/>
      <c r="I397" s="14"/>
      <c r="J397">
        <f>SUM('ведомствен.2014'!G711)</f>
        <v>43</v>
      </c>
    </row>
    <row r="398" spans="1:10" ht="28.5">
      <c r="A398" s="279" t="s">
        <v>46</v>
      </c>
      <c r="B398" s="263"/>
      <c r="C398" s="53" t="s">
        <v>113</v>
      </c>
      <c r="D398" s="116" t="s">
        <v>419</v>
      </c>
      <c r="E398" s="116" t="s">
        <v>126</v>
      </c>
      <c r="F398" s="131"/>
      <c r="G398" s="146">
        <f>SUM(G399:G401)</f>
        <v>21031.7</v>
      </c>
      <c r="H398" s="14"/>
      <c r="I398" s="14"/>
      <c r="J398"/>
    </row>
    <row r="399" spans="1:10" ht="42.75">
      <c r="A399" s="279" t="s">
        <v>453</v>
      </c>
      <c r="B399" s="244"/>
      <c r="C399" s="53" t="s">
        <v>113</v>
      </c>
      <c r="D399" s="116" t="s">
        <v>419</v>
      </c>
      <c r="E399" s="116" t="s">
        <v>126</v>
      </c>
      <c r="F399" s="129" t="s">
        <v>454</v>
      </c>
      <c r="G399" s="146">
        <v>17343.9</v>
      </c>
      <c r="H399" s="14"/>
      <c r="I399" s="14"/>
      <c r="J399">
        <f>SUM('ведомствен.2014'!G713)</f>
        <v>17343.9</v>
      </c>
    </row>
    <row r="400" spans="1:10" ht="15">
      <c r="A400" s="279" t="s">
        <v>458</v>
      </c>
      <c r="B400" s="244"/>
      <c r="C400" s="53" t="s">
        <v>113</v>
      </c>
      <c r="D400" s="116" t="s">
        <v>419</v>
      </c>
      <c r="E400" s="116" t="s">
        <v>126</v>
      </c>
      <c r="F400" s="129" t="s">
        <v>109</v>
      </c>
      <c r="G400" s="147">
        <v>3304</v>
      </c>
      <c r="H400" s="14"/>
      <c r="I400" s="14"/>
      <c r="J400">
        <f>SUM('ведомствен.2014'!G714)</f>
        <v>3304</v>
      </c>
    </row>
    <row r="401" spans="1:10" ht="15">
      <c r="A401" s="279" t="s">
        <v>459</v>
      </c>
      <c r="B401" s="244"/>
      <c r="C401" s="53" t="s">
        <v>113</v>
      </c>
      <c r="D401" s="116" t="s">
        <v>419</v>
      </c>
      <c r="E401" s="116" t="s">
        <v>126</v>
      </c>
      <c r="F401" s="130" t="s">
        <v>163</v>
      </c>
      <c r="G401" s="146">
        <v>383.8</v>
      </c>
      <c r="H401" s="14"/>
      <c r="I401" s="14"/>
      <c r="J401">
        <f>SUM('ведомствен.2014'!G715)</f>
        <v>383.8</v>
      </c>
    </row>
    <row r="402" spans="1:9" ht="28.5" hidden="1">
      <c r="A402" s="279" t="s">
        <v>84</v>
      </c>
      <c r="B402" s="248"/>
      <c r="C402" s="53" t="s">
        <v>113</v>
      </c>
      <c r="D402" s="116" t="s">
        <v>419</v>
      </c>
      <c r="E402" s="116" t="s">
        <v>190</v>
      </c>
      <c r="F402" s="130"/>
      <c r="G402" s="146">
        <f>SUM(G403+G405)</f>
        <v>0</v>
      </c>
      <c r="H402" s="14"/>
      <c r="I402" s="14"/>
    </row>
    <row r="403" spans="1:10" ht="28.5" hidden="1">
      <c r="A403" s="279" t="s">
        <v>191</v>
      </c>
      <c r="B403" s="248"/>
      <c r="C403" s="53" t="s">
        <v>113</v>
      </c>
      <c r="D403" s="116" t="s">
        <v>419</v>
      </c>
      <c r="E403" s="116" t="s">
        <v>192</v>
      </c>
      <c r="F403" s="130"/>
      <c r="G403" s="146">
        <f>SUM(G404)</f>
        <v>0</v>
      </c>
      <c r="H403" s="14"/>
      <c r="I403" s="14"/>
      <c r="J403"/>
    </row>
    <row r="404" spans="1:10" ht="42.75" hidden="1">
      <c r="A404" s="285" t="s">
        <v>145</v>
      </c>
      <c r="B404" s="263"/>
      <c r="C404" s="53" t="s">
        <v>113</v>
      </c>
      <c r="D404" s="116" t="s">
        <v>419</v>
      </c>
      <c r="E404" s="116" t="s">
        <v>192</v>
      </c>
      <c r="F404" s="131" t="s">
        <v>48</v>
      </c>
      <c r="G404" s="146"/>
      <c r="H404" s="14"/>
      <c r="I404" s="14"/>
      <c r="J404"/>
    </row>
    <row r="405" spans="1:9" ht="28.5" hidden="1">
      <c r="A405" s="279" t="s">
        <v>146</v>
      </c>
      <c r="B405" s="244"/>
      <c r="C405" s="53" t="s">
        <v>113</v>
      </c>
      <c r="D405" s="116" t="s">
        <v>419</v>
      </c>
      <c r="E405" s="54" t="s">
        <v>376</v>
      </c>
      <c r="F405" s="131"/>
      <c r="G405" s="146">
        <f>SUM(G408+G410)+G406</f>
        <v>0</v>
      </c>
      <c r="H405" s="14">
        <v>14679.5</v>
      </c>
      <c r="I405" s="14" t="e">
        <f>SUM(H405/G411*100)</f>
        <v>#DIV/0!</v>
      </c>
    </row>
    <row r="406" spans="1:9" ht="28.5" hidden="1">
      <c r="A406" s="279" t="s">
        <v>422</v>
      </c>
      <c r="B406" s="244"/>
      <c r="C406" s="53" t="s">
        <v>113</v>
      </c>
      <c r="D406" s="116" t="s">
        <v>419</v>
      </c>
      <c r="E406" s="54" t="s">
        <v>377</v>
      </c>
      <c r="F406" s="131"/>
      <c r="G406" s="146">
        <f>SUM(G407)</f>
        <v>0</v>
      </c>
      <c r="H406" s="14"/>
      <c r="I406" s="14" t="e">
        <f>SUM(H406/G412*100)</f>
        <v>#DIV/0!</v>
      </c>
    </row>
    <row r="407" spans="1:10" ht="28.5" hidden="1">
      <c r="A407" s="279" t="s">
        <v>146</v>
      </c>
      <c r="B407" s="244"/>
      <c r="C407" s="53" t="s">
        <v>113</v>
      </c>
      <c r="D407" s="116" t="s">
        <v>419</v>
      </c>
      <c r="E407" s="54" t="s">
        <v>377</v>
      </c>
      <c r="F407" s="131" t="s">
        <v>72</v>
      </c>
      <c r="G407" s="146"/>
      <c r="H407" s="14">
        <f>SUM(H408)</f>
        <v>2102.5</v>
      </c>
      <c r="I407" s="14" t="e">
        <f>SUM(H407/G413*100)</f>
        <v>#DIV/0!</v>
      </c>
      <c r="J407"/>
    </row>
    <row r="408" spans="1:10" ht="28.5" hidden="1">
      <c r="A408" s="285" t="s">
        <v>375</v>
      </c>
      <c r="B408" s="263"/>
      <c r="C408" s="53" t="s">
        <v>113</v>
      </c>
      <c r="D408" s="116" t="s">
        <v>419</v>
      </c>
      <c r="E408" s="116" t="s">
        <v>374</v>
      </c>
      <c r="F408" s="131"/>
      <c r="G408" s="146">
        <f>SUM(G409)</f>
        <v>0</v>
      </c>
      <c r="H408" s="14">
        <f>SUM(H410)+H417</f>
        <v>2102.5</v>
      </c>
      <c r="I408" s="14" t="e">
        <f>SUM(H408/G414*100)</f>
        <v>#DIV/0!</v>
      </c>
      <c r="J408"/>
    </row>
    <row r="409" spans="1:10" ht="28.5" hidden="1">
      <c r="A409" s="285" t="s">
        <v>132</v>
      </c>
      <c r="B409" s="263"/>
      <c r="C409" s="53" t="s">
        <v>113</v>
      </c>
      <c r="D409" s="116" t="s">
        <v>419</v>
      </c>
      <c r="E409" s="116" t="s">
        <v>374</v>
      </c>
      <c r="F409" s="131" t="s">
        <v>72</v>
      </c>
      <c r="G409" s="146"/>
      <c r="H409" s="14"/>
      <c r="I409" s="14"/>
      <c r="J409"/>
    </row>
    <row r="410" spans="1:9" ht="28.5" hidden="1">
      <c r="A410" s="285" t="s">
        <v>143</v>
      </c>
      <c r="B410" s="263"/>
      <c r="C410" s="53" t="s">
        <v>113</v>
      </c>
      <c r="D410" s="116" t="s">
        <v>419</v>
      </c>
      <c r="E410" s="116" t="s">
        <v>202</v>
      </c>
      <c r="F410" s="131"/>
      <c r="G410" s="146">
        <f>SUM(G411)</f>
        <v>0</v>
      </c>
      <c r="H410" s="14">
        <v>2102.5</v>
      </c>
      <c r="I410" s="14" t="e">
        <f>SUM(H410/G416*100)</f>
        <v>#DIV/0!</v>
      </c>
    </row>
    <row r="411" spans="1:9" ht="28.5" hidden="1">
      <c r="A411" s="285" t="s">
        <v>132</v>
      </c>
      <c r="B411" s="263"/>
      <c r="C411" s="53" t="s">
        <v>113</v>
      </c>
      <c r="D411" s="116" t="s">
        <v>419</v>
      </c>
      <c r="E411" s="116" t="s">
        <v>202</v>
      </c>
      <c r="F411" s="131" t="s">
        <v>72</v>
      </c>
      <c r="G411" s="146"/>
      <c r="H411" s="14"/>
      <c r="I411" s="14"/>
    </row>
    <row r="412" spans="1:9" ht="28.5" hidden="1">
      <c r="A412" s="279" t="s">
        <v>46</v>
      </c>
      <c r="B412" s="245"/>
      <c r="C412" s="53" t="s">
        <v>113</v>
      </c>
      <c r="D412" s="116" t="s">
        <v>419</v>
      </c>
      <c r="E412" s="116" t="s">
        <v>126</v>
      </c>
      <c r="F412" s="130"/>
      <c r="G412" s="146">
        <f>SUM(G413:G415)</f>
        <v>0</v>
      </c>
      <c r="H412" s="14"/>
      <c r="I412" s="14"/>
    </row>
    <row r="413" spans="1:9" ht="15" hidden="1">
      <c r="A413" s="285" t="s">
        <v>47</v>
      </c>
      <c r="B413" s="245"/>
      <c r="C413" s="53" t="s">
        <v>113</v>
      </c>
      <c r="D413" s="116" t="s">
        <v>419</v>
      </c>
      <c r="E413" s="116" t="s">
        <v>126</v>
      </c>
      <c r="F413" s="130" t="s">
        <v>233</v>
      </c>
      <c r="G413" s="146"/>
      <c r="H413" s="14"/>
      <c r="I413" s="14"/>
    </row>
    <row r="414" spans="1:9" ht="42.75" hidden="1">
      <c r="A414" s="285" t="s">
        <v>331</v>
      </c>
      <c r="B414" s="263"/>
      <c r="C414" s="53" t="s">
        <v>113</v>
      </c>
      <c r="D414" s="116" t="s">
        <v>419</v>
      </c>
      <c r="E414" s="116" t="s">
        <v>126</v>
      </c>
      <c r="F414" s="131" t="s">
        <v>332</v>
      </c>
      <c r="G414" s="146"/>
      <c r="H414" s="14"/>
      <c r="I414" s="14"/>
    </row>
    <row r="415" spans="1:9" ht="57" hidden="1">
      <c r="A415" s="279" t="s">
        <v>244</v>
      </c>
      <c r="B415" s="244"/>
      <c r="C415" s="53" t="s">
        <v>113</v>
      </c>
      <c r="D415" s="116" t="s">
        <v>419</v>
      </c>
      <c r="E415" s="116" t="s">
        <v>333</v>
      </c>
      <c r="F415" s="131"/>
      <c r="G415" s="146">
        <f>SUM(G416)</f>
        <v>0</v>
      </c>
      <c r="H415" s="14"/>
      <c r="I415" s="14"/>
    </row>
    <row r="416" spans="1:9" ht="15" hidden="1">
      <c r="A416" s="285" t="s">
        <v>232</v>
      </c>
      <c r="B416" s="263"/>
      <c r="C416" s="53" t="s">
        <v>113</v>
      </c>
      <c r="D416" s="116" t="s">
        <v>419</v>
      </c>
      <c r="E416" s="116" t="s">
        <v>333</v>
      </c>
      <c r="F416" s="131" t="s">
        <v>233</v>
      </c>
      <c r="G416" s="146"/>
      <c r="H416" s="14">
        <v>14679.5</v>
      </c>
      <c r="I416" s="14" t="e">
        <f aca="true" t="shared" si="6" ref="I416:I434">SUM(H416/G422*100)</f>
        <v>#DIV/0!</v>
      </c>
    </row>
    <row r="417" spans="1:9" ht="15">
      <c r="A417" s="279" t="s">
        <v>334</v>
      </c>
      <c r="B417" s="244"/>
      <c r="C417" s="53" t="s">
        <v>113</v>
      </c>
      <c r="D417" s="116" t="s">
        <v>419</v>
      </c>
      <c r="E417" s="116" t="s">
        <v>335</v>
      </c>
      <c r="F417" s="130"/>
      <c r="G417" s="146">
        <f>SUM(G418)</f>
        <v>7709.9</v>
      </c>
      <c r="H417" s="14"/>
      <c r="I417" s="14" t="e">
        <f t="shared" si="6"/>
        <v>#DIV/0!</v>
      </c>
    </row>
    <row r="418" spans="1:10" ht="28.5">
      <c r="A418" s="279" t="s">
        <v>84</v>
      </c>
      <c r="B418" s="248"/>
      <c r="C418" s="53" t="s">
        <v>113</v>
      </c>
      <c r="D418" s="116" t="s">
        <v>419</v>
      </c>
      <c r="E418" s="116" t="s">
        <v>70</v>
      </c>
      <c r="F418" s="130"/>
      <c r="G418" s="146">
        <f>SUM(G419)+G421</f>
        <v>7709.9</v>
      </c>
      <c r="H418" s="14"/>
      <c r="I418" s="14" t="e">
        <f t="shared" si="6"/>
        <v>#DIV/0!</v>
      </c>
      <c r="J418"/>
    </row>
    <row r="419" spans="1:10" ht="28.5">
      <c r="A419" s="279" t="s">
        <v>191</v>
      </c>
      <c r="B419" s="248"/>
      <c r="C419" s="53" t="s">
        <v>113</v>
      </c>
      <c r="D419" s="116" t="s">
        <v>419</v>
      </c>
      <c r="E419" s="116" t="s">
        <v>71</v>
      </c>
      <c r="F419" s="130"/>
      <c r="G419" s="146">
        <f>SUM(G420)</f>
        <v>7629.9</v>
      </c>
      <c r="H419" s="14">
        <f>SUM(H420)</f>
        <v>10268.9</v>
      </c>
      <c r="I419" s="14" t="e">
        <f t="shared" si="6"/>
        <v>#DIV/0!</v>
      </c>
      <c r="J419"/>
    </row>
    <row r="420" spans="1:10" ht="28.5">
      <c r="A420" s="285" t="s">
        <v>475</v>
      </c>
      <c r="B420" s="263"/>
      <c r="C420" s="53" t="s">
        <v>113</v>
      </c>
      <c r="D420" s="116" t="s">
        <v>419</v>
      </c>
      <c r="E420" s="116" t="s">
        <v>71</v>
      </c>
      <c r="F420" s="131" t="s">
        <v>471</v>
      </c>
      <c r="G420" s="146">
        <v>7629.9</v>
      </c>
      <c r="H420" s="14">
        <f>SUM(H421+H423+H425)</f>
        <v>10268.9</v>
      </c>
      <c r="I420" s="14">
        <f aca="true" t="shared" si="7" ref="I420:I425">SUM(H420/G428*100)</f>
        <v>25.974068678038808</v>
      </c>
      <c r="J420">
        <f>SUM('ведомствен.2014'!G734)</f>
        <v>7629.9</v>
      </c>
    </row>
    <row r="421" spans="1:9" ht="28.5">
      <c r="A421" s="279" t="s">
        <v>146</v>
      </c>
      <c r="B421" s="263"/>
      <c r="C421" s="53" t="s">
        <v>113</v>
      </c>
      <c r="D421" s="116" t="s">
        <v>419</v>
      </c>
      <c r="E421" s="116" t="s">
        <v>203</v>
      </c>
      <c r="F421" s="131"/>
      <c r="G421" s="146">
        <f>SUM(G426)+G422</f>
        <v>80</v>
      </c>
      <c r="H421" s="14">
        <v>8963.8</v>
      </c>
      <c r="I421" s="14">
        <f t="shared" si="7"/>
        <v>22.67295979279224</v>
      </c>
    </row>
    <row r="422" spans="1:10" ht="28.5" hidden="1">
      <c r="A422" s="285" t="s">
        <v>133</v>
      </c>
      <c r="B422" s="263"/>
      <c r="C422" s="53" t="s">
        <v>113</v>
      </c>
      <c r="D422" s="116" t="s">
        <v>419</v>
      </c>
      <c r="E422" s="116" t="s">
        <v>424</v>
      </c>
      <c r="F422" s="131"/>
      <c r="G422" s="146">
        <f>SUM(G423)</f>
        <v>0</v>
      </c>
      <c r="H422" s="14"/>
      <c r="I422" s="14">
        <f t="shared" si="7"/>
        <v>0</v>
      </c>
      <c r="J422"/>
    </row>
    <row r="423" spans="1:10" ht="28.5" hidden="1">
      <c r="A423" s="285" t="s">
        <v>475</v>
      </c>
      <c r="B423" s="263"/>
      <c r="C423" s="53" t="s">
        <v>113</v>
      </c>
      <c r="D423" s="116" t="s">
        <v>419</v>
      </c>
      <c r="E423" s="116" t="s">
        <v>424</v>
      </c>
      <c r="F423" s="131" t="s">
        <v>471</v>
      </c>
      <c r="G423" s="146"/>
      <c r="H423" s="14">
        <f>SUM(H424)</f>
        <v>0</v>
      </c>
      <c r="I423" s="14">
        <f t="shared" si="7"/>
        <v>0</v>
      </c>
      <c r="J423"/>
    </row>
    <row r="424" spans="1:10" ht="28.5" hidden="1">
      <c r="A424" s="285" t="s">
        <v>375</v>
      </c>
      <c r="B424" s="263"/>
      <c r="C424" s="53" t="s">
        <v>113</v>
      </c>
      <c r="D424" s="116" t="s">
        <v>419</v>
      </c>
      <c r="E424" s="116" t="s">
        <v>142</v>
      </c>
      <c r="F424" s="131"/>
      <c r="G424" s="146">
        <f>SUM(G425)</f>
        <v>0</v>
      </c>
      <c r="H424" s="14"/>
      <c r="I424" s="14">
        <f t="shared" si="7"/>
        <v>0</v>
      </c>
      <c r="J424"/>
    </row>
    <row r="425" spans="1:10" ht="28.5" hidden="1">
      <c r="A425" s="285" t="s">
        <v>132</v>
      </c>
      <c r="B425" s="263"/>
      <c r="C425" s="53" t="s">
        <v>113</v>
      </c>
      <c r="D425" s="116" t="s">
        <v>419</v>
      </c>
      <c r="E425" s="116" t="s">
        <v>142</v>
      </c>
      <c r="F425" s="131" t="s">
        <v>72</v>
      </c>
      <c r="G425" s="146"/>
      <c r="H425" s="14">
        <f>SUM(H428)</f>
        <v>1305.1</v>
      </c>
      <c r="I425" s="14" t="e">
        <f t="shared" si="7"/>
        <v>#DIV/0!</v>
      </c>
      <c r="J425"/>
    </row>
    <row r="426" spans="1:10" ht="28.5">
      <c r="A426" s="294" t="s">
        <v>143</v>
      </c>
      <c r="B426" s="269"/>
      <c r="C426" s="53" t="s">
        <v>113</v>
      </c>
      <c r="D426" s="116" t="s">
        <v>419</v>
      </c>
      <c r="E426" s="116" t="s">
        <v>589</v>
      </c>
      <c r="F426" s="131"/>
      <c r="G426" s="146">
        <f>SUM(G427)</f>
        <v>80</v>
      </c>
      <c r="H426" s="14"/>
      <c r="I426" s="14"/>
      <c r="J426"/>
    </row>
    <row r="427" spans="1:10" ht="28.5">
      <c r="A427" s="285" t="s">
        <v>475</v>
      </c>
      <c r="B427" s="269"/>
      <c r="C427" s="53" t="s">
        <v>113</v>
      </c>
      <c r="D427" s="116" t="s">
        <v>419</v>
      </c>
      <c r="E427" s="116" t="s">
        <v>589</v>
      </c>
      <c r="F427" s="131" t="s">
        <v>471</v>
      </c>
      <c r="G427" s="146">
        <v>80</v>
      </c>
      <c r="H427" s="14"/>
      <c r="I427" s="14"/>
      <c r="J427">
        <f>SUM('ведомствен.2014'!G741)</f>
        <v>80</v>
      </c>
    </row>
    <row r="428" spans="1:10" ht="15">
      <c r="A428" s="279" t="s">
        <v>336</v>
      </c>
      <c r="B428" s="244"/>
      <c r="C428" s="53" t="s">
        <v>113</v>
      </c>
      <c r="D428" s="116" t="s">
        <v>419</v>
      </c>
      <c r="E428" s="116" t="s">
        <v>337</v>
      </c>
      <c r="F428" s="130"/>
      <c r="G428" s="146">
        <f>SUM(G429)</f>
        <v>39535.200000000004</v>
      </c>
      <c r="H428" s="14">
        <v>1305.1</v>
      </c>
      <c r="I428" s="14" t="e">
        <f t="shared" si="6"/>
        <v>#DIV/0!</v>
      </c>
      <c r="J428"/>
    </row>
    <row r="429" spans="1:10" ht="28.5">
      <c r="A429" s="279" t="s">
        <v>46</v>
      </c>
      <c r="B429" s="248"/>
      <c r="C429" s="53" t="s">
        <v>113</v>
      </c>
      <c r="D429" s="116" t="s">
        <v>419</v>
      </c>
      <c r="E429" s="116" t="s">
        <v>338</v>
      </c>
      <c r="F429" s="130"/>
      <c r="G429" s="146">
        <f>SUM(G430:G432)</f>
        <v>39535.200000000004</v>
      </c>
      <c r="H429" s="14">
        <f>SUM(H430+H431)</f>
        <v>0</v>
      </c>
      <c r="I429" s="14" t="e">
        <f t="shared" si="6"/>
        <v>#DIV/0!</v>
      </c>
      <c r="J429"/>
    </row>
    <row r="430" spans="1:10" ht="42.75">
      <c r="A430" s="279" t="s">
        <v>453</v>
      </c>
      <c r="B430" s="244"/>
      <c r="C430" s="53" t="s">
        <v>113</v>
      </c>
      <c r="D430" s="116" t="s">
        <v>419</v>
      </c>
      <c r="E430" s="116" t="s">
        <v>338</v>
      </c>
      <c r="F430" s="129" t="s">
        <v>454</v>
      </c>
      <c r="G430" s="146">
        <v>35245.9</v>
      </c>
      <c r="H430" s="14"/>
      <c r="I430" s="14" t="e">
        <f t="shared" si="6"/>
        <v>#DIV/0!</v>
      </c>
      <c r="J430">
        <f>SUM('ведомствен.2014'!G744)</f>
        <v>35245.9</v>
      </c>
    </row>
    <row r="431" spans="1:10" ht="15">
      <c r="A431" s="279" t="s">
        <v>458</v>
      </c>
      <c r="B431" s="244"/>
      <c r="C431" s="53" t="s">
        <v>113</v>
      </c>
      <c r="D431" s="116" t="s">
        <v>419</v>
      </c>
      <c r="E431" s="116" t="s">
        <v>338</v>
      </c>
      <c r="F431" s="129" t="s">
        <v>109</v>
      </c>
      <c r="G431" s="147">
        <v>3733</v>
      </c>
      <c r="H431" s="14">
        <f>SUM(H432)</f>
        <v>0</v>
      </c>
      <c r="I431" s="14" t="e">
        <f t="shared" si="6"/>
        <v>#DIV/0!</v>
      </c>
      <c r="J431">
        <f>SUM('ведомствен.2014'!G745)</f>
        <v>3733</v>
      </c>
    </row>
    <row r="432" spans="1:10" ht="15">
      <c r="A432" s="279" t="s">
        <v>459</v>
      </c>
      <c r="B432" s="244"/>
      <c r="C432" s="53" t="s">
        <v>113</v>
      </c>
      <c r="D432" s="116" t="s">
        <v>419</v>
      </c>
      <c r="E432" s="116" t="s">
        <v>338</v>
      </c>
      <c r="F432" s="130" t="s">
        <v>163</v>
      </c>
      <c r="G432" s="146">
        <v>556.3</v>
      </c>
      <c r="H432" s="14"/>
      <c r="I432" s="14" t="e">
        <f t="shared" si="6"/>
        <v>#DIV/0!</v>
      </c>
      <c r="J432">
        <f>SUM('ведомствен.2014'!G746)</f>
        <v>556.3</v>
      </c>
    </row>
    <row r="433" spans="1:10" ht="42.75" hidden="1">
      <c r="A433" s="285" t="s">
        <v>52</v>
      </c>
      <c r="B433" s="263"/>
      <c r="C433" s="53" t="s">
        <v>113</v>
      </c>
      <c r="D433" s="116" t="s">
        <v>419</v>
      </c>
      <c r="E433" s="116" t="s">
        <v>339</v>
      </c>
      <c r="F433" s="131"/>
      <c r="G433" s="146">
        <f>SUM(G434)</f>
        <v>0</v>
      </c>
      <c r="H433" s="14">
        <f>SUM(H434)</f>
        <v>7333.8</v>
      </c>
      <c r="I433" s="14" t="e">
        <f t="shared" si="6"/>
        <v>#DIV/0!</v>
      </c>
      <c r="J433"/>
    </row>
    <row r="434" spans="1:10" ht="15" hidden="1">
      <c r="A434" s="285" t="s">
        <v>47</v>
      </c>
      <c r="B434" s="263"/>
      <c r="C434" s="53" t="s">
        <v>113</v>
      </c>
      <c r="D434" s="116" t="s">
        <v>419</v>
      </c>
      <c r="E434" s="116" t="s">
        <v>339</v>
      </c>
      <c r="F434" s="131" t="s">
        <v>233</v>
      </c>
      <c r="G434" s="146"/>
      <c r="H434" s="14">
        <f>SUM(H436:H440)</f>
        <v>7333.8</v>
      </c>
      <c r="I434" s="14" t="e">
        <f t="shared" si="6"/>
        <v>#DIV/0!</v>
      </c>
      <c r="J434"/>
    </row>
    <row r="435" spans="1:10" ht="28.5" hidden="1">
      <c r="A435" s="285" t="s">
        <v>340</v>
      </c>
      <c r="B435" s="263"/>
      <c r="C435" s="53" t="s">
        <v>113</v>
      </c>
      <c r="D435" s="116" t="s">
        <v>419</v>
      </c>
      <c r="E435" s="116" t="s">
        <v>341</v>
      </c>
      <c r="F435" s="131"/>
      <c r="G435" s="146">
        <f>SUM(G438+G436)</f>
        <v>0</v>
      </c>
      <c r="H435" s="14"/>
      <c r="I435" s="14"/>
      <c r="J435"/>
    </row>
    <row r="436" spans="1:10" ht="15" hidden="1">
      <c r="A436" s="285" t="s">
        <v>232</v>
      </c>
      <c r="B436" s="263"/>
      <c r="C436" s="53" t="s">
        <v>113</v>
      </c>
      <c r="D436" s="116" t="s">
        <v>419</v>
      </c>
      <c r="E436" s="116" t="s">
        <v>341</v>
      </c>
      <c r="F436" s="131" t="s">
        <v>233</v>
      </c>
      <c r="G436" s="146"/>
      <c r="H436" s="14"/>
      <c r="I436" s="14" t="e">
        <f aca="true" t="shared" si="8" ref="I436:I444">SUM(H436/G442*100)</f>
        <v>#DIV/0!</v>
      </c>
      <c r="J436"/>
    </row>
    <row r="437" spans="1:10" ht="42.75" hidden="1">
      <c r="A437" s="285" t="s">
        <v>342</v>
      </c>
      <c r="B437" s="263"/>
      <c r="C437" s="53" t="s">
        <v>113</v>
      </c>
      <c r="D437" s="116" t="s">
        <v>419</v>
      </c>
      <c r="E437" s="116" t="s">
        <v>343</v>
      </c>
      <c r="F437" s="131"/>
      <c r="G437" s="146">
        <f>SUM(G438)</f>
        <v>0</v>
      </c>
      <c r="H437" s="14">
        <f>SUM(H441+H446)+H438</f>
        <v>4633.8</v>
      </c>
      <c r="I437" s="14">
        <f t="shared" si="8"/>
        <v>56.506310590817634</v>
      </c>
      <c r="J437"/>
    </row>
    <row r="438" spans="1:10" ht="15" hidden="1">
      <c r="A438" s="285" t="s">
        <v>232</v>
      </c>
      <c r="B438" s="263"/>
      <c r="C438" s="53" t="s">
        <v>113</v>
      </c>
      <c r="D438" s="116" t="s">
        <v>419</v>
      </c>
      <c r="E438" s="116" t="s">
        <v>343</v>
      </c>
      <c r="F438" s="131" t="s">
        <v>233</v>
      </c>
      <c r="G438" s="146"/>
      <c r="H438" s="14">
        <f>SUM(H439)</f>
        <v>900</v>
      </c>
      <c r="I438" s="14" t="e">
        <f t="shared" si="8"/>
        <v>#DIV/0!</v>
      </c>
      <c r="J438"/>
    </row>
    <row r="439" spans="1:10" ht="15" hidden="1">
      <c r="A439" s="285" t="s">
        <v>117</v>
      </c>
      <c r="B439" s="248"/>
      <c r="C439" s="53" t="s">
        <v>113</v>
      </c>
      <c r="D439" s="116" t="s">
        <v>419</v>
      </c>
      <c r="E439" s="116" t="s">
        <v>118</v>
      </c>
      <c r="F439" s="130"/>
      <c r="G439" s="146">
        <f>SUM(G440)</f>
        <v>0</v>
      </c>
      <c r="H439" s="14">
        <f>SUM(H440)</f>
        <v>900</v>
      </c>
      <c r="I439" s="14" t="e">
        <f t="shared" si="8"/>
        <v>#DIV/0!</v>
      </c>
      <c r="J439"/>
    </row>
    <row r="440" spans="1:10" ht="42.75" hidden="1">
      <c r="A440" s="279" t="s">
        <v>194</v>
      </c>
      <c r="B440" s="248"/>
      <c r="C440" s="53" t="s">
        <v>113</v>
      </c>
      <c r="D440" s="116" t="s">
        <v>419</v>
      </c>
      <c r="E440" s="116" t="s">
        <v>283</v>
      </c>
      <c r="F440" s="130"/>
      <c r="G440" s="146">
        <f>SUM(G441:G442)</f>
        <v>0</v>
      </c>
      <c r="H440" s="14">
        <v>900</v>
      </c>
      <c r="I440" s="14" t="e">
        <f t="shared" si="8"/>
        <v>#DIV/0!</v>
      </c>
      <c r="J440"/>
    </row>
    <row r="441" spans="1:10" ht="15" hidden="1">
      <c r="A441" s="285" t="s">
        <v>47</v>
      </c>
      <c r="B441" s="248"/>
      <c r="C441" s="53" t="s">
        <v>113</v>
      </c>
      <c r="D441" s="116" t="s">
        <v>419</v>
      </c>
      <c r="E441" s="116" t="s">
        <v>283</v>
      </c>
      <c r="F441" s="130" t="s">
        <v>233</v>
      </c>
      <c r="G441" s="146"/>
      <c r="H441" s="14">
        <f>SUM(H442)</f>
        <v>3733.8</v>
      </c>
      <c r="I441" s="14">
        <f t="shared" si="8"/>
        <v>53.33619027212343</v>
      </c>
      <c r="J441"/>
    </row>
    <row r="442" spans="1:10" ht="28.5" hidden="1">
      <c r="A442" s="285" t="s">
        <v>132</v>
      </c>
      <c r="B442" s="248"/>
      <c r="C442" s="53" t="s">
        <v>113</v>
      </c>
      <c r="D442" s="116" t="s">
        <v>419</v>
      </c>
      <c r="E442" s="116" t="s">
        <v>283</v>
      </c>
      <c r="F442" s="130" t="s">
        <v>72</v>
      </c>
      <c r="G442" s="146"/>
      <c r="H442" s="14">
        <f>SUM(H443)</f>
        <v>3733.8</v>
      </c>
      <c r="I442" s="14">
        <f t="shared" si="8"/>
        <v>53.33619027212343</v>
      </c>
      <c r="J442"/>
    </row>
    <row r="443" spans="1:9" ht="15">
      <c r="A443" s="281" t="s">
        <v>221</v>
      </c>
      <c r="B443" s="248"/>
      <c r="C443" s="53" t="s">
        <v>113</v>
      </c>
      <c r="D443" s="116" t="s">
        <v>111</v>
      </c>
      <c r="E443" s="116"/>
      <c r="F443" s="130"/>
      <c r="G443" s="146">
        <f>SUM(G447+G452+G445)</f>
        <v>8200.5</v>
      </c>
      <c r="H443" s="14">
        <v>3733.8</v>
      </c>
      <c r="I443" s="14">
        <f t="shared" si="8"/>
        <v>58.9141171087303</v>
      </c>
    </row>
    <row r="444" spans="1:10" ht="15" hidden="1">
      <c r="A444" s="279" t="s">
        <v>368</v>
      </c>
      <c r="B444" s="248"/>
      <c r="C444" s="53" t="s">
        <v>113</v>
      </c>
      <c r="D444" s="116" t="s">
        <v>111</v>
      </c>
      <c r="E444" s="116" t="s">
        <v>370</v>
      </c>
      <c r="F444" s="130"/>
      <c r="G444" s="146">
        <f>SUM(G445)</f>
        <v>0</v>
      </c>
      <c r="H444" s="14">
        <f>SUM(H445)</f>
        <v>0</v>
      </c>
      <c r="I444" s="14">
        <f t="shared" si="8"/>
        <v>0</v>
      </c>
      <c r="J444"/>
    </row>
    <row r="445" spans="1:10" ht="15" hidden="1">
      <c r="A445" s="279" t="s">
        <v>348</v>
      </c>
      <c r="B445" s="248"/>
      <c r="C445" s="53" t="s">
        <v>113</v>
      </c>
      <c r="D445" s="116" t="s">
        <v>111</v>
      </c>
      <c r="E445" s="116" t="s">
        <v>349</v>
      </c>
      <c r="F445" s="130"/>
      <c r="G445" s="146">
        <f>SUM(G446)</f>
        <v>0</v>
      </c>
      <c r="H445" s="14"/>
      <c r="I445" s="14"/>
      <c r="J445"/>
    </row>
    <row r="446" spans="1:10" ht="42.75" hidden="1">
      <c r="A446" s="279" t="s">
        <v>293</v>
      </c>
      <c r="B446" s="248"/>
      <c r="C446" s="53" t="s">
        <v>113</v>
      </c>
      <c r="D446" s="116" t="s">
        <v>111</v>
      </c>
      <c r="E446" s="116" t="s">
        <v>349</v>
      </c>
      <c r="F446" s="130" t="s">
        <v>294</v>
      </c>
      <c r="G446" s="146"/>
      <c r="H446" s="14">
        <f>SUM(H449)</f>
        <v>0</v>
      </c>
      <c r="I446" s="14">
        <f>SUM(H446/G452*100)</f>
        <v>0</v>
      </c>
      <c r="J446"/>
    </row>
    <row r="447" spans="1:10" ht="57">
      <c r="A447" s="281" t="s">
        <v>276</v>
      </c>
      <c r="B447" s="248"/>
      <c r="C447" s="53" t="s">
        <v>113</v>
      </c>
      <c r="D447" s="116" t="s">
        <v>111</v>
      </c>
      <c r="E447" s="116" t="s">
        <v>277</v>
      </c>
      <c r="F447" s="130"/>
      <c r="G447" s="146">
        <f>SUM(G448)</f>
        <v>7000.499999999999</v>
      </c>
      <c r="H447" s="14"/>
      <c r="I447" s="14"/>
      <c r="J447"/>
    </row>
    <row r="448" spans="1:10" ht="28.5">
      <c r="A448" s="279" t="s">
        <v>46</v>
      </c>
      <c r="B448" s="248"/>
      <c r="C448" s="53" t="s">
        <v>113</v>
      </c>
      <c r="D448" s="116" t="s">
        <v>111</v>
      </c>
      <c r="E448" s="116" t="s">
        <v>278</v>
      </c>
      <c r="F448" s="130"/>
      <c r="G448" s="146">
        <f>SUM(G449:G451)</f>
        <v>7000.499999999999</v>
      </c>
      <c r="H448" s="14"/>
      <c r="I448" s="14"/>
      <c r="J448"/>
    </row>
    <row r="449" spans="1:10" ht="42.75">
      <c r="A449" s="279" t="s">
        <v>453</v>
      </c>
      <c r="B449" s="263"/>
      <c r="C449" s="53" t="s">
        <v>113</v>
      </c>
      <c r="D449" s="116" t="s">
        <v>111</v>
      </c>
      <c r="E449" s="116" t="s">
        <v>278</v>
      </c>
      <c r="F449" s="131" t="s">
        <v>454</v>
      </c>
      <c r="G449" s="146">
        <v>6337.7</v>
      </c>
      <c r="H449" s="14">
        <f>SUM(H450:H454)</f>
        <v>0</v>
      </c>
      <c r="I449" s="14" t="e">
        <f>SUM(H449/G455*100)</f>
        <v>#DIV/0!</v>
      </c>
      <c r="J449">
        <f>SUM('ведомствен.2014'!G763)</f>
        <v>6337.7</v>
      </c>
    </row>
    <row r="450" spans="1:10" ht="15">
      <c r="A450" s="279" t="s">
        <v>458</v>
      </c>
      <c r="B450" s="263"/>
      <c r="C450" s="53" t="s">
        <v>113</v>
      </c>
      <c r="D450" s="116" t="s">
        <v>111</v>
      </c>
      <c r="E450" s="116" t="s">
        <v>278</v>
      </c>
      <c r="F450" s="131" t="s">
        <v>109</v>
      </c>
      <c r="G450" s="146">
        <v>658.4</v>
      </c>
      <c r="H450" s="14"/>
      <c r="I450" s="14" t="e">
        <f>SUM(H450/G456*100)</f>
        <v>#DIV/0!</v>
      </c>
      <c r="J450">
        <f>SUM('ведомствен.2014'!G764)</f>
        <v>658.4</v>
      </c>
    </row>
    <row r="451" spans="1:10" ht="15">
      <c r="A451" s="279" t="s">
        <v>459</v>
      </c>
      <c r="B451" s="263"/>
      <c r="C451" s="53" t="s">
        <v>113</v>
      </c>
      <c r="D451" s="116" t="s">
        <v>111</v>
      </c>
      <c r="E451" s="116" t="s">
        <v>278</v>
      </c>
      <c r="F451" s="131" t="s">
        <v>163</v>
      </c>
      <c r="G451" s="146">
        <v>4.4</v>
      </c>
      <c r="H451" s="18"/>
      <c r="I451" s="14" t="e">
        <f>SUM(H451/G457*100)</f>
        <v>#DIV/0!</v>
      </c>
      <c r="J451">
        <f>SUM('ведомствен.2014'!G765)</f>
        <v>4.4</v>
      </c>
    </row>
    <row r="452" spans="1:10" ht="15">
      <c r="A452" s="285" t="s">
        <v>117</v>
      </c>
      <c r="B452" s="248"/>
      <c r="C452" s="53" t="s">
        <v>113</v>
      </c>
      <c r="D452" s="116" t="s">
        <v>111</v>
      </c>
      <c r="E452" s="116" t="s">
        <v>118</v>
      </c>
      <c r="F452" s="130"/>
      <c r="G452" s="146">
        <f>SUM(G455)+G458+G453</f>
        <v>1200</v>
      </c>
      <c r="H452" s="18"/>
      <c r="I452" s="14"/>
      <c r="J452"/>
    </row>
    <row r="453" spans="1:9" ht="42.75" hidden="1">
      <c r="A453" s="279" t="s">
        <v>194</v>
      </c>
      <c r="B453" s="248"/>
      <c r="C453" s="53" t="s">
        <v>113</v>
      </c>
      <c r="D453" s="116" t="s">
        <v>111</v>
      </c>
      <c r="E453" s="116" t="s">
        <v>283</v>
      </c>
      <c r="F453" s="130"/>
      <c r="G453" s="146">
        <f>SUM(G454)</f>
        <v>0</v>
      </c>
      <c r="H453" s="14"/>
      <c r="I453" s="14">
        <f aca="true" t="shared" si="9" ref="I453:I468">SUM(H453/G459*100)</f>
        <v>0</v>
      </c>
    </row>
    <row r="454" spans="1:9" ht="15" hidden="1">
      <c r="A454" s="285" t="s">
        <v>47</v>
      </c>
      <c r="B454" s="248"/>
      <c r="C454" s="53" t="s">
        <v>113</v>
      </c>
      <c r="D454" s="116" t="s">
        <v>111</v>
      </c>
      <c r="E454" s="116" t="s">
        <v>283</v>
      </c>
      <c r="F454" s="130" t="s">
        <v>233</v>
      </c>
      <c r="G454" s="146"/>
      <c r="H454" s="18"/>
      <c r="I454" s="14">
        <f t="shared" si="9"/>
        <v>0</v>
      </c>
    </row>
    <row r="455" spans="1:9" s="26" customFormat="1" ht="28.5" hidden="1">
      <c r="A455" s="279" t="s">
        <v>442</v>
      </c>
      <c r="B455" s="248"/>
      <c r="C455" s="53" t="s">
        <v>113</v>
      </c>
      <c r="D455" s="116" t="s">
        <v>111</v>
      </c>
      <c r="E455" s="116" t="s">
        <v>295</v>
      </c>
      <c r="F455" s="130"/>
      <c r="G455" s="146">
        <f>SUM(G456:G457)</f>
        <v>0</v>
      </c>
      <c r="H455" s="18">
        <v>2421.6</v>
      </c>
      <c r="I455" s="14" t="e">
        <f t="shared" si="9"/>
        <v>#DIV/0!</v>
      </c>
    </row>
    <row r="456" spans="1:10" ht="57" hidden="1">
      <c r="A456" s="285" t="s">
        <v>85</v>
      </c>
      <c r="B456" s="248"/>
      <c r="C456" s="53" t="s">
        <v>113</v>
      </c>
      <c r="D456" s="116" t="s">
        <v>111</v>
      </c>
      <c r="E456" s="116" t="s">
        <v>295</v>
      </c>
      <c r="F456" s="130" t="s">
        <v>294</v>
      </c>
      <c r="G456" s="146"/>
      <c r="H456" s="14" t="e">
        <f>SUM(H457)+#REF!</f>
        <v>#REF!</v>
      </c>
      <c r="I456" s="14" t="e">
        <f t="shared" si="9"/>
        <v>#REF!</v>
      </c>
      <c r="J456"/>
    </row>
    <row r="457" spans="1:10" ht="28.5" hidden="1">
      <c r="A457" s="279" t="s">
        <v>146</v>
      </c>
      <c r="B457" s="248"/>
      <c r="C457" s="53" t="s">
        <v>113</v>
      </c>
      <c r="D457" s="116" t="s">
        <v>111</v>
      </c>
      <c r="E457" s="116" t="s">
        <v>295</v>
      </c>
      <c r="F457" s="130" t="s">
        <v>72</v>
      </c>
      <c r="G457" s="146"/>
      <c r="H457" s="14" t="e">
        <f>SUM(H458)</f>
        <v>#REF!</v>
      </c>
      <c r="I457" s="14" t="e">
        <f t="shared" si="9"/>
        <v>#REF!</v>
      </c>
      <c r="J457"/>
    </row>
    <row r="458" spans="1:10" ht="15">
      <c r="A458" s="279" t="s">
        <v>474</v>
      </c>
      <c r="B458" s="248"/>
      <c r="C458" s="53" t="s">
        <v>113</v>
      </c>
      <c r="D458" s="116" t="s">
        <v>111</v>
      </c>
      <c r="E458" s="116" t="s">
        <v>296</v>
      </c>
      <c r="F458" s="130"/>
      <c r="G458" s="146">
        <f>SUM(G459:G461)</f>
        <v>1200</v>
      </c>
      <c r="H458" s="14" t="e">
        <f>SUM(#REF!)</f>
        <v>#REF!</v>
      </c>
      <c r="I458" s="14" t="e">
        <f t="shared" si="9"/>
        <v>#REF!</v>
      </c>
      <c r="J458"/>
    </row>
    <row r="459" spans="1:11" s="13" customFormat="1" ht="42.75">
      <c r="A459" s="279" t="s">
        <v>453</v>
      </c>
      <c r="B459" s="248"/>
      <c r="C459" s="53" t="s">
        <v>113</v>
      </c>
      <c r="D459" s="116" t="s">
        <v>111</v>
      </c>
      <c r="E459" s="116" t="s">
        <v>296</v>
      </c>
      <c r="F459" s="130" t="s">
        <v>454</v>
      </c>
      <c r="G459" s="146">
        <v>900</v>
      </c>
      <c r="H459" s="17" t="e">
        <f>SUM(H460+#REF!+H508+H513+#REF!+#REF!)</f>
        <v>#REF!</v>
      </c>
      <c r="I459" s="17" t="e">
        <f t="shared" si="9"/>
        <v>#REF!</v>
      </c>
      <c r="J459">
        <f>SUM('ведомствен.2014'!G773)</f>
        <v>900</v>
      </c>
      <c r="K459" s="13">
        <f>SUM(J460:J513)</f>
        <v>39318.299999999996</v>
      </c>
    </row>
    <row r="460" spans="1:10" ht="15">
      <c r="A460" s="279" t="s">
        <v>458</v>
      </c>
      <c r="B460" s="248"/>
      <c r="C460" s="53" t="s">
        <v>113</v>
      </c>
      <c r="D460" s="116" t="s">
        <v>111</v>
      </c>
      <c r="E460" s="116" t="s">
        <v>296</v>
      </c>
      <c r="F460" s="130" t="s">
        <v>109</v>
      </c>
      <c r="G460" s="146">
        <v>300</v>
      </c>
      <c r="H460" s="14">
        <f>SUM(H465+H467)</f>
        <v>49456.8</v>
      </c>
      <c r="I460" s="14">
        <f t="shared" si="9"/>
        <v>772.291884632802</v>
      </c>
      <c r="J460">
        <f>SUM('ведомствен.2014'!G774)</f>
        <v>300</v>
      </c>
    </row>
    <row r="461" spans="1:10" ht="15" hidden="1">
      <c r="A461" s="279" t="s">
        <v>459</v>
      </c>
      <c r="B461" s="248"/>
      <c r="C461" s="53" t="s">
        <v>113</v>
      </c>
      <c r="D461" s="116" t="s">
        <v>111</v>
      </c>
      <c r="E461" s="116" t="s">
        <v>296</v>
      </c>
      <c r="F461" s="130" t="s">
        <v>163</v>
      </c>
      <c r="G461" s="146"/>
      <c r="H461" s="14">
        <f>SUM(H462)</f>
        <v>0</v>
      </c>
      <c r="I461" s="14">
        <f t="shared" si="9"/>
        <v>0</v>
      </c>
      <c r="J461"/>
    </row>
    <row r="462" spans="1:10" ht="28.5" hidden="1">
      <c r="A462" s="279" t="s">
        <v>146</v>
      </c>
      <c r="B462" s="248"/>
      <c r="C462" s="53" t="s">
        <v>113</v>
      </c>
      <c r="D462" s="116" t="s">
        <v>111</v>
      </c>
      <c r="E462" s="116" t="s">
        <v>296</v>
      </c>
      <c r="F462" s="130" t="s">
        <v>72</v>
      </c>
      <c r="G462" s="146"/>
      <c r="H462" s="14">
        <f>SUM(H463)</f>
        <v>0</v>
      </c>
      <c r="I462" s="14">
        <f t="shared" si="9"/>
        <v>0</v>
      </c>
      <c r="J462"/>
    </row>
    <row r="463" spans="1:10" ht="42.75" hidden="1">
      <c r="A463" s="279" t="s">
        <v>453</v>
      </c>
      <c r="B463" s="248"/>
      <c r="C463" s="53" t="s">
        <v>113</v>
      </c>
      <c r="D463" s="116" t="s">
        <v>111</v>
      </c>
      <c r="E463" s="116" t="s">
        <v>296</v>
      </c>
      <c r="F463" s="130" t="s">
        <v>454</v>
      </c>
      <c r="G463" s="146"/>
      <c r="H463" s="14"/>
      <c r="I463" s="14" t="e">
        <f t="shared" si="9"/>
        <v>#DIV/0!</v>
      </c>
      <c r="J463"/>
    </row>
    <row r="464" spans="1:10" ht="15" hidden="1">
      <c r="A464" s="279" t="s">
        <v>458</v>
      </c>
      <c r="B464" s="248"/>
      <c r="C464" s="53" t="s">
        <v>113</v>
      </c>
      <c r="D464" s="116" t="s">
        <v>111</v>
      </c>
      <c r="E464" s="116" t="s">
        <v>296</v>
      </c>
      <c r="F464" s="130" t="s">
        <v>109</v>
      </c>
      <c r="G464" s="146"/>
      <c r="H464" s="14">
        <f>SUM(H465)</f>
        <v>146.8</v>
      </c>
      <c r="I464" s="14" t="e">
        <f t="shared" si="9"/>
        <v>#DIV/0!</v>
      </c>
      <c r="J464"/>
    </row>
    <row r="465" spans="1:12" ht="15">
      <c r="A465" s="283" t="s">
        <v>305</v>
      </c>
      <c r="B465" s="248"/>
      <c r="C465" s="136" t="s">
        <v>285</v>
      </c>
      <c r="D465" s="119"/>
      <c r="E465" s="119"/>
      <c r="F465" s="133"/>
      <c r="G465" s="148">
        <f>SUM(G466+G477+G498+G506)</f>
        <v>41884.100000000006</v>
      </c>
      <c r="H465" s="14">
        <f>SUM(H466)</f>
        <v>146.8</v>
      </c>
      <c r="I465" s="14" t="e">
        <f t="shared" si="9"/>
        <v>#DIV/0!</v>
      </c>
      <c r="J465"/>
      <c r="K465" s="36">
        <f>SUM(J470:J516)</f>
        <v>41884.1</v>
      </c>
      <c r="L465">
        <f>SUM('ведомствен.2014'!G778)</f>
        <v>41884.100000000006</v>
      </c>
    </row>
    <row r="466" spans="1:12" ht="15">
      <c r="A466" s="279" t="s">
        <v>164</v>
      </c>
      <c r="B466" s="244"/>
      <c r="C466" s="53" t="s">
        <v>285</v>
      </c>
      <c r="D466" s="116" t="s">
        <v>419</v>
      </c>
      <c r="E466" s="116"/>
      <c r="F466" s="130"/>
      <c r="G466" s="146">
        <f>SUM(G467)</f>
        <v>6403.9</v>
      </c>
      <c r="H466" s="14">
        <v>146.8</v>
      </c>
      <c r="I466" s="14" t="e">
        <f t="shared" si="9"/>
        <v>#DIV/0!</v>
      </c>
      <c r="J466"/>
      <c r="L466" s="36">
        <f>SUM(L465-K465)</f>
        <v>7.275957614183426E-12</v>
      </c>
    </row>
    <row r="467" spans="1:10" ht="15">
      <c r="A467" s="279" t="s">
        <v>188</v>
      </c>
      <c r="B467" s="244"/>
      <c r="C467" s="53" t="s">
        <v>285</v>
      </c>
      <c r="D467" s="116" t="s">
        <v>419</v>
      </c>
      <c r="E467" s="116" t="s">
        <v>168</v>
      </c>
      <c r="F467" s="130"/>
      <c r="G467" s="147">
        <f>SUM(G468)</f>
        <v>6403.9</v>
      </c>
      <c r="H467" s="14">
        <f>SUM(H468)</f>
        <v>49310</v>
      </c>
      <c r="I467" s="14" t="e">
        <f t="shared" si="9"/>
        <v>#DIV/0!</v>
      </c>
      <c r="J467"/>
    </row>
    <row r="468" spans="1:10" ht="28.5">
      <c r="A468" s="279" t="s">
        <v>84</v>
      </c>
      <c r="B468" s="248"/>
      <c r="C468" s="53" t="s">
        <v>285</v>
      </c>
      <c r="D468" s="116" t="s">
        <v>419</v>
      </c>
      <c r="E468" s="116" t="s">
        <v>73</v>
      </c>
      <c r="F468" s="130"/>
      <c r="G468" s="146">
        <f>SUM(G476)+G469</f>
        <v>6403.9</v>
      </c>
      <c r="H468" s="14">
        <f>SUM(H475:H477)</f>
        <v>49310</v>
      </c>
      <c r="I468" s="14" t="e">
        <f t="shared" si="9"/>
        <v>#DIV/0!</v>
      </c>
      <c r="J468"/>
    </row>
    <row r="469" spans="1:9" ht="28.5" hidden="1">
      <c r="A469" s="285" t="s">
        <v>146</v>
      </c>
      <c r="B469" s="248"/>
      <c r="C469" s="53" t="s">
        <v>285</v>
      </c>
      <c r="D469" s="116" t="s">
        <v>419</v>
      </c>
      <c r="E469" s="116" t="s">
        <v>130</v>
      </c>
      <c r="F469" s="130"/>
      <c r="G469" s="146">
        <f>SUM(G471+G473)</f>
        <v>0</v>
      </c>
      <c r="H469" s="14"/>
      <c r="I469" s="14"/>
    </row>
    <row r="470" spans="1:9" ht="28.5" hidden="1">
      <c r="A470" s="285" t="s">
        <v>132</v>
      </c>
      <c r="B470" s="248"/>
      <c r="C470" s="53" t="s">
        <v>285</v>
      </c>
      <c r="D470" s="116" t="s">
        <v>419</v>
      </c>
      <c r="E470" s="116" t="s">
        <v>130</v>
      </c>
      <c r="F470" s="130" t="s">
        <v>72</v>
      </c>
      <c r="G470" s="146"/>
      <c r="H470" s="14"/>
      <c r="I470" s="14"/>
    </row>
    <row r="471" spans="1:9" ht="28.5" hidden="1">
      <c r="A471" s="285" t="s">
        <v>375</v>
      </c>
      <c r="B471" s="248"/>
      <c r="C471" s="53" t="s">
        <v>285</v>
      </c>
      <c r="D471" s="116" t="s">
        <v>419</v>
      </c>
      <c r="E471" s="116" t="s">
        <v>131</v>
      </c>
      <c r="F471" s="130"/>
      <c r="G471" s="146">
        <f>SUM(G472)</f>
        <v>0</v>
      </c>
      <c r="H471" s="14"/>
      <c r="I471" s="14"/>
    </row>
    <row r="472" spans="1:9" ht="28.5" hidden="1">
      <c r="A472" s="285" t="s">
        <v>132</v>
      </c>
      <c r="B472" s="248"/>
      <c r="C472" s="53" t="s">
        <v>285</v>
      </c>
      <c r="D472" s="116" t="s">
        <v>419</v>
      </c>
      <c r="E472" s="116" t="s">
        <v>131</v>
      </c>
      <c r="F472" s="130" t="s">
        <v>72</v>
      </c>
      <c r="G472" s="146"/>
      <c r="H472" s="14"/>
      <c r="I472" s="14"/>
    </row>
    <row r="473" spans="1:10" ht="28.5" hidden="1">
      <c r="A473" s="279" t="s">
        <v>201</v>
      </c>
      <c r="B473" s="248"/>
      <c r="C473" s="53" t="s">
        <v>285</v>
      </c>
      <c r="D473" s="116" t="s">
        <v>419</v>
      </c>
      <c r="E473" s="116" t="s">
        <v>204</v>
      </c>
      <c r="F473" s="130"/>
      <c r="G473" s="146">
        <f>SUM(G474)</f>
        <v>0</v>
      </c>
      <c r="H473" s="14"/>
      <c r="I473" s="14"/>
      <c r="J473"/>
    </row>
    <row r="474" spans="1:10" ht="28.5" hidden="1">
      <c r="A474" s="279" t="s">
        <v>146</v>
      </c>
      <c r="B474" s="248"/>
      <c r="C474" s="53" t="s">
        <v>285</v>
      </c>
      <c r="D474" s="116" t="s">
        <v>419</v>
      </c>
      <c r="E474" s="116" t="s">
        <v>204</v>
      </c>
      <c r="F474" s="130" t="s">
        <v>72</v>
      </c>
      <c r="G474" s="146"/>
      <c r="H474" s="14"/>
      <c r="I474" s="14"/>
      <c r="J474"/>
    </row>
    <row r="475" spans="1:9" ht="28.5">
      <c r="A475" s="279" t="s">
        <v>287</v>
      </c>
      <c r="B475" s="248"/>
      <c r="C475" s="53" t="s">
        <v>285</v>
      </c>
      <c r="D475" s="116" t="s">
        <v>419</v>
      </c>
      <c r="E475" s="116" t="s">
        <v>286</v>
      </c>
      <c r="F475" s="130"/>
      <c r="G475" s="146">
        <f>SUM(G476)</f>
        <v>6403.9</v>
      </c>
      <c r="H475" s="14">
        <v>49310</v>
      </c>
      <c r="I475" s="14" t="e">
        <f>SUM(H475/G481*100)</f>
        <v>#DIV/0!</v>
      </c>
    </row>
    <row r="476" spans="1:10" ht="28.5">
      <c r="A476" s="285" t="s">
        <v>475</v>
      </c>
      <c r="B476" s="263"/>
      <c r="C476" s="53" t="s">
        <v>285</v>
      </c>
      <c r="D476" s="116" t="s">
        <v>419</v>
      </c>
      <c r="E476" s="116" t="s">
        <v>286</v>
      </c>
      <c r="F476" s="131" t="s">
        <v>471</v>
      </c>
      <c r="G476" s="146">
        <v>6403.9</v>
      </c>
      <c r="H476" s="14"/>
      <c r="I476" s="14" t="e">
        <f>SUM(H476/G482*100)</f>
        <v>#DIV/0!</v>
      </c>
      <c r="J476" s="36">
        <f>SUM('ведомствен.2014'!G789)</f>
        <v>6403.9</v>
      </c>
    </row>
    <row r="477" spans="1:10" ht="15">
      <c r="A477" s="279" t="s">
        <v>227</v>
      </c>
      <c r="B477" s="244"/>
      <c r="C477" s="53" t="s">
        <v>285</v>
      </c>
      <c r="D477" s="116" t="s">
        <v>421</v>
      </c>
      <c r="E477" s="116"/>
      <c r="F477" s="130"/>
      <c r="G477" s="146">
        <f>SUM(G478+G487)</f>
        <v>19210.5</v>
      </c>
      <c r="H477" s="14"/>
      <c r="I477" s="14" t="e">
        <f>SUM(H477/G483*100)</f>
        <v>#DIV/0!</v>
      </c>
      <c r="J477"/>
    </row>
    <row r="478" spans="1:10" ht="15">
      <c r="A478" s="279" t="s">
        <v>188</v>
      </c>
      <c r="B478" s="244"/>
      <c r="C478" s="53" t="s">
        <v>285</v>
      </c>
      <c r="D478" s="116" t="s">
        <v>421</v>
      </c>
      <c r="E478" s="116" t="s">
        <v>168</v>
      </c>
      <c r="F478" s="130"/>
      <c r="G478" s="146">
        <f>SUM(G479)</f>
        <v>7921.1</v>
      </c>
      <c r="H478" s="14">
        <f>SUM(H479)</f>
        <v>21823.6</v>
      </c>
      <c r="I478" s="14" t="e">
        <f>SUM(H478/G484*100)</f>
        <v>#DIV/0!</v>
      </c>
      <c r="J478"/>
    </row>
    <row r="479" spans="1:10" ht="28.5">
      <c r="A479" s="279" t="s">
        <v>84</v>
      </c>
      <c r="B479" s="248"/>
      <c r="C479" s="53" t="s">
        <v>285</v>
      </c>
      <c r="D479" s="116" t="s">
        <v>421</v>
      </c>
      <c r="E479" s="116" t="s">
        <v>73</v>
      </c>
      <c r="F479" s="130"/>
      <c r="G479" s="146">
        <f>SUM(G480+G485)</f>
        <v>7921.1</v>
      </c>
      <c r="H479" s="14">
        <f>SUM(H485:H487)</f>
        <v>21823.6</v>
      </c>
      <c r="I479" s="14">
        <f>SUM(H479/G485*100)</f>
        <v>275.5122394616909</v>
      </c>
      <c r="J479"/>
    </row>
    <row r="480" spans="1:10" ht="28.5" hidden="1">
      <c r="A480" s="285" t="s">
        <v>146</v>
      </c>
      <c r="B480" s="248"/>
      <c r="C480" s="53" t="s">
        <v>285</v>
      </c>
      <c r="D480" s="116" t="s">
        <v>421</v>
      </c>
      <c r="E480" s="116" t="s">
        <v>130</v>
      </c>
      <c r="F480" s="130"/>
      <c r="G480" s="146">
        <f>SUM(G483)+G481</f>
        <v>0</v>
      </c>
      <c r="H480" s="14"/>
      <c r="I480" s="14"/>
      <c r="J480"/>
    </row>
    <row r="481" spans="1:9" ht="28.5" hidden="1">
      <c r="A481" s="285" t="s">
        <v>375</v>
      </c>
      <c r="B481" s="248"/>
      <c r="C481" s="53" t="s">
        <v>285</v>
      </c>
      <c r="D481" s="116" t="s">
        <v>421</v>
      </c>
      <c r="E481" s="116" t="s">
        <v>131</v>
      </c>
      <c r="F481" s="130"/>
      <c r="G481" s="146">
        <f>SUM(G482)</f>
        <v>0</v>
      </c>
      <c r="H481" s="14"/>
      <c r="I481" s="14"/>
    </row>
    <row r="482" spans="1:9" ht="28.5" hidden="1">
      <c r="A482" s="285" t="s">
        <v>132</v>
      </c>
      <c r="B482" s="248"/>
      <c r="C482" s="53" t="s">
        <v>285</v>
      </c>
      <c r="D482" s="116" t="s">
        <v>421</v>
      </c>
      <c r="E482" s="116" t="s">
        <v>131</v>
      </c>
      <c r="F482" s="130" t="s">
        <v>72</v>
      </c>
      <c r="G482" s="146"/>
      <c r="H482" s="14"/>
      <c r="I482" s="14"/>
    </row>
    <row r="483" spans="1:9" ht="28.5" hidden="1">
      <c r="A483" s="279" t="s">
        <v>201</v>
      </c>
      <c r="B483" s="248"/>
      <c r="C483" s="53" t="s">
        <v>285</v>
      </c>
      <c r="D483" s="116" t="s">
        <v>421</v>
      </c>
      <c r="E483" s="116" t="s">
        <v>204</v>
      </c>
      <c r="F483" s="130"/>
      <c r="G483" s="146">
        <f>SUM(G484)</f>
        <v>0</v>
      </c>
      <c r="H483" s="14"/>
      <c r="I483" s="14"/>
    </row>
    <row r="484" spans="1:9" ht="28.5" hidden="1">
      <c r="A484" s="285" t="s">
        <v>132</v>
      </c>
      <c r="B484" s="248"/>
      <c r="C484" s="53" t="s">
        <v>285</v>
      </c>
      <c r="D484" s="116" t="s">
        <v>421</v>
      </c>
      <c r="E484" s="116" t="s">
        <v>204</v>
      </c>
      <c r="F484" s="130" t="s">
        <v>72</v>
      </c>
      <c r="G484" s="146"/>
      <c r="H484" s="14"/>
      <c r="I484" s="14"/>
    </row>
    <row r="485" spans="1:9" ht="28.5">
      <c r="A485" s="279" t="s">
        <v>287</v>
      </c>
      <c r="B485" s="248"/>
      <c r="C485" s="53" t="s">
        <v>285</v>
      </c>
      <c r="D485" s="116" t="s">
        <v>421</v>
      </c>
      <c r="E485" s="116" t="s">
        <v>286</v>
      </c>
      <c r="F485" s="130"/>
      <c r="G485" s="146">
        <f>SUM(G486)</f>
        <v>7921.1</v>
      </c>
      <c r="H485" s="14">
        <v>21823.6</v>
      </c>
      <c r="I485" s="14">
        <f>SUM(H485/G491*100)</f>
        <v>37369.17808219178</v>
      </c>
    </row>
    <row r="486" spans="1:10" ht="28.5">
      <c r="A486" s="285" t="s">
        <v>475</v>
      </c>
      <c r="B486" s="263"/>
      <c r="C486" s="53" t="s">
        <v>285</v>
      </c>
      <c r="D486" s="116" t="s">
        <v>421</v>
      </c>
      <c r="E486" s="116" t="s">
        <v>286</v>
      </c>
      <c r="F486" s="131" t="s">
        <v>471</v>
      </c>
      <c r="G486" s="146">
        <v>7921.1</v>
      </c>
      <c r="H486" s="14"/>
      <c r="I486" s="14" t="e">
        <f>SUM(H486/G492*100)</f>
        <v>#DIV/0!</v>
      </c>
      <c r="J486" s="36">
        <f>SUM('ведомствен.2014'!G799)</f>
        <v>7921.1</v>
      </c>
    </row>
    <row r="487" spans="1:10" ht="15">
      <c r="A487" s="279" t="s">
        <v>228</v>
      </c>
      <c r="B487" s="244"/>
      <c r="C487" s="53" t="s">
        <v>285</v>
      </c>
      <c r="D487" s="116" t="s">
        <v>421</v>
      </c>
      <c r="E487" s="116" t="s">
        <v>229</v>
      </c>
      <c r="F487" s="130"/>
      <c r="G487" s="146">
        <f>SUM(G488)</f>
        <v>11289.4</v>
      </c>
      <c r="H487" s="14"/>
      <c r="I487" s="14" t="e">
        <f>SUM(H487/G493*100)</f>
        <v>#DIV/0!</v>
      </c>
      <c r="J487"/>
    </row>
    <row r="488" spans="1:10" ht="28.5">
      <c r="A488" s="279" t="s">
        <v>84</v>
      </c>
      <c r="B488" s="244"/>
      <c r="C488" s="53" t="s">
        <v>285</v>
      </c>
      <c r="D488" s="116" t="s">
        <v>421</v>
      </c>
      <c r="E488" s="116" t="s">
        <v>288</v>
      </c>
      <c r="F488" s="130"/>
      <c r="G488" s="146">
        <f>SUM(G496:G496)+G489</f>
        <v>11289.4</v>
      </c>
      <c r="H488" s="14"/>
      <c r="I488" s="14"/>
      <c r="J488"/>
    </row>
    <row r="489" spans="1:10" ht="28.5">
      <c r="A489" s="285" t="s">
        <v>146</v>
      </c>
      <c r="B489" s="244"/>
      <c r="C489" s="53" t="s">
        <v>285</v>
      </c>
      <c r="D489" s="116" t="s">
        <v>421</v>
      </c>
      <c r="E489" s="116" t="s">
        <v>205</v>
      </c>
      <c r="F489" s="130"/>
      <c r="G489" s="146">
        <f>SUM(G490)+G492+G494</f>
        <v>100</v>
      </c>
      <c r="H489" s="14"/>
      <c r="I489" s="14"/>
      <c r="J489"/>
    </row>
    <row r="490" spans="1:10" ht="28.5">
      <c r="A490" s="285" t="s">
        <v>133</v>
      </c>
      <c r="B490" s="248"/>
      <c r="C490" s="53" t="s">
        <v>285</v>
      </c>
      <c r="D490" s="116" t="s">
        <v>421</v>
      </c>
      <c r="E490" s="116" t="s">
        <v>134</v>
      </c>
      <c r="F490" s="130"/>
      <c r="G490" s="146">
        <f>SUM(G491)</f>
        <v>58.4</v>
      </c>
      <c r="H490" s="14"/>
      <c r="I490" s="14"/>
      <c r="J490"/>
    </row>
    <row r="491" spans="1:10" ht="27.75" customHeight="1">
      <c r="A491" s="285" t="s">
        <v>475</v>
      </c>
      <c r="B491" s="263"/>
      <c r="C491" s="53" t="s">
        <v>285</v>
      </c>
      <c r="D491" s="116" t="s">
        <v>421</v>
      </c>
      <c r="E491" s="116" t="s">
        <v>134</v>
      </c>
      <c r="F491" s="131" t="s">
        <v>471</v>
      </c>
      <c r="G491" s="146">
        <v>58.4</v>
      </c>
      <c r="H491" s="14"/>
      <c r="I491" s="14"/>
      <c r="J491" s="36">
        <f>SUM('ведомствен.2014'!G804)</f>
        <v>58.4</v>
      </c>
    </row>
    <row r="492" spans="1:10" ht="28.5" hidden="1">
      <c r="A492" s="285" t="s">
        <v>375</v>
      </c>
      <c r="B492" s="248"/>
      <c r="C492" s="53" t="s">
        <v>285</v>
      </c>
      <c r="D492" s="116" t="s">
        <v>421</v>
      </c>
      <c r="E492" s="116" t="s">
        <v>443</v>
      </c>
      <c r="F492" s="130"/>
      <c r="G492" s="146">
        <f>SUM(G493)</f>
        <v>0</v>
      </c>
      <c r="H492" s="14"/>
      <c r="I492" s="14"/>
      <c r="J492"/>
    </row>
    <row r="493" spans="1:10" ht="28.5" hidden="1">
      <c r="A493" s="285" t="s">
        <v>132</v>
      </c>
      <c r="B493" s="248"/>
      <c r="C493" s="53" t="s">
        <v>285</v>
      </c>
      <c r="D493" s="116" t="s">
        <v>421</v>
      </c>
      <c r="E493" s="116" t="s">
        <v>443</v>
      </c>
      <c r="F493" s="130" t="s">
        <v>72</v>
      </c>
      <c r="G493" s="146"/>
      <c r="H493" s="14"/>
      <c r="I493" s="14"/>
      <c r="J493"/>
    </row>
    <row r="494" spans="1:10" ht="28.5">
      <c r="A494" s="294" t="s">
        <v>143</v>
      </c>
      <c r="B494" s="269"/>
      <c r="C494" s="53" t="s">
        <v>285</v>
      </c>
      <c r="D494" s="116" t="s">
        <v>421</v>
      </c>
      <c r="E494" s="116" t="s">
        <v>592</v>
      </c>
      <c r="F494" s="131"/>
      <c r="G494" s="146">
        <f>SUM(G495)</f>
        <v>41.6</v>
      </c>
      <c r="H494" s="14"/>
      <c r="I494" s="14"/>
      <c r="J494"/>
    </row>
    <row r="495" spans="1:10" ht="28.5">
      <c r="A495" s="285" t="s">
        <v>475</v>
      </c>
      <c r="B495" s="269"/>
      <c r="C495" s="53" t="s">
        <v>285</v>
      </c>
      <c r="D495" s="116" t="s">
        <v>421</v>
      </c>
      <c r="E495" s="116" t="s">
        <v>592</v>
      </c>
      <c r="F495" s="131" t="s">
        <v>471</v>
      </c>
      <c r="G495" s="146">
        <v>41.6</v>
      </c>
      <c r="H495" s="14"/>
      <c r="I495" s="14"/>
      <c r="J495">
        <f>SUM('ведомствен.2014'!G808)</f>
        <v>41.6</v>
      </c>
    </row>
    <row r="496" spans="1:9" ht="28.5">
      <c r="A496" s="285" t="s">
        <v>287</v>
      </c>
      <c r="B496" s="244"/>
      <c r="C496" s="53" t="s">
        <v>285</v>
      </c>
      <c r="D496" s="116" t="s">
        <v>421</v>
      </c>
      <c r="E496" s="116" t="s">
        <v>289</v>
      </c>
      <c r="F496" s="130"/>
      <c r="G496" s="146">
        <f>SUM(G497)</f>
        <v>11189.4</v>
      </c>
      <c r="H496" s="14">
        <v>7467.6</v>
      </c>
      <c r="I496" s="14">
        <f aca="true" t="shared" si="10" ref="I496:I507">SUM(H496/G502*100)</f>
        <v>1408.715336728919</v>
      </c>
    </row>
    <row r="497" spans="1:10" ht="28.5">
      <c r="A497" s="285" t="s">
        <v>475</v>
      </c>
      <c r="B497" s="263"/>
      <c r="C497" s="53" t="s">
        <v>285</v>
      </c>
      <c r="D497" s="116" t="s">
        <v>421</v>
      </c>
      <c r="E497" s="116" t="s">
        <v>289</v>
      </c>
      <c r="F497" s="131" t="s">
        <v>471</v>
      </c>
      <c r="G497" s="146">
        <v>11189.4</v>
      </c>
      <c r="H497" s="14"/>
      <c r="I497" s="14">
        <f t="shared" si="10"/>
        <v>0</v>
      </c>
      <c r="J497" s="36">
        <f>SUM('ведомствен.2014'!G810)</f>
        <v>11189.4</v>
      </c>
    </row>
    <row r="498" spans="1:9" ht="15">
      <c r="A498" s="285" t="s">
        <v>230</v>
      </c>
      <c r="B498" s="244"/>
      <c r="C498" s="53" t="s">
        <v>285</v>
      </c>
      <c r="D498" s="116" t="s">
        <v>111</v>
      </c>
      <c r="E498" s="116"/>
      <c r="F498" s="130"/>
      <c r="G498" s="146">
        <f>SUM(G501+G504)</f>
        <v>530.1</v>
      </c>
      <c r="H498" s="14" t="e">
        <f>SUM(#REF!)</f>
        <v>#REF!</v>
      </c>
      <c r="I498" s="14" t="e">
        <f t="shared" si="10"/>
        <v>#REF!</v>
      </c>
    </row>
    <row r="499" spans="1:10" ht="15" hidden="1">
      <c r="A499" s="285" t="s">
        <v>348</v>
      </c>
      <c r="B499" s="244"/>
      <c r="C499" s="53" t="s">
        <v>285</v>
      </c>
      <c r="D499" s="116" t="s">
        <v>111</v>
      </c>
      <c r="E499" s="116" t="s">
        <v>349</v>
      </c>
      <c r="F499" s="130"/>
      <c r="G499" s="146">
        <f>SUM(G500)</f>
        <v>0</v>
      </c>
      <c r="H499" s="14">
        <f>SUM(H500)</f>
        <v>1817.2</v>
      </c>
      <c r="I499" s="14" t="e">
        <f t="shared" si="10"/>
        <v>#DIV/0!</v>
      </c>
      <c r="J499"/>
    </row>
    <row r="500" spans="1:10" ht="15" hidden="1">
      <c r="A500" s="285" t="s">
        <v>232</v>
      </c>
      <c r="B500" s="244"/>
      <c r="C500" s="53" t="s">
        <v>285</v>
      </c>
      <c r="D500" s="116" t="s">
        <v>111</v>
      </c>
      <c r="E500" s="116" t="s">
        <v>349</v>
      </c>
      <c r="F500" s="130" t="s">
        <v>233</v>
      </c>
      <c r="G500" s="146"/>
      <c r="H500" s="14">
        <f>SUM(H501:H502)</f>
        <v>1817.2</v>
      </c>
      <c r="I500" s="14">
        <f t="shared" si="10"/>
        <v>11.545401407913795</v>
      </c>
      <c r="J500"/>
    </row>
    <row r="501" spans="1:9" ht="28.5">
      <c r="A501" s="279" t="s">
        <v>84</v>
      </c>
      <c r="B501" s="244"/>
      <c r="C501" s="53" t="s">
        <v>285</v>
      </c>
      <c r="D501" s="116" t="s">
        <v>111</v>
      </c>
      <c r="E501" s="116" t="s">
        <v>472</v>
      </c>
      <c r="F501" s="130"/>
      <c r="G501" s="146">
        <f>SUM(G502)</f>
        <v>530.1</v>
      </c>
      <c r="H501" s="14">
        <v>1817.2</v>
      </c>
      <c r="I501" s="14" t="e">
        <f t="shared" si="10"/>
        <v>#DIV/0!</v>
      </c>
    </row>
    <row r="502" spans="1:9" ht="28.5">
      <c r="A502" s="285" t="s">
        <v>287</v>
      </c>
      <c r="B502" s="244"/>
      <c r="C502" s="53" t="s">
        <v>285</v>
      </c>
      <c r="D502" s="116" t="s">
        <v>111</v>
      </c>
      <c r="E502" s="116" t="s">
        <v>473</v>
      </c>
      <c r="F502" s="130"/>
      <c r="G502" s="146">
        <f>SUM(G503)</f>
        <v>530.1</v>
      </c>
      <c r="H502" s="14"/>
      <c r="I502" s="14" t="e">
        <f t="shared" si="10"/>
        <v>#DIV/0!</v>
      </c>
    </row>
    <row r="503" spans="1:10" ht="28.5">
      <c r="A503" s="285" t="s">
        <v>475</v>
      </c>
      <c r="B503" s="263"/>
      <c r="C503" s="53" t="s">
        <v>285</v>
      </c>
      <c r="D503" s="116" t="s">
        <v>111</v>
      </c>
      <c r="E503" s="116" t="s">
        <v>473</v>
      </c>
      <c r="F503" s="131" t="s">
        <v>471</v>
      </c>
      <c r="G503" s="146">
        <v>530.1</v>
      </c>
      <c r="H503" s="14"/>
      <c r="I503" s="14">
        <f t="shared" si="10"/>
        <v>0</v>
      </c>
      <c r="J503" s="36">
        <f>SUM('ведомствен.2014'!G816)</f>
        <v>530.1</v>
      </c>
    </row>
    <row r="504" spans="1:10" ht="15" hidden="1">
      <c r="A504" s="281" t="s">
        <v>3</v>
      </c>
      <c r="B504" s="244"/>
      <c r="C504" s="53" t="s">
        <v>285</v>
      </c>
      <c r="D504" s="116" t="s">
        <v>419</v>
      </c>
      <c r="E504" s="116" t="s">
        <v>253</v>
      </c>
      <c r="F504" s="129"/>
      <c r="G504" s="146">
        <f>SUM(G505)</f>
        <v>0</v>
      </c>
      <c r="H504" s="14" t="e">
        <f>SUM(#REF!)</f>
        <v>#REF!</v>
      </c>
      <c r="I504" s="14" t="e">
        <f t="shared" si="10"/>
        <v>#REF!</v>
      </c>
      <c r="J504"/>
    </row>
    <row r="505" spans="1:10" ht="28.5" hidden="1">
      <c r="A505" s="279" t="s">
        <v>325</v>
      </c>
      <c r="B505" s="244"/>
      <c r="C505" s="53" t="s">
        <v>285</v>
      </c>
      <c r="D505" s="116" t="s">
        <v>419</v>
      </c>
      <c r="E505" s="116" t="s">
        <v>253</v>
      </c>
      <c r="F505" s="129" t="s">
        <v>254</v>
      </c>
      <c r="G505" s="146"/>
      <c r="H505" s="14">
        <f>SUM(H506)</f>
        <v>340</v>
      </c>
      <c r="I505" s="14">
        <f t="shared" si="10"/>
        <v>2.997522635704021</v>
      </c>
      <c r="J505"/>
    </row>
    <row r="506" spans="1:10" ht="15">
      <c r="A506" s="281" t="s">
        <v>226</v>
      </c>
      <c r="B506" s="245"/>
      <c r="C506" s="53" t="s">
        <v>285</v>
      </c>
      <c r="D506" s="116" t="s">
        <v>285</v>
      </c>
      <c r="E506" s="116"/>
      <c r="F506" s="130"/>
      <c r="G506" s="146">
        <f>SUM(G509)+G514</f>
        <v>15739.600000000002</v>
      </c>
      <c r="H506" s="14">
        <f>SUM(H507)</f>
        <v>340</v>
      </c>
      <c r="I506" s="14">
        <f t="shared" si="10"/>
        <v>22.91722836344028</v>
      </c>
      <c r="J506"/>
    </row>
    <row r="507" spans="1:9" ht="42.75" hidden="1">
      <c r="A507" s="281" t="s">
        <v>207</v>
      </c>
      <c r="B507" s="245"/>
      <c r="C507" s="53" t="s">
        <v>285</v>
      </c>
      <c r="D507" s="116" t="s">
        <v>285</v>
      </c>
      <c r="E507" s="116" t="s">
        <v>208</v>
      </c>
      <c r="F507" s="130"/>
      <c r="G507" s="146">
        <f>SUM(G508)</f>
        <v>0</v>
      </c>
      <c r="H507" s="14">
        <v>340</v>
      </c>
      <c r="I507" s="14">
        <f t="shared" si="10"/>
        <v>715.7894736842105</v>
      </c>
    </row>
    <row r="508" spans="1:10" ht="28.5" hidden="1">
      <c r="A508" s="285" t="s">
        <v>146</v>
      </c>
      <c r="B508" s="245"/>
      <c r="C508" s="53" t="s">
        <v>285</v>
      </c>
      <c r="D508" s="116" t="s">
        <v>285</v>
      </c>
      <c r="E508" s="116" t="s">
        <v>208</v>
      </c>
      <c r="F508" s="130" t="s">
        <v>72</v>
      </c>
      <c r="G508" s="146"/>
      <c r="H508" s="14">
        <f>SUM(H509)</f>
        <v>9494.7</v>
      </c>
      <c r="I508" s="14" t="e">
        <f>SUM(H508/#REF!*100)</f>
        <v>#REF!</v>
      </c>
      <c r="J508"/>
    </row>
    <row r="509" spans="1:10" ht="28.5">
      <c r="A509" s="281" t="s">
        <v>165</v>
      </c>
      <c r="B509" s="244"/>
      <c r="C509" s="53" t="s">
        <v>285</v>
      </c>
      <c r="D509" s="116" t="s">
        <v>285</v>
      </c>
      <c r="E509" s="116" t="s">
        <v>166</v>
      </c>
      <c r="F509" s="130"/>
      <c r="G509" s="146">
        <f>SUM(G510)</f>
        <v>12873.800000000001</v>
      </c>
      <c r="H509" s="14">
        <f>SUM(H510)</f>
        <v>9494.7</v>
      </c>
      <c r="I509" s="14" t="e">
        <f>SUM(H509/#REF!*100)</f>
        <v>#REF!</v>
      </c>
      <c r="J509"/>
    </row>
    <row r="510" spans="1:10" ht="28.5">
      <c r="A510" s="279" t="s">
        <v>46</v>
      </c>
      <c r="B510" s="244"/>
      <c r="C510" s="53" t="s">
        <v>285</v>
      </c>
      <c r="D510" s="116" t="s">
        <v>285</v>
      </c>
      <c r="E510" s="116" t="s">
        <v>167</v>
      </c>
      <c r="F510" s="130"/>
      <c r="G510" s="146">
        <f>SUM(G511:G513)</f>
        <v>12873.800000000001</v>
      </c>
      <c r="H510" s="14">
        <f>SUM(H511:H512)</f>
        <v>9494.7</v>
      </c>
      <c r="I510" s="14" t="e">
        <f>SUM(H510/#REF!*100)</f>
        <v>#REF!</v>
      </c>
      <c r="J510"/>
    </row>
    <row r="511" spans="1:10" ht="42.75">
      <c r="A511" s="279" t="s">
        <v>453</v>
      </c>
      <c r="B511" s="244"/>
      <c r="C511" s="53" t="s">
        <v>285</v>
      </c>
      <c r="D511" s="116" t="s">
        <v>285</v>
      </c>
      <c r="E511" s="116" t="s">
        <v>167</v>
      </c>
      <c r="F511" s="129" t="s">
        <v>454</v>
      </c>
      <c r="G511" s="146">
        <v>11342.7</v>
      </c>
      <c r="H511" s="14">
        <v>9494.7</v>
      </c>
      <c r="I511" s="14" t="e">
        <f>SUM(H511/#REF!*100)</f>
        <v>#REF!</v>
      </c>
      <c r="J511" s="36">
        <f>SUM('ведомствен.2014'!G824)</f>
        <v>11342.7</v>
      </c>
    </row>
    <row r="512" spans="1:10" ht="15">
      <c r="A512" s="279" t="s">
        <v>458</v>
      </c>
      <c r="B512" s="244"/>
      <c r="C512" s="53" t="s">
        <v>285</v>
      </c>
      <c r="D512" s="116" t="s">
        <v>285</v>
      </c>
      <c r="E512" s="116" t="s">
        <v>167</v>
      </c>
      <c r="F512" s="129" t="s">
        <v>109</v>
      </c>
      <c r="G512" s="147">
        <v>1483.6</v>
      </c>
      <c r="H512" s="14"/>
      <c r="I512" s="14" t="e">
        <f>SUM(H512/#REF!*100)</f>
        <v>#REF!</v>
      </c>
      <c r="J512" s="36">
        <f>SUM('ведомствен.2014'!G825)</f>
        <v>1483.6</v>
      </c>
    </row>
    <row r="513" spans="1:10" ht="15">
      <c r="A513" s="279" t="s">
        <v>459</v>
      </c>
      <c r="B513" s="244"/>
      <c r="C513" s="53" t="s">
        <v>285</v>
      </c>
      <c r="D513" s="116" t="s">
        <v>285</v>
      </c>
      <c r="E513" s="116" t="s">
        <v>167</v>
      </c>
      <c r="F513" s="130" t="s">
        <v>163</v>
      </c>
      <c r="G513" s="146">
        <v>47.5</v>
      </c>
      <c r="H513" s="14" t="e">
        <f>SUM(#REF!+#REF!+#REF!)</f>
        <v>#REF!</v>
      </c>
      <c r="I513" s="14" t="e">
        <f>SUM(H513/#REF!*100)</f>
        <v>#REF!</v>
      </c>
      <c r="J513" s="36">
        <f>SUM('ведомствен.2014'!G826)</f>
        <v>47.5</v>
      </c>
    </row>
    <row r="514" spans="1:9" ht="15">
      <c r="A514" s="285" t="s">
        <v>117</v>
      </c>
      <c r="B514" s="260"/>
      <c r="C514" s="53" t="s">
        <v>285</v>
      </c>
      <c r="D514" s="116" t="s">
        <v>285</v>
      </c>
      <c r="E514" s="116" t="s">
        <v>118</v>
      </c>
      <c r="F514" s="130"/>
      <c r="G514" s="146">
        <f>SUM(G515)</f>
        <v>2865.8</v>
      </c>
      <c r="H514" s="14"/>
      <c r="I514" s="14"/>
    </row>
    <row r="515" spans="1:9" ht="42.75">
      <c r="A515" s="279" t="s">
        <v>593</v>
      </c>
      <c r="B515" s="260"/>
      <c r="C515" s="53" t="s">
        <v>285</v>
      </c>
      <c r="D515" s="116" t="s">
        <v>285</v>
      </c>
      <c r="E515" s="116" t="s">
        <v>594</v>
      </c>
      <c r="F515" s="130"/>
      <c r="G515" s="146">
        <f>SUM(G516)</f>
        <v>2865.8</v>
      </c>
      <c r="H515" s="14"/>
      <c r="I515" s="14"/>
    </row>
    <row r="516" spans="1:10" ht="28.5">
      <c r="A516" s="299" t="s">
        <v>475</v>
      </c>
      <c r="B516" s="273"/>
      <c r="C516" s="238" t="s">
        <v>285</v>
      </c>
      <c r="D516" s="194" t="s">
        <v>285</v>
      </c>
      <c r="E516" s="191" t="s">
        <v>594</v>
      </c>
      <c r="F516" s="192" t="s">
        <v>471</v>
      </c>
      <c r="G516" s="193">
        <v>2865.8</v>
      </c>
      <c r="H516" s="14"/>
      <c r="I516" s="14"/>
      <c r="J516" s="36">
        <f>SUM('ведомствен.2014'!G829)</f>
        <v>2865.8</v>
      </c>
    </row>
    <row r="517" spans="1:12" s="16" customFormat="1" ht="15">
      <c r="A517" s="283" t="s">
        <v>174</v>
      </c>
      <c r="B517" s="248"/>
      <c r="C517" s="132" t="s">
        <v>5</v>
      </c>
      <c r="D517" s="118"/>
      <c r="E517" s="118"/>
      <c r="F517" s="135"/>
      <c r="G517" s="148">
        <f>SUM(G518+G522+G536+G613+G636)</f>
        <v>967788.3000000002</v>
      </c>
      <c r="H517" s="18">
        <f>SUM(H518)+H520</f>
        <v>0</v>
      </c>
      <c r="I517" s="14" t="e">
        <f aca="true" t="shared" si="11" ref="I517:I530">SUM(H517/G523*100)</f>
        <v>#DIV/0!</v>
      </c>
      <c r="K517" s="16">
        <f>SUM(J519:J662)</f>
        <v>967788.3</v>
      </c>
      <c r="L517" s="16">
        <f>SUM('ведомствен.2014'!G288+'ведомствен.2014'!G398+'ведомствен.2014'!G664)+'ведомствен.2014'!G347</f>
        <v>967788.3</v>
      </c>
    </row>
    <row r="518" spans="1:11" s="16" customFormat="1" ht="15">
      <c r="A518" s="279" t="s">
        <v>176</v>
      </c>
      <c r="B518" s="244"/>
      <c r="C518" s="45" t="s">
        <v>5</v>
      </c>
      <c r="D518" s="54" t="s">
        <v>419</v>
      </c>
      <c r="E518" s="54"/>
      <c r="F518" s="129"/>
      <c r="G518" s="146">
        <f>SUM(G519)</f>
        <v>4032.6</v>
      </c>
      <c r="H518" s="14">
        <f>SUM(H519)</f>
        <v>0</v>
      </c>
      <c r="I518" s="14" t="e">
        <f t="shared" si="11"/>
        <v>#DIV/0!</v>
      </c>
      <c r="K518" s="203">
        <f>SUM(G517-K517)</f>
        <v>1.1641532182693481E-10</v>
      </c>
    </row>
    <row r="519" spans="1:9" s="16" customFormat="1" ht="15">
      <c r="A519" s="279" t="s">
        <v>177</v>
      </c>
      <c r="B519" s="244"/>
      <c r="C519" s="45" t="s">
        <v>5</v>
      </c>
      <c r="D519" s="54" t="s">
        <v>419</v>
      </c>
      <c r="E519" s="54" t="s">
        <v>178</v>
      </c>
      <c r="F519" s="129"/>
      <c r="G519" s="146">
        <f>SUM(G520)</f>
        <v>4032.6</v>
      </c>
      <c r="H519" s="14"/>
      <c r="I519" s="14" t="e">
        <f t="shared" si="11"/>
        <v>#DIV/0!</v>
      </c>
    </row>
    <row r="520" spans="1:9" s="16" customFormat="1" ht="28.5">
      <c r="A520" s="279" t="s">
        <v>179</v>
      </c>
      <c r="B520" s="244"/>
      <c r="C520" s="45" t="s">
        <v>5</v>
      </c>
      <c r="D520" s="54" t="s">
        <v>419</v>
      </c>
      <c r="E520" s="54" t="s">
        <v>180</v>
      </c>
      <c r="F520" s="129"/>
      <c r="G520" s="146">
        <f>SUM(G521)</f>
        <v>4032.6</v>
      </c>
      <c r="H520" s="14">
        <f>SUM(H521)</f>
        <v>0</v>
      </c>
      <c r="I520" s="14" t="e">
        <f t="shared" si="11"/>
        <v>#DIV/0!</v>
      </c>
    </row>
    <row r="521" spans="1:10" s="16" customFormat="1" ht="15">
      <c r="A521" s="279" t="s">
        <v>463</v>
      </c>
      <c r="B521" s="244"/>
      <c r="C521" s="45" t="s">
        <v>5</v>
      </c>
      <c r="D521" s="54" t="s">
        <v>419</v>
      </c>
      <c r="E521" s="54" t="s">
        <v>180</v>
      </c>
      <c r="F521" s="129" t="s">
        <v>464</v>
      </c>
      <c r="G521" s="146">
        <v>4032.6</v>
      </c>
      <c r="H521" s="14"/>
      <c r="I521" s="14" t="e">
        <f t="shared" si="11"/>
        <v>#DIV/0!</v>
      </c>
      <c r="J521" s="16">
        <f>SUM('ведомствен.2014'!G402)</f>
        <v>4032.6</v>
      </c>
    </row>
    <row r="522" spans="1:9" s="16" customFormat="1" ht="15">
      <c r="A522" s="279" t="s">
        <v>181</v>
      </c>
      <c r="B522" s="244"/>
      <c r="C522" s="53" t="s">
        <v>5</v>
      </c>
      <c r="D522" s="116" t="s">
        <v>421</v>
      </c>
      <c r="E522" s="54"/>
      <c r="F522" s="129"/>
      <c r="G522" s="146">
        <f>SUM(G523+G528)</f>
        <v>49682.90000000001</v>
      </c>
      <c r="H522" s="14">
        <f>SUM(H523+H525)</f>
        <v>16618.3</v>
      </c>
      <c r="I522" s="14">
        <f t="shared" si="11"/>
        <v>33.44873185743988</v>
      </c>
    </row>
    <row r="523" spans="1:9" s="16" customFormat="1" ht="15" hidden="1">
      <c r="A523" s="300" t="s">
        <v>63</v>
      </c>
      <c r="B523" s="244"/>
      <c r="C523" s="53" t="s">
        <v>5</v>
      </c>
      <c r="D523" s="116" t="s">
        <v>421</v>
      </c>
      <c r="E523" s="116" t="s">
        <v>64</v>
      </c>
      <c r="F523" s="130"/>
      <c r="G523" s="146"/>
      <c r="H523" s="14">
        <f>SUM(H524)</f>
        <v>0</v>
      </c>
      <c r="I523" s="14">
        <f t="shared" si="11"/>
        <v>0</v>
      </c>
    </row>
    <row r="524" spans="1:9" s="16" customFormat="1" ht="28.5" hidden="1">
      <c r="A524" s="300" t="s">
        <v>13</v>
      </c>
      <c r="B524" s="244"/>
      <c r="C524" s="53" t="s">
        <v>5</v>
      </c>
      <c r="D524" s="116" t="s">
        <v>421</v>
      </c>
      <c r="E524" s="116" t="s">
        <v>14</v>
      </c>
      <c r="F524" s="130"/>
      <c r="G524" s="146">
        <f>SUM(G525+G526)</f>
        <v>0</v>
      </c>
      <c r="H524" s="14"/>
      <c r="I524" s="14">
        <f t="shared" si="11"/>
        <v>0</v>
      </c>
    </row>
    <row r="525" spans="1:9" s="16" customFormat="1" ht="15" hidden="1">
      <c r="A525" s="280" t="s">
        <v>232</v>
      </c>
      <c r="B525" s="244"/>
      <c r="C525" s="53" t="s">
        <v>5</v>
      </c>
      <c r="D525" s="116" t="s">
        <v>421</v>
      </c>
      <c r="E525" s="116" t="s">
        <v>14</v>
      </c>
      <c r="F525" s="130" t="s">
        <v>233</v>
      </c>
      <c r="G525" s="146"/>
      <c r="H525" s="14">
        <f>SUM(H526)</f>
        <v>16618.3</v>
      </c>
      <c r="I525" s="14">
        <f t="shared" si="11"/>
        <v>1258.0090840272521</v>
      </c>
    </row>
    <row r="526" spans="1:10" s="16" customFormat="1" ht="28.5" hidden="1">
      <c r="A526" s="300" t="s">
        <v>15</v>
      </c>
      <c r="B526" s="244"/>
      <c r="C526" s="53" t="s">
        <v>5</v>
      </c>
      <c r="D526" s="116" t="s">
        <v>421</v>
      </c>
      <c r="E526" s="116" t="s">
        <v>16</v>
      </c>
      <c r="F526" s="130"/>
      <c r="G526" s="146">
        <f>SUM(G527)</f>
        <v>0</v>
      </c>
      <c r="H526" s="14">
        <v>16618.3</v>
      </c>
      <c r="I526" s="14">
        <f t="shared" si="11"/>
        <v>34.744439171149544</v>
      </c>
      <c r="J526" s="38"/>
    </row>
    <row r="527" spans="1:9" s="16" customFormat="1" ht="15" hidden="1">
      <c r="A527" s="280" t="s">
        <v>232</v>
      </c>
      <c r="B527" s="244"/>
      <c r="C527" s="53" t="s">
        <v>5</v>
      </c>
      <c r="D527" s="116" t="s">
        <v>421</v>
      </c>
      <c r="E527" s="116" t="s">
        <v>16</v>
      </c>
      <c r="F527" s="130" t="s">
        <v>233</v>
      </c>
      <c r="G527" s="146"/>
      <c r="H527" s="18" t="e">
        <f>SUM(H537+#REF!+#REF!+#REF!+H528)</f>
        <v>#REF!</v>
      </c>
      <c r="I527" s="14" t="e">
        <f t="shared" si="11"/>
        <v>#REF!</v>
      </c>
    </row>
    <row r="528" spans="1:9" s="16" customFormat="1" ht="15">
      <c r="A528" s="300" t="s">
        <v>63</v>
      </c>
      <c r="B528" s="244"/>
      <c r="C528" s="53" t="s">
        <v>5</v>
      </c>
      <c r="D528" s="116" t="s">
        <v>421</v>
      </c>
      <c r="E528" s="116" t="s">
        <v>17</v>
      </c>
      <c r="F528" s="130"/>
      <c r="G528" s="146">
        <f>SUM(G529+G532)</f>
        <v>49682.90000000001</v>
      </c>
      <c r="H528" s="14">
        <f>SUM(H530)</f>
        <v>200</v>
      </c>
      <c r="I528" s="14">
        <f t="shared" si="11"/>
        <v>2.2838350157584615</v>
      </c>
    </row>
    <row r="529" spans="1:9" s="16" customFormat="1" ht="28.5">
      <c r="A529" s="280" t="s">
        <v>46</v>
      </c>
      <c r="B529" s="244"/>
      <c r="C529" s="53" t="s">
        <v>5</v>
      </c>
      <c r="D529" s="116" t="s">
        <v>421</v>
      </c>
      <c r="E529" s="116" t="s">
        <v>18</v>
      </c>
      <c r="F529" s="130"/>
      <c r="G529" s="146">
        <f>SUM(G530:G531)</f>
        <v>1852.8</v>
      </c>
      <c r="H529" s="14">
        <f>SUM(H530)</f>
        <v>200</v>
      </c>
      <c r="I529" s="14">
        <f t="shared" si="11"/>
        <v>51.813471502590666</v>
      </c>
    </row>
    <row r="530" spans="1:10" s="16" customFormat="1" ht="42.75">
      <c r="A530" s="279" t="s">
        <v>453</v>
      </c>
      <c r="B530" s="244"/>
      <c r="C530" s="53" t="s">
        <v>5</v>
      </c>
      <c r="D530" s="116" t="s">
        <v>421</v>
      </c>
      <c r="E530" s="116" t="s">
        <v>18</v>
      </c>
      <c r="F530" s="129" t="s">
        <v>454</v>
      </c>
      <c r="G530" s="146">
        <v>531.8</v>
      </c>
      <c r="H530" s="14">
        <v>200</v>
      </c>
      <c r="I530" s="14">
        <f t="shared" si="11"/>
        <v>0.025659599243247094</v>
      </c>
      <c r="J530" s="16">
        <f>SUM('ведомствен.2014'!G411)</f>
        <v>531.8</v>
      </c>
    </row>
    <row r="531" spans="1:10" s="16" customFormat="1" ht="15">
      <c r="A531" s="279" t="s">
        <v>458</v>
      </c>
      <c r="B531" s="244"/>
      <c r="C531" s="53" t="s">
        <v>5</v>
      </c>
      <c r="D531" s="116" t="s">
        <v>421</v>
      </c>
      <c r="E531" s="116" t="s">
        <v>18</v>
      </c>
      <c r="F531" s="129" t="s">
        <v>109</v>
      </c>
      <c r="G531" s="146">
        <v>1321</v>
      </c>
      <c r="H531" s="14"/>
      <c r="I531" s="14"/>
      <c r="J531" s="16">
        <f>SUM('ведомствен.2014'!G412)</f>
        <v>1321</v>
      </c>
    </row>
    <row r="532" spans="1:10" ht="28.5">
      <c r="A532" s="280" t="s">
        <v>19</v>
      </c>
      <c r="B532" s="244"/>
      <c r="C532" s="53" t="s">
        <v>5</v>
      </c>
      <c r="D532" s="116" t="s">
        <v>421</v>
      </c>
      <c r="E532" s="116" t="s">
        <v>20</v>
      </c>
      <c r="F532" s="130"/>
      <c r="G532" s="146">
        <f>SUM(G533:G535)</f>
        <v>47830.100000000006</v>
      </c>
      <c r="H532" s="14">
        <f>SUM(H535)</f>
        <v>0</v>
      </c>
      <c r="I532" s="14" t="e">
        <f>SUM(H532/G538*100)</f>
        <v>#DIV/0!</v>
      </c>
      <c r="J532"/>
    </row>
    <row r="533" spans="1:10" ht="42.75">
      <c r="A533" s="279" t="s">
        <v>453</v>
      </c>
      <c r="B533" s="244"/>
      <c r="C533" s="53" t="s">
        <v>5</v>
      </c>
      <c r="D533" s="116" t="s">
        <v>421</v>
      </c>
      <c r="E533" s="116" t="s">
        <v>20</v>
      </c>
      <c r="F533" s="129" t="s">
        <v>454</v>
      </c>
      <c r="G533" s="146">
        <v>38686.9</v>
      </c>
      <c r="H533" s="14"/>
      <c r="I533" s="14"/>
      <c r="J533" s="16">
        <f>SUM('ведомствен.2014'!G414)</f>
        <v>38686.9</v>
      </c>
    </row>
    <row r="534" spans="1:10" ht="15">
      <c r="A534" s="279" t="s">
        <v>458</v>
      </c>
      <c r="B534" s="244"/>
      <c r="C534" s="53" t="s">
        <v>5</v>
      </c>
      <c r="D534" s="116" t="s">
        <v>421</v>
      </c>
      <c r="E534" s="116" t="s">
        <v>20</v>
      </c>
      <c r="F534" s="129" t="s">
        <v>109</v>
      </c>
      <c r="G534" s="146">
        <v>8757.2</v>
      </c>
      <c r="H534" s="14"/>
      <c r="I534" s="14"/>
      <c r="J534" s="16">
        <f>SUM('ведомствен.2014'!G415)</f>
        <v>8757.2</v>
      </c>
    </row>
    <row r="535" spans="1:10" ht="15">
      <c r="A535" s="279" t="s">
        <v>459</v>
      </c>
      <c r="B535" s="244"/>
      <c r="C535" s="53" t="s">
        <v>5</v>
      </c>
      <c r="D535" s="116" t="s">
        <v>421</v>
      </c>
      <c r="E535" s="116" t="s">
        <v>20</v>
      </c>
      <c r="F535" s="129" t="s">
        <v>163</v>
      </c>
      <c r="G535" s="146">
        <v>386</v>
      </c>
      <c r="H535" s="14">
        <f>SUM(H536)</f>
        <v>0</v>
      </c>
      <c r="I535" s="14">
        <f>SUM(H535/G541*100)</f>
        <v>0</v>
      </c>
      <c r="J535" s="16">
        <f>SUM('ведомствен.2014'!G416)</f>
        <v>386</v>
      </c>
    </row>
    <row r="536" spans="1:10" ht="15">
      <c r="A536" s="279" t="s">
        <v>21</v>
      </c>
      <c r="B536" s="244"/>
      <c r="C536" s="45" t="s">
        <v>5</v>
      </c>
      <c r="D536" s="54" t="s">
        <v>95</v>
      </c>
      <c r="E536" s="54"/>
      <c r="F536" s="129"/>
      <c r="G536" s="146">
        <f>SUM(G540+G599+G607+G603)</f>
        <v>779435.4000000001</v>
      </c>
      <c r="H536" s="14"/>
      <c r="I536" s="14">
        <f>SUM(H536/G543*100)</f>
        <v>0</v>
      </c>
      <c r="J536"/>
    </row>
    <row r="537" spans="1:10" ht="15" hidden="1">
      <c r="A537" s="279" t="s">
        <v>368</v>
      </c>
      <c r="B537" s="244"/>
      <c r="C537" s="45" t="s">
        <v>5</v>
      </c>
      <c r="D537" s="54" t="s">
        <v>95</v>
      </c>
      <c r="E537" s="54" t="s">
        <v>370</v>
      </c>
      <c r="F537" s="129"/>
      <c r="G537" s="146">
        <f>SUM(G539)</f>
        <v>0</v>
      </c>
      <c r="H537" s="14" t="e">
        <f>SUM(H538+H540+H543+H560+H563+H593+H600+H613+H627+H630+H657)+#REF!+H569+H572+H583+H587+H596+H608+H559+H580+H575+H590+H550+H554+H546</f>
        <v>#REF!</v>
      </c>
      <c r="I537" s="14" t="e">
        <f>SUM(H537/G544*100)</f>
        <v>#REF!</v>
      </c>
      <c r="J537"/>
    </row>
    <row r="538" spans="1:10" ht="15" hidden="1">
      <c r="A538" s="279" t="s">
        <v>348</v>
      </c>
      <c r="B538" s="244"/>
      <c r="C538" s="45" t="s">
        <v>5</v>
      </c>
      <c r="D538" s="54" t="s">
        <v>95</v>
      </c>
      <c r="E538" s="54" t="s">
        <v>349</v>
      </c>
      <c r="F538" s="129"/>
      <c r="G538" s="146">
        <f>SUM(G539)</f>
        <v>0</v>
      </c>
      <c r="H538" s="14">
        <f>SUM(H539:H539)</f>
        <v>0</v>
      </c>
      <c r="I538" s="14">
        <f>SUM(H538/G546*100)</f>
        <v>0</v>
      </c>
      <c r="J538"/>
    </row>
    <row r="539" spans="1:10" ht="15" hidden="1">
      <c r="A539" s="279" t="s">
        <v>281</v>
      </c>
      <c r="B539" s="245"/>
      <c r="C539" s="45" t="s">
        <v>5</v>
      </c>
      <c r="D539" s="54" t="s">
        <v>95</v>
      </c>
      <c r="E539" s="54" t="s">
        <v>349</v>
      </c>
      <c r="F539" s="130" t="s">
        <v>282</v>
      </c>
      <c r="G539" s="146"/>
      <c r="H539" s="14"/>
      <c r="I539" s="14">
        <f>SUM(H539/G547*100)</f>
        <v>0</v>
      </c>
      <c r="J539"/>
    </row>
    <row r="540" spans="1:9" s="16" customFormat="1" ht="15">
      <c r="A540" s="279" t="s">
        <v>22</v>
      </c>
      <c r="B540" s="244"/>
      <c r="C540" s="45" t="s">
        <v>5</v>
      </c>
      <c r="D540" s="54" t="s">
        <v>95</v>
      </c>
      <c r="E540" s="54" t="s">
        <v>23</v>
      </c>
      <c r="F540" s="129"/>
      <c r="G540" s="146">
        <f>SUM(G541+G544+G547+G550+G553+G556+G597)</f>
        <v>775923.6000000001</v>
      </c>
      <c r="H540" s="14">
        <f>SUM(H541:H541)</f>
        <v>0</v>
      </c>
      <c r="I540" s="14">
        <f>SUM(H540/G549*100)</f>
        <v>0</v>
      </c>
    </row>
    <row r="541" spans="1:9" s="16" customFormat="1" ht="42.75">
      <c r="A541" s="279" t="s">
        <v>271</v>
      </c>
      <c r="B541" s="260"/>
      <c r="C541" s="53" t="s">
        <v>5</v>
      </c>
      <c r="D541" s="116" t="s">
        <v>95</v>
      </c>
      <c r="E541" s="116" t="s">
        <v>272</v>
      </c>
      <c r="F541" s="130"/>
      <c r="G541" s="146">
        <f>SUM(G542:G543)</f>
        <v>92012.1</v>
      </c>
      <c r="H541" s="14"/>
      <c r="I541" s="14">
        <f>SUM(H541/G550*100)</f>
        <v>0</v>
      </c>
    </row>
    <row r="542" spans="1:10" s="16" customFormat="1" ht="15">
      <c r="A542" s="279" t="s">
        <v>458</v>
      </c>
      <c r="B542" s="260"/>
      <c r="C542" s="53" t="s">
        <v>5</v>
      </c>
      <c r="D542" s="116" t="s">
        <v>95</v>
      </c>
      <c r="E542" s="116" t="s">
        <v>272</v>
      </c>
      <c r="F542" s="130" t="s">
        <v>109</v>
      </c>
      <c r="G542" s="146">
        <v>1398.6</v>
      </c>
      <c r="H542" s="14"/>
      <c r="I542" s="14"/>
      <c r="J542" s="16">
        <f>SUM('ведомствен.2014'!G423)</f>
        <v>1398.6</v>
      </c>
    </row>
    <row r="543" spans="1:10" s="16" customFormat="1" ht="15">
      <c r="A543" s="279" t="s">
        <v>463</v>
      </c>
      <c r="B543" s="260"/>
      <c r="C543" s="53" t="s">
        <v>5</v>
      </c>
      <c r="D543" s="116" t="s">
        <v>95</v>
      </c>
      <c r="E543" s="116" t="s">
        <v>272</v>
      </c>
      <c r="F543" s="130" t="s">
        <v>464</v>
      </c>
      <c r="G543" s="146">
        <f>92012.1-1398.6</f>
        <v>90613.5</v>
      </c>
      <c r="H543" s="14">
        <f>SUM(H544)</f>
        <v>0</v>
      </c>
      <c r="I543" s="14">
        <f>SUM(H543/G552*100)</f>
        <v>0</v>
      </c>
      <c r="J543" s="16">
        <f>SUM('ведомствен.2014'!G424)</f>
        <v>90613.5</v>
      </c>
    </row>
    <row r="544" spans="1:9" s="16" customFormat="1" ht="28.5">
      <c r="A544" s="279" t="s">
        <v>270</v>
      </c>
      <c r="B544" s="260"/>
      <c r="C544" s="53" t="s">
        <v>5</v>
      </c>
      <c r="D544" s="116" t="s">
        <v>95</v>
      </c>
      <c r="E544" s="116" t="s">
        <v>529</v>
      </c>
      <c r="F544" s="130"/>
      <c r="G544" s="146">
        <f>SUM(G545:G546)</f>
        <v>158497.6</v>
      </c>
      <c r="H544" s="14"/>
      <c r="I544" s="14">
        <f>SUM(H544/G553*100)</f>
        <v>0</v>
      </c>
    </row>
    <row r="545" spans="1:10" s="16" customFormat="1" ht="15">
      <c r="A545" s="279" t="s">
        <v>458</v>
      </c>
      <c r="B545" s="260"/>
      <c r="C545" s="53" t="s">
        <v>5</v>
      </c>
      <c r="D545" s="116" t="s">
        <v>95</v>
      </c>
      <c r="E545" s="116" t="s">
        <v>529</v>
      </c>
      <c r="F545" s="130" t="s">
        <v>109</v>
      </c>
      <c r="G545" s="146">
        <v>2139.7</v>
      </c>
      <c r="H545" s="14"/>
      <c r="I545" s="14"/>
      <c r="J545" s="16">
        <f>SUM('ведомствен.2014'!G426)</f>
        <v>2139.7</v>
      </c>
    </row>
    <row r="546" spans="1:10" s="16" customFormat="1" ht="15">
      <c r="A546" s="279" t="s">
        <v>463</v>
      </c>
      <c r="B546" s="274"/>
      <c r="C546" s="53" t="s">
        <v>5</v>
      </c>
      <c r="D546" s="116" t="s">
        <v>95</v>
      </c>
      <c r="E546" s="116" t="s">
        <v>529</v>
      </c>
      <c r="F546" s="130" t="s">
        <v>464</v>
      </c>
      <c r="G546" s="146">
        <v>156357.9</v>
      </c>
      <c r="H546" s="14">
        <f>SUM(H547)</f>
        <v>361.8</v>
      </c>
      <c r="I546" s="14">
        <f>SUM(H546/G554*100)</f>
        <v>17.258980107808995</v>
      </c>
      <c r="J546" s="16">
        <f>SUM('ведомствен.2014'!G427)</f>
        <v>156357.9</v>
      </c>
    </row>
    <row r="547" spans="1:9" s="16" customFormat="1" ht="42.75">
      <c r="A547" s="281" t="s">
        <v>269</v>
      </c>
      <c r="B547" s="260"/>
      <c r="C547" s="53" t="s">
        <v>5</v>
      </c>
      <c r="D547" s="116" t="s">
        <v>95</v>
      </c>
      <c r="E547" s="116" t="s">
        <v>530</v>
      </c>
      <c r="F547" s="130"/>
      <c r="G547" s="146">
        <f>SUM(G548:G549)</f>
        <v>77.10000000000001</v>
      </c>
      <c r="H547" s="14">
        <v>361.8</v>
      </c>
      <c r="I547" s="14">
        <f>SUM(H547/G555*100)</f>
        <v>20.1</v>
      </c>
    </row>
    <row r="548" spans="1:10" s="16" customFormat="1" ht="15">
      <c r="A548" s="279" t="s">
        <v>458</v>
      </c>
      <c r="B548" s="260"/>
      <c r="C548" s="53" t="s">
        <v>5</v>
      </c>
      <c r="D548" s="116" t="s">
        <v>95</v>
      </c>
      <c r="E548" s="116" t="s">
        <v>530</v>
      </c>
      <c r="F548" s="130" t="s">
        <v>109</v>
      </c>
      <c r="G548" s="146">
        <v>1.2</v>
      </c>
      <c r="H548" s="14"/>
      <c r="I548" s="14"/>
      <c r="J548" s="16">
        <f>SUM('ведомствен.2014'!G429)</f>
        <v>1.2</v>
      </c>
    </row>
    <row r="549" spans="1:10" s="16" customFormat="1" ht="15">
      <c r="A549" s="279" t="s">
        <v>463</v>
      </c>
      <c r="B549" s="260"/>
      <c r="C549" s="53" t="s">
        <v>5</v>
      </c>
      <c r="D549" s="116" t="s">
        <v>95</v>
      </c>
      <c r="E549" s="116" t="s">
        <v>530</v>
      </c>
      <c r="F549" s="130" t="s">
        <v>464</v>
      </c>
      <c r="G549" s="146">
        <v>75.9</v>
      </c>
      <c r="H549" s="14"/>
      <c r="I549" s="14">
        <f>SUM(H549/G556*100)</f>
        <v>0</v>
      </c>
      <c r="J549" s="16">
        <f>SUM('ведомствен.2014'!G430)</f>
        <v>75.9</v>
      </c>
    </row>
    <row r="550" spans="1:9" s="16" customFormat="1" ht="85.5">
      <c r="A550" s="301" t="s">
        <v>532</v>
      </c>
      <c r="B550" s="275"/>
      <c r="C550" s="141" t="s">
        <v>5</v>
      </c>
      <c r="D550" s="120" t="s">
        <v>95</v>
      </c>
      <c r="E550" s="120" t="s">
        <v>531</v>
      </c>
      <c r="F550" s="168"/>
      <c r="G550" s="154">
        <f>SUM(G551:G552)</f>
        <v>78774.5</v>
      </c>
      <c r="H550" s="14">
        <f>SUM(H552)</f>
        <v>634.3</v>
      </c>
      <c r="I550" s="14">
        <f>SUM(H550/G557*100)</f>
        <v>116.21473067057528</v>
      </c>
    </row>
    <row r="551" spans="1:10" s="16" customFormat="1" ht="15">
      <c r="A551" s="279" t="s">
        <v>458</v>
      </c>
      <c r="B551" s="260"/>
      <c r="C551" s="53" t="s">
        <v>5</v>
      </c>
      <c r="D551" s="116" t="s">
        <v>95</v>
      </c>
      <c r="E551" s="120" t="s">
        <v>531</v>
      </c>
      <c r="F551" s="130" t="s">
        <v>109</v>
      </c>
      <c r="G551" s="154">
        <v>1181.6</v>
      </c>
      <c r="H551" s="14"/>
      <c r="I551" s="14"/>
      <c r="J551" s="16">
        <f>SUM('ведомствен.2014'!G432)</f>
        <v>1181.6</v>
      </c>
    </row>
    <row r="552" spans="1:10" s="16" customFormat="1" ht="15">
      <c r="A552" s="285" t="s">
        <v>463</v>
      </c>
      <c r="B552" s="275"/>
      <c r="C552" s="141" t="s">
        <v>5</v>
      </c>
      <c r="D552" s="120" t="s">
        <v>95</v>
      </c>
      <c r="E552" s="120" t="s">
        <v>531</v>
      </c>
      <c r="F552" s="168" t="s">
        <v>464</v>
      </c>
      <c r="G552" s="154">
        <v>77592.9</v>
      </c>
      <c r="H552" s="14">
        <v>634.3</v>
      </c>
      <c r="I552" s="14">
        <f>SUM(H552/G559*100)</f>
        <v>117.98735119047619</v>
      </c>
      <c r="J552" s="16">
        <f>SUM('ведомствен.2014'!G433)</f>
        <v>77592.9</v>
      </c>
    </row>
    <row r="553" spans="1:10" s="16" customFormat="1" ht="15">
      <c r="A553" s="302" t="s">
        <v>209</v>
      </c>
      <c r="B553" s="249"/>
      <c r="C553" s="141" t="s">
        <v>5</v>
      </c>
      <c r="D553" s="120" t="s">
        <v>95</v>
      </c>
      <c r="E553" s="120" t="s">
        <v>533</v>
      </c>
      <c r="F553" s="168"/>
      <c r="G553" s="154">
        <f>G554+G555</f>
        <v>3896.3</v>
      </c>
      <c r="H553" s="14"/>
      <c r="I553" s="14"/>
      <c r="J553" s="38"/>
    </row>
    <row r="554" spans="1:10" s="16" customFormat="1" ht="15">
      <c r="A554" s="302" t="s">
        <v>463</v>
      </c>
      <c r="B554" s="249"/>
      <c r="C554" s="141" t="s">
        <v>5</v>
      </c>
      <c r="D554" s="120" t="s">
        <v>95</v>
      </c>
      <c r="E554" s="120" t="s">
        <v>533</v>
      </c>
      <c r="F554" s="168" t="s">
        <v>464</v>
      </c>
      <c r="G554" s="154">
        <v>2096.3</v>
      </c>
      <c r="H554" s="14">
        <f>SUM(H555)</f>
        <v>542.8</v>
      </c>
      <c r="I554" s="14">
        <f>SUM(H554/G562*100)</f>
        <v>0.9734227610200494</v>
      </c>
      <c r="J554" s="16">
        <f>SUM('ведомствен.2014'!G435)</f>
        <v>2096.3</v>
      </c>
    </row>
    <row r="555" spans="1:10" s="16" customFormat="1" ht="57">
      <c r="A555" s="302" t="s">
        <v>534</v>
      </c>
      <c r="B555" s="249"/>
      <c r="C555" s="141" t="s">
        <v>5</v>
      </c>
      <c r="D555" s="120" t="s">
        <v>95</v>
      </c>
      <c r="E555" s="120" t="s">
        <v>533</v>
      </c>
      <c r="F555" s="168" t="s">
        <v>471</v>
      </c>
      <c r="G555" s="154">
        <v>1800</v>
      </c>
      <c r="H555" s="14">
        <v>542.8</v>
      </c>
      <c r="I555" s="14">
        <f>SUM(H555/G563*100)</f>
        <v>1.0117276909197999</v>
      </c>
      <c r="J555" s="16">
        <f>SUM('ведомствен.2014'!G436)</f>
        <v>1800</v>
      </c>
    </row>
    <row r="556" spans="1:9" s="16" customFormat="1" ht="28.5">
      <c r="A556" s="285" t="s">
        <v>274</v>
      </c>
      <c r="B556" s="275"/>
      <c r="C556" s="141" t="s">
        <v>5</v>
      </c>
      <c r="D556" s="120" t="s">
        <v>95</v>
      </c>
      <c r="E556" s="120" t="s">
        <v>535</v>
      </c>
      <c r="F556" s="168"/>
      <c r="G556" s="154">
        <f>G557+G560+G563+G566+G569+G572+G575+G578+G581+G584+G587+G590+G594</f>
        <v>433210.30000000005</v>
      </c>
      <c r="H556" s="18"/>
      <c r="I556" s="14"/>
    </row>
    <row r="557" spans="1:9" s="16" customFormat="1" ht="57">
      <c r="A557" s="285" t="s">
        <v>427</v>
      </c>
      <c r="B557" s="275"/>
      <c r="C557" s="141" t="s">
        <v>5</v>
      </c>
      <c r="D557" s="120" t="s">
        <v>95</v>
      </c>
      <c r="E557" s="120" t="s">
        <v>536</v>
      </c>
      <c r="F557" s="168"/>
      <c r="G557" s="154">
        <f>SUM(G558:G559)</f>
        <v>545.8000000000001</v>
      </c>
      <c r="H557" s="18"/>
      <c r="I557" s="14"/>
    </row>
    <row r="558" spans="1:10" s="16" customFormat="1" ht="15">
      <c r="A558" s="279" t="s">
        <v>458</v>
      </c>
      <c r="B558" s="260"/>
      <c r="C558" s="53" t="s">
        <v>5</v>
      </c>
      <c r="D558" s="116" t="s">
        <v>95</v>
      </c>
      <c r="E558" s="120" t="s">
        <v>536</v>
      </c>
      <c r="F558" s="130" t="s">
        <v>109</v>
      </c>
      <c r="G558" s="154">
        <v>8.2</v>
      </c>
      <c r="H558" s="18"/>
      <c r="I558" s="14"/>
      <c r="J558" s="16">
        <f>SUM('ведомствен.2014'!G439)</f>
        <v>8.2</v>
      </c>
    </row>
    <row r="559" spans="1:10" s="16" customFormat="1" ht="15">
      <c r="A559" s="285" t="s">
        <v>463</v>
      </c>
      <c r="B559" s="275"/>
      <c r="C559" s="141" t="s">
        <v>5</v>
      </c>
      <c r="D559" s="120" t="s">
        <v>95</v>
      </c>
      <c r="E559" s="120" t="s">
        <v>536</v>
      </c>
      <c r="F559" s="168" t="s">
        <v>464</v>
      </c>
      <c r="G559" s="154">
        <v>537.6</v>
      </c>
      <c r="H559" s="18"/>
      <c r="I559" s="14"/>
      <c r="J559" s="16">
        <f>SUM('ведомствен.2014'!G440)</f>
        <v>537.6</v>
      </c>
    </row>
    <row r="560" spans="1:9" s="16" customFormat="1" ht="28.5">
      <c r="A560" s="297" t="s">
        <v>428</v>
      </c>
      <c r="B560" s="275"/>
      <c r="C560" s="141" t="s">
        <v>5</v>
      </c>
      <c r="D560" s="120" t="s">
        <v>95</v>
      </c>
      <c r="E560" s="120" t="s">
        <v>537</v>
      </c>
      <c r="F560" s="168"/>
      <c r="G560" s="154">
        <f>SUM(G561:G562)</f>
        <v>56634.2</v>
      </c>
      <c r="H560" s="14">
        <f>SUM(H562)</f>
        <v>1313.1</v>
      </c>
      <c r="I560" s="14">
        <f>SUM(H560/G569*100)</f>
        <v>85.47158758055066</v>
      </c>
    </row>
    <row r="561" spans="1:10" s="16" customFormat="1" ht="15">
      <c r="A561" s="279" t="s">
        <v>458</v>
      </c>
      <c r="B561" s="260"/>
      <c r="C561" s="53" t="s">
        <v>5</v>
      </c>
      <c r="D561" s="116" t="s">
        <v>95</v>
      </c>
      <c r="E561" s="120" t="s">
        <v>537</v>
      </c>
      <c r="F561" s="130" t="s">
        <v>109</v>
      </c>
      <c r="G561" s="154">
        <v>872.2</v>
      </c>
      <c r="H561" s="14"/>
      <c r="I561" s="14"/>
      <c r="J561" s="16">
        <f>SUM('ведомствен.2014'!G442)</f>
        <v>872.2</v>
      </c>
    </row>
    <row r="562" spans="1:10" s="16" customFormat="1" ht="15">
      <c r="A562" s="285" t="s">
        <v>463</v>
      </c>
      <c r="B562" s="275"/>
      <c r="C562" s="141" t="s">
        <v>5</v>
      </c>
      <c r="D562" s="120" t="s">
        <v>95</v>
      </c>
      <c r="E562" s="120" t="s">
        <v>537</v>
      </c>
      <c r="F562" s="168" t="s">
        <v>464</v>
      </c>
      <c r="G562" s="154">
        <v>55762</v>
      </c>
      <c r="H562" s="14">
        <v>1313.1</v>
      </c>
      <c r="I562" s="14">
        <f>SUM(H562/G571*100)</f>
        <v>86.770633714399</v>
      </c>
      <c r="J562" s="16">
        <f>SUM('ведомствен.2014'!G443)</f>
        <v>55762</v>
      </c>
    </row>
    <row r="563" spans="1:9" s="16" customFormat="1" ht="71.25">
      <c r="A563" s="303" t="s">
        <v>429</v>
      </c>
      <c r="B563" s="275"/>
      <c r="C563" s="141" t="s">
        <v>5</v>
      </c>
      <c r="D563" s="120" t="s">
        <v>95</v>
      </c>
      <c r="E563" s="120" t="s">
        <v>538</v>
      </c>
      <c r="F563" s="168"/>
      <c r="G563" s="154">
        <f>SUM(G564:G565)</f>
        <v>53650.8</v>
      </c>
      <c r="H563" s="14">
        <f>SUM(H565)</f>
        <v>6301</v>
      </c>
      <c r="I563" s="14">
        <f>SUM(H563/G572*100)</f>
        <v>64.14994451401402</v>
      </c>
    </row>
    <row r="564" spans="1:10" s="16" customFormat="1" ht="15">
      <c r="A564" s="279" t="s">
        <v>458</v>
      </c>
      <c r="B564" s="260"/>
      <c r="C564" s="53" t="s">
        <v>5</v>
      </c>
      <c r="D564" s="116" t="s">
        <v>95</v>
      </c>
      <c r="E564" s="120" t="s">
        <v>538</v>
      </c>
      <c r="F564" s="130" t="s">
        <v>109</v>
      </c>
      <c r="G564" s="154">
        <v>794</v>
      </c>
      <c r="H564" s="14"/>
      <c r="I564" s="14"/>
      <c r="J564" s="16">
        <f>SUM('ведомствен.2014'!G445)</f>
        <v>794</v>
      </c>
    </row>
    <row r="565" spans="1:10" s="16" customFormat="1" ht="15">
      <c r="A565" s="285" t="s">
        <v>463</v>
      </c>
      <c r="B565" s="275"/>
      <c r="C565" s="141" t="s">
        <v>5</v>
      </c>
      <c r="D565" s="120" t="s">
        <v>95</v>
      </c>
      <c r="E565" s="120" t="s">
        <v>538</v>
      </c>
      <c r="F565" s="168" t="s">
        <v>464</v>
      </c>
      <c r="G565" s="154">
        <v>52856.8</v>
      </c>
      <c r="H565" s="14">
        <v>6301</v>
      </c>
      <c r="I565" s="14">
        <f>SUM(H565/G574*100)</f>
        <v>66.33888526247078</v>
      </c>
      <c r="J565" s="16">
        <f>SUM('ведомствен.2014'!G446)</f>
        <v>52856.8</v>
      </c>
    </row>
    <row r="566" spans="1:10" s="16" customFormat="1" ht="85.5">
      <c r="A566" s="303" t="s">
        <v>539</v>
      </c>
      <c r="B566" s="275"/>
      <c r="C566" s="141" t="s">
        <v>5</v>
      </c>
      <c r="D566" s="120" t="s">
        <v>95</v>
      </c>
      <c r="E566" s="120" t="s">
        <v>540</v>
      </c>
      <c r="F566" s="168"/>
      <c r="G566" s="154">
        <f>SUM(G567:G568)</f>
        <v>170670.4</v>
      </c>
      <c r="H566" s="14"/>
      <c r="I566" s="14"/>
      <c r="J566" s="38"/>
    </row>
    <row r="567" spans="1:10" s="16" customFormat="1" ht="15">
      <c r="A567" s="279" t="s">
        <v>458</v>
      </c>
      <c r="B567" s="275"/>
      <c r="C567" s="141" t="s">
        <v>5</v>
      </c>
      <c r="D567" s="120" t="s">
        <v>95</v>
      </c>
      <c r="E567" s="120" t="s">
        <v>540</v>
      </c>
      <c r="F567" s="168" t="s">
        <v>109</v>
      </c>
      <c r="G567" s="154">
        <v>5735.1</v>
      </c>
      <c r="H567" s="14"/>
      <c r="I567" s="14"/>
      <c r="J567" s="38">
        <f>SUM('ведомствен.2014'!G448)</f>
        <v>5735.1</v>
      </c>
    </row>
    <row r="568" spans="1:10" s="16" customFormat="1" ht="15">
      <c r="A568" s="285" t="s">
        <v>463</v>
      </c>
      <c r="B568" s="275"/>
      <c r="C568" s="141" t="s">
        <v>5</v>
      </c>
      <c r="D568" s="120" t="s">
        <v>95</v>
      </c>
      <c r="E568" s="120" t="s">
        <v>540</v>
      </c>
      <c r="F568" s="168" t="s">
        <v>464</v>
      </c>
      <c r="G568" s="154">
        <v>164935.3</v>
      </c>
      <c r="H568" s="14"/>
      <c r="I568" s="14"/>
      <c r="J568" s="16">
        <f>SUM('ведомствен.2014'!G449)</f>
        <v>164935.3</v>
      </c>
    </row>
    <row r="569" spans="1:9" s="16" customFormat="1" ht="85.5">
      <c r="A569" s="297" t="s">
        <v>430</v>
      </c>
      <c r="B569" s="275"/>
      <c r="C569" s="141" t="s">
        <v>5</v>
      </c>
      <c r="D569" s="120" t="s">
        <v>95</v>
      </c>
      <c r="E569" s="120" t="s">
        <v>541</v>
      </c>
      <c r="F569" s="168"/>
      <c r="G569" s="154">
        <f>SUM(G570:G571)</f>
        <v>1536.3</v>
      </c>
      <c r="H569" s="14">
        <f>SUM(H571)</f>
        <v>18786.9</v>
      </c>
      <c r="I569" s="14">
        <f>SUM(H569/G578*100)</f>
        <v>1861.3791736847322</v>
      </c>
    </row>
    <row r="570" spans="1:10" s="16" customFormat="1" ht="15">
      <c r="A570" s="279" t="s">
        <v>458</v>
      </c>
      <c r="B570" s="275"/>
      <c r="C570" s="141" t="s">
        <v>5</v>
      </c>
      <c r="D570" s="120" t="s">
        <v>95</v>
      </c>
      <c r="E570" s="120" t="s">
        <v>541</v>
      </c>
      <c r="F570" s="168" t="s">
        <v>109</v>
      </c>
      <c r="G570" s="154">
        <v>23</v>
      </c>
      <c r="H570" s="14"/>
      <c r="I570" s="14"/>
      <c r="J570" s="16">
        <f>SUM('ведомствен.2014'!G451)</f>
        <v>23</v>
      </c>
    </row>
    <row r="571" spans="1:10" s="16" customFormat="1" ht="15">
      <c r="A571" s="285" t="s">
        <v>463</v>
      </c>
      <c r="B571" s="275"/>
      <c r="C571" s="141" t="s">
        <v>5</v>
      </c>
      <c r="D571" s="120" t="s">
        <v>95</v>
      </c>
      <c r="E571" s="120" t="s">
        <v>541</v>
      </c>
      <c r="F571" s="168" t="s">
        <v>464</v>
      </c>
      <c r="G571" s="154">
        <v>1513.3</v>
      </c>
      <c r="H571" s="14">
        <v>18786.9</v>
      </c>
      <c r="I571" s="14">
        <f>SUM(H571/G580*100)</f>
        <v>1997.11916657808</v>
      </c>
      <c r="J571" s="16">
        <f>SUM('ведомствен.2014'!G452)</f>
        <v>1513.3</v>
      </c>
    </row>
    <row r="572" spans="1:9" s="16" customFormat="1" ht="99.75">
      <c r="A572" s="297" t="s">
        <v>431</v>
      </c>
      <c r="B572" s="275"/>
      <c r="C572" s="141" t="s">
        <v>5</v>
      </c>
      <c r="D572" s="120" t="s">
        <v>95</v>
      </c>
      <c r="E572" s="120" t="s">
        <v>542</v>
      </c>
      <c r="F572" s="168"/>
      <c r="G572" s="154">
        <f>SUM(G573:G574)</f>
        <v>9822.300000000001</v>
      </c>
      <c r="H572" s="14">
        <f>SUM(H574)</f>
        <v>15760.4</v>
      </c>
      <c r="I572" s="14">
        <f>SUM(H572/G581*100)</f>
        <v>6475.102711585866</v>
      </c>
    </row>
    <row r="573" spans="1:10" s="16" customFormat="1" ht="15">
      <c r="A573" s="279" t="s">
        <v>458</v>
      </c>
      <c r="B573" s="275"/>
      <c r="C573" s="141" t="s">
        <v>5</v>
      </c>
      <c r="D573" s="120" t="s">
        <v>95</v>
      </c>
      <c r="E573" s="120" t="s">
        <v>542</v>
      </c>
      <c r="F573" s="168" t="s">
        <v>109</v>
      </c>
      <c r="G573" s="154">
        <v>324.1</v>
      </c>
      <c r="H573" s="14"/>
      <c r="I573" s="14"/>
      <c r="J573" s="16">
        <f>SUM('ведомствен.2014'!G454)</f>
        <v>324.1</v>
      </c>
    </row>
    <row r="574" spans="1:10" s="16" customFormat="1" ht="15">
      <c r="A574" s="285" t="s">
        <v>463</v>
      </c>
      <c r="B574" s="275"/>
      <c r="C574" s="141" t="s">
        <v>5</v>
      </c>
      <c r="D574" s="120" t="s">
        <v>95</v>
      </c>
      <c r="E574" s="120" t="s">
        <v>542</v>
      </c>
      <c r="F574" s="168" t="s">
        <v>464</v>
      </c>
      <c r="G574" s="154">
        <v>9498.2</v>
      </c>
      <c r="H574" s="14">
        <v>15760.4</v>
      </c>
      <c r="I574" s="14">
        <f>SUM(H574/G583*100)</f>
        <v>6572.31025854879</v>
      </c>
      <c r="J574" s="16">
        <f>SUM('ведомствен.2014'!G455)</f>
        <v>9498.2</v>
      </c>
    </row>
    <row r="575" spans="1:9" s="25" customFormat="1" ht="57">
      <c r="A575" s="285" t="s">
        <v>432</v>
      </c>
      <c r="B575" s="275"/>
      <c r="C575" s="141" t="s">
        <v>5</v>
      </c>
      <c r="D575" s="120" t="s">
        <v>95</v>
      </c>
      <c r="E575" s="120" t="s">
        <v>543</v>
      </c>
      <c r="F575" s="168"/>
      <c r="G575" s="154">
        <f>SUM(G576:G577)</f>
        <v>120441.6</v>
      </c>
      <c r="H575" s="14">
        <f>SUM(H577)</f>
        <v>40636.1</v>
      </c>
      <c r="I575" s="14">
        <f>SUM(H575/G584*100)</f>
        <v>608.2702152501272</v>
      </c>
    </row>
    <row r="576" spans="1:10" s="25" customFormat="1" ht="15">
      <c r="A576" s="279" t="s">
        <v>458</v>
      </c>
      <c r="B576" s="275"/>
      <c r="C576" s="141" t="s">
        <v>5</v>
      </c>
      <c r="D576" s="120" t="s">
        <v>95</v>
      </c>
      <c r="E576" s="120" t="s">
        <v>543</v>
      </c>
      <c r="F576" s="168" t="s">
        <v>109</v>
      </c>
      <c r="G576" s="154">
        <v>1782.6</v>
      </c>
      <c r="H576" s="14"/>
      <c r="I576" s="14"/>
      <c r="J576" s="25">
        <f>SUM('ведомствен.2014'!G457)</f>
        <v>1782.6</v>
      </c>
    </row>
    <row r="577" spans="1:10" s="25" customFormat="1" ht="15">
      <c r="A577" s="285" t="s">
        <v>463</v>
      </c>
      <c r="B577" s="275"/>
      <c r="C577" s="141" t="s">
        <v>5</v>
      </c>
      <c r="D577" s="120" t="s">
        <v>95</v>
      </c>
      <c r="E577" s="120" t="s">
        <v>543</v>
      </c>
      <c r="F577" s="168" t="s">
        <v>464</v>
      </c>
      <c r="G577" s="154">
        <v>118659</v>
      </c>
      <c r="H577" s="14">
        <v>40636.1</v>
      </c>
      <c r="I577" s="14">
        <f>SUM(H577/G586*100)</f>
        <v>628.3803426733468</v>
      </c>
      <c r="J577" s="16">
        <f>SUM('ведомствен.2014'!G458)</f>
        <v>118659</v>
      </c>
    </row>
    <row r="578" spans="1:10" s="25" customFormat="1" ht="85.5">
      <c r="A578" s="285" t="s">
        <v>433</v>
      </c>
      <c r="B578" s="275"/>
      <c r="C578" s="141" t="s">
        <v>5</v>
      </c>
      <c r="D578" s="120" t="s">
        <v>95</v>
      </c>
      <c r="E578" s="120" t="s">
        <v>544</v>
      </c>
      <c r="F578" s="168"/>
      <c r="G578" s="154">
        <f>SUM(G579:G580)</f>
        <v>1009.3000000000001</v>
      </c>
      <c r="H578" s="14"/>
      <c r="I578" s="14"/>
      <c r="J578" s="38"/>
    </row>
    <row r="579" spans="1:10" s="25" customFormat="1" ht="15">
      <c r="A579" s="279" t="s">
        <v>458</v>
      </c>
      <c r="B579" s="275"/>
      <c r="C579" s="141" t="s">
        <v>5</v>
      </c>
      <c r="D579" s="120" t="s">
        <v>95</v>
      </c>
      <c r="E579" s="120" t="s">
        <v>544</v>
      </c>
      <c r="F579" s="168" t="s">
        <v>109</v>
      </c>
      <c r="G579" s="154">
        <v>68.6</v>
      </c>
      <c r="H579" s="14"/>
      <c r="I579" s="14"/>
      <c r="J579" s="38">
        <f>SUM('ведомствен.2014'!G460)</f>
        <v>68.6</v>
      </c>
    </row>
    <row r="580" spans="1:10" s="16" customFormat="1" ht="15">
      <c r="A580" s="285" t="s">
        <v>463</v>
      </c>
      <c r="B580" s="275"/>
      <c r="C580" s="141" t="s">
        <v>5</v>
      </c>
      <c r="D580" s="120" t="s">
        <v>95</v>
      </c>
      <c r="E580" s="120" t="s">
        <v>544</v>
      </c>
      <c r="F580" s="168" t="s">
        <v>464</v>
      </c>
      <c r="G580" s="154">
        <v>940.7</v>
      </c>
      <c r="H580" s="14">
        <f>SUM(H581)</f>
        <v>191.3</v>
      </c>
      <c r="I580" s="14">
        <f>SUM(H580/G589*100)</f>
        <v>3.6215970618302986</v>
      </c>
      <c r="J580" s="16">
        <f>SUM('ведомствен.2014'!G461)</f>
        <v>940.7</v>
      </c>
    </row>
    <row r="581" spans="1:10" s="16" customFormat="1" ht="71.25">
      <c r="A581" s="285" t="s">
        <v>545</v>
      </c>
      <c r="B581" s="275"/>
      <c r="C581" s="141" t="s">
        <v>5</v>
      </c>
      <c r="D581" s="120" t="s">
        <v>95</v>
      </c>
      <c r="E581" s="120" t="s">
        <v>546</v>
      </c>
      <c r="F581" s="168"/>
      <c r="G581" s="154">
        <f>SUM(G582:G583)</f>
        <v>243.4</v>
      </c>
      <c r="H581" s="14">
        <v>191.3</v>
      </c>
      <c r="I581" s="14">
        <f>SUM(H581/G590*100)</f>
        <v>10.840369467898228</v>
      </c>
      <c r="J581" s="38"/>
    </row>
    <row r="582" spans="1:10" s="16" customFormat="1" ht="15">
      <c r="A582" s="279" t="s">
        <v>458</v>
      </c>
      <c r="B582" s="275"/>
      <c r="C582" s="141" t="s">
        <v>5</v>
      </c>
      <c r="D582" s="120" t="s">
        <v>95</v>
      </c>
      <c r="E582" s="120" t="s">
        <v>546</v>
      </c>
      <c r="F582" s="168" t="s">
        <v>109</v>
      </c>
      <c r="G582" s="154">
        <v>3.6</v>
      </c>
      <c r="H582" s="14"/>
      <c r="I582" s="14"/>
      <c r="J582" s="38">
        <f>SUM('ведомствен.2014'!G463)</f>
        <v>3.6</v>
      </c>
    </row>
    <row r="583" spans="1:10" s="16" customFormat="1" ht="15">
      <c r="A583" s="285" t="s">
        <v>463</v>
      </c>
      <c r="B583" s="275"/>
      <c r="C583" s="141" t="s">
        <v>5</v>
      </c>
      <c r="D583" s="120" t="s">
        <v>95</v>
      </c>
      <c r="E583" s="120" t="s">
        <v>546</v>
      </c>
      <c r="F583" s="168" t="s">
        <v>464</v>
      </c>
      <c r="G583" s="154">
        <v>239.8</v>
      </c>
      <c r="H583" s="14">
        <f>SUM(H586)</f>
        <v>4180.7</v>
      </c>
      <c r="I583" s="14">
        <f>SUM(H583/G592*100)</f>
        <v>288.0261798139855</v>
      </c>
      <c r="J583" s="16">
        <f>SUM('ведомствен.2014'!G464)</f>
        <v>239.8</v>
      </c>
    </row>
    <row r="584" spans="1:10" s="16" customFormat="1" ht="57">
      <c r="A584" s="285" t="s">
        <v>434</v>
      </c>
      <c r="B584" s="275"/>
      <c r="C584" s="141" t="s">
        <v>5</v>
      </c>
      <c r="D584" s="120" t="s">
        <v>95</v>
      </c>
      <c r="E584" s="120" t="s">
        <v>547</v>
      </c>
      <c r="F584" s="168"/>
      <c r="G584" s="154">
        <f>SUM(G585:G586)</f>
        <v>6680.6</v>
      </c>
      <c r="H584" s="14"/>
      <c r="I584" s="14"/>
      <c r="J584" s="38"/>
    </row>
    <row r="585" spans="1:10" s="16" customFormat="1" ht="15">
      <c r="A585" s="279" t="s">
        <v>458</v>
      </c>
      <c r="B585" s="275"/>
      <c r="C585" s="141" t="s">
        <v>5</v>
      </c>
      <c r="D585" s="120" t="s">
        <v>95</v>
      </c>
      <c r="E585" s="120" t="s">
        <v>547</v>
      </c>
      <c r="F585" s="168" t="s">
        <v>109</v>
      </c>
      <c r="G585" s="154">
        <v>213.8</v>
      </c>
      <c r="H585" s="14"/>
      <c r="I585" s="14"/>
      <c r="J585" s="38">
        <f>SUM('ведомствен.2014'!G466)</f>
        <v>213.8</v>
      </c>
    </row>
    <row r="586" spans="1:10" s="16" customFormat="1" ht="15">
      <c r="A586" s="285" t="s">
        <v>463</v>
      </c>
      <c r="B586" s="275"/>
      <c r="C586" s="141" t="s">
        <v>5</v>
      </c>
      <c r="D586" s="120" t="s">
        <v>95</v>
      </c>
      <c r="E586" s="120" t="s">
        <v>547</v>
      </c>
      <c r="F586" s="168" t="s">
        <v>464</v>
      </c>
      <c r="G586" s="154">
        <v>6466.8</v>
      </c>
      <c r="H586" s="14">
        <v>4180.7</v>
      </c>
      <c r="I586" s="14">
        <f>SUM(H586/G594*100)</f>
        <v>86.13428930506623</v>
      </c>
      <c r="J586" s="16">
        <f>SUM('ведомствен.2014'!G467)</f>
        <v>6466.8</v>
      </c>
    </row>
    <row r="587" spans="1:9" s="16" customFormat="1" ht="42.75">
      <c r="A587" s="285" t="s">
        <v>435</v>
      </c>
      <c r="B587" s="275"/>
      <c r="C587" s="141" t="s">
        <v>5</v>
      </c>
      <c r="D587" s="120" t="s">
        <v>95</v>
      </c>
      <c r="E587" s="120" t="s">
        <v>548</v>
      </c>
      <c r="F587" s="168"/>
      <c r="G587" s="154">
        <f>SUM(G588:G589)</f>
        <v>5357.2</v>
      </c>
      <c r="H587" s="14">
        <f>SUM(H589)</f>
        <v>0</v>
      </c>
      <c r="I587" s="14">
        <f>SUM(H587/G596*100)</f>
        <v>0</v>
      </c>
    </row>
    <row r="588" spans="1:10" s="16" customFormat="1" ht="15">
      <c r="A588" s="279" t="s">
        <v>458</v>
      </c>
      <c r="B588" s="275"/>
      <c r="C588" s="141" t="s">
        <v>5</v>
      </c>
      <c r="D588" s="120" t="s">
        <v>95</v>
      </c>
      <c r="E588" s="120" t="s">
        <v>548</v>
      </c>
      <c r="F588" s="168" t="s">
        <v>109</v>
      </c>
      <c r="G588" s="154">
        <v>75</v>
      </c>
      <c r="H588" s="14"/>
      <c r="I588" s="14"/>
      <c r="J588" s="16">
        <f>SUM('ведомствен.2014'!G469)</f>
        <v>75</v>
      </c>
    </row>
    <row r="589" spans="1:10" s="16" customFormat="1" ht="15">
      <c r="A589" s="285" t="s">
        <v>463</v>
      </c>
      <c r="B589" s="275"/>
      <c r="C589" s="141" t="s">
        <v>5</v>
      </c>
      <c r="D589" s="120" t="s">
        <v>95</v>
      </c>
      <c r="E589" s="120" t="s">
        <v>548</v>
      </c>
      <c r="F589" s="168" t="s">
        <v>464</v>
      </c>
      <c r="G589" s="154">
        <v>5282.2</v>
      </c>
      <c r="H589" s="14"/>
      <c r="I589" s="14">
        <f>SUM(H589/G599*100)</f>
        <v>0</v>
      </c>
      <c r="J589" s="16">
        <f>SUM('ведомствен.2014'!G470)</f>
        <v>5282.2</v>
      </c>
    </row>
    <row r="590" spans="1:9" s="25" customFormat="1" ht="42.75">
      <c r="A590" s="297" t="s">
        <v>436</v>
      </c>
      <c r="B590" s="275"/>
      <c r="C590" s="141" t="s">
        <v>5</v>
      </c>
      <c r="D590" s="120" t="s">
        <v>95</v>
      </c>
      <c r="E590" s="120" t="s">
        <v>549</v>
      </c>
      <c r="F590" s="168"/>
      <c r="G590" s="154">
        <f>SUM(G591:G593)</f>
        <v>1764.6999999999998</v>
      </c>
      <c r="H590" s="14">
        <f>SUM(H592)</f>
        <v>0</v>
      </c>
      <c r="I590" s="14">
        <f>SUM(H590/G600*100)</f>
        <v>0</v>
      </c>
    </row>
    <row r="591" spans="1:10" s="25" customFormat="1" ht="15">
      <c r="A591" s="279" t="s">
        <v>458</v>
      </c>
      <c r="B591" s="275"/>
      <c r="C591" s="141" t="s">
        <v>5</v>
      </c>
      <c r="D591" s="120" t="s">
        <v>95</v>
      </c>
      <c r="E591" s="120" t="s">
        <v>549</v>
      </c>
      <c r="F591" s="168" t="s">
        <v>109</v>
      </c>
      <c r="G591" s="154">
        <v>25.6</v>
      </c>
      <c r="H591" s="14"/>
      <c r="I591" s="14"/>
      <c r="J591" s="25">
        <f>SUM('ведомствен.2014'!G472)</f>
        <v>25.6</v>
      </c>
    </row>
    <row r="592" spans="1:10" s="25" customFormat="1" ht="15">
      <c r="A592" s="285" t="s">
        <v>463</v>
      </c>
      <c r="B592" s="275"/>
      <c r="C592" s="141" t="s">
        <v>5</v>
      </c>
      <c r="D592" s="120" t="s">
        <v>95</v>
      </c>
      <c r="E592" s="120" t="s">
        <v>549</v>
      </c>
      <c r="F592" s="168" t="s">
        <v>464</v>
      </c>
      <c r="G592" s="154">
        <v>1451.5</v>
      </c>
      <c r="H592" s="14"/>
      <c r="I592" s="14">
        <f>SUM(H592/G602*100)</f>
        <v>0</v>
      </c>
      <c r="J592" s="16">
        <f>SUM('ведомствен.2014'!G473)</f>
        <v>1451.5</v>
      </c>
    </row>
    <row r="593" spans="1:10" s="16" customFormat="1" ht="42.75">
      <c r="A593" s="285" t="s">
        <v>550</v>
      </c>
      <c r="B593" s="275"/>
      <c r="C593" s="141" t="s">
        <v>5</v>
      </c>
      <c r="D593" s="120" t="s">
        <v>95</v>
      </c>
      <c r="E593" s="120" t="s">
        <v>549</v>
      </c>
      <c r="F593" s="168" t="s">
        <v>471</v>
      </c>
      <c r="G593" s="154">
        <v>287.6</v>
      </c>
      <c r="H593" s="14">
        <f>SUM(H594)</f>
        <v>16724.6</v>
      </c>
      <c r="I593" s="14">
        <f>SUM(H593/G607*100)</f>
        <v>728.6137492376056</v>
      </c>
      <c r="J593" s="16">
        <f>SUM('ведомствен.2014'!G474)</f>
        <v>287.6</v>
      </c>
    </row>
    <row r="594" spans="1:10" s="16" customFormat="1" ht="42.75">
      <c r="A594" s="285" t="s">
        <v>437</v>
      </c>
      <c r="B594" s="275"/>
      <c r="C594" s="141" t="s">
        <v>5</v>
      </c>
      <c r="D594" s="120" t="s">
        <v>95</v>
      </c>
      <c r="E594" s="120" t="s">
        <v>551</v>
      </c>
      <c r="F594" s="168"/>
      <c r="G594" s="154">
        <f>SUM(G595:G596)</f>
        <v>4853.7</v>
      </c>
      <c r="H594" s="14">
        <v>16724.6</v>
      </c>
      <c r="I594" s="14">
        <f>SUM(H594/G608*100)</f>
        <v>5661.679079214624</v>
      </c>
      <c r="J594" s="38"/>
    </row>
    <row r="595" spans="1:10" s="16" customFormat="1" ht="15">
      <c r="A595" s="279" t="s">
        <v>458</v>
      </c>
      <c r="B595" s="275"/>
      <c r="C595" s="141" t="s">
        <v>5</v>
      </c>
      <c r="D595" s="120" t="s">
        <v>95</v>
      </c>
      <c r="E595" s="120" t="s">
        <v>551</v>
      </c>
      <c r="F595" s="168" t="s">
        <v>109</v>
      </c>
      <c r="G595" s="154">
        <v>72.8</v>
      </c>
      <c r="H595" s="14"/>
      <c r="I595" s="14"/>
      <c r="J595" s="38">
        <f>SUM('ведомствен.2014'!G476)</f>
        <v>72.8</v>
      </c>
    </row>
    <row r="596" spans="1:10" s="16" customFormat="1" ht="15">
      <c r="A596" s="285" t="s">
        <v>463</v>
      </c>
      <c r="B596" s="275"/>
      <c r="C596" s="141" t="s">
        <v>5</v>
      </c>
      <c r="D596" s="120" t="s">
        <v>95</v>
      </c>
      <c r="E596" s="120" t="s">
        <v>551</v>
      </c>
      <c r="F596" s="168" t="s">
        <v>464</v>
      </c>
      <c r="G596" s="154">
        <v>4780.9</v>
      </c>
      <c r="H596" s="14">
        <f>SUM(H599)</f>
        <v>4118.3</v>
      </c>
      <c r="I596" s="14">
        <f>SUM(H596/G609*100)</f>
        <v>1394.1435341909278</v>
      </c>
      <c r="J596" s="16">
        <f>SUM('ведомствен.2014'!G477)</f>
        <v>4780.9</v>
      </c>
    </row>
    <row r="597" spans="1:9" s="16" customFormat="1" ht="42.75">
      <c r="A597" s="287" t="s">
        <v>573</v>
      </c>
      <c r="B597" s="264"/>
      <c r="C597" s="56" t="s">
        <v>5</v>
      </c>
      <c r="D597" s="111" t="s">
        <v>95</v>
      </c>
      <c r="E597" s="111" t="s">
        <v>169</v>
      </c>
      <c r="F597" s="183"/>
      <c r="G597" s="151">
        <f>SUM(G598)</f>
        <v>9455.7</v>
      </c>
      <c r="H597" s="14"/>
      <c r="I597" s="14"/>
    </row>
    <row r="598" spans="1:10" s="16" customFormat="1" ht="15">
      <c r="A598" s="287" t="s">
        <v>463</v>
      </c>
      <c r="B598" s="264"/>
      <c r="C598" s="56" t="s">
        <v>5</v>
      </c>
      <c r="D598" s="111" t="s">
        <v>95</v>
      </c>
      <c r="E598" s="111" t="s">
        <v>169</v>
      </c>
      <c r="F598" s="183" t="s">
        <v>464</v>
      </c>
      <c r="G598" s="151">
        <v>9455.7</v>
      </c>
      <c r="H598" s="14"/>
      <c r="I598" s="14"/>
      <c r="J598" s="16">
        <f>SUM('ведомствен.2014'!G668)</f>
        <v>9455.7</v>
      </c>
    </row>
    <row r="599" spans="1:10" s="16" customFormat="1" ht="28.5">
      <c r="A599" s="302" t="s">
        <v>170</v>
      </c>
      <c r="B599" s="249"/>
      <c r="C599" s="141" t="s">
        <v>5</v>
      </c>
      <c r="D599" s="120" t="s">
        <v>95</v>
      </c>
      <c r="E599" s="120" t="s">
        <v>171</v>
      </c>
      <c r="F599" s="168"/>
      <c r="G599" s="154">
        <f>SUM(G600)</f>
        <v>952.9</v>
      </c>
      <c r="H599" s="14">
        <v>4118.3</v>
      </c>
      <c r="I599" s="14">
        <f>SUM(H599/G613*100)</f>
        <v>3.94398380383797</v>
      </c>
      <c r="J599" s="38"/>
    </row>
    <row r="600" spans="1:9" s="16" customFormat="1" ht="15">
      <c r="A600" s="302" t="s">
        <v>172</v>
      </c>
      <c r="B600" s="249"/>
      <c r="C600" s="141" t="s">
        <v>5</v>
      </c>
      <c r="D600" s="120" t="s">
        <v>95</v>
      </c>
      <c r="E600" s="120" t="s">
        <v>173</v>
      </c>
      <c r="F600" s="168"/>
      <c r="G600" s="154">
        <f>SUM(G601:G602)</f>
        <v>952.9</v>
      </c>
      <c r="H600" s="14">
        <f>SUM(H602)</f>
        <v>5628.5</v>
      </c>
      <c r="I600" s="14">
        <f>SUM(H600/G623*100)</f>
        <v>9.769123425762647</v>
      </c>
    </row>
    <row r="601" spans="1:10" s="16" customFormat="1" ht="15">
      <c r="A601" s="279" t="s">
        <v>458</v>
      </c>
      <c r="B601" s="275"/>
      <c r="C601" s="141" t="s">
        <v>5</v>
      </c>
      <c r="D601" s="120" t="s">
        <v>95</v>
      </c>
      <c r="E601" s="120" t="s">
        <v>173</v>
      </c>
      <c r="F601" s="168" t="s">
        <v>109</v>
      </c>
      <c r="G601" s="154">
        <v>248.9</v>
      </c>
      <c r="H601" s="14"/>
      <c r="I601" s="14"/>
      <c r="J601" s="16">
        <f>SUM('ведомствен.2014'!G480)</f>
        <v>248.9</v>
      </c>
    </row>
    <row r="602" spans="1:10" s="16" customFormat="1" ht="15">
      <c r="A602" s="302" t="s">
        <v>463</v>
      </c>
      <c r="B602" s="249"/>
      <c r="C602" s="141" t="s">
        <v>5</v>
      </c>
      <c r="D602" s="120" t="s">
        <v>95</v>
      </c>
      <c r="E602" s="120" t="s">
        <v>173</v>
      </c>
      <c r="F602" s="168" t="s">
        <v>464</v>
      </c>
      <c r="G602" s="154">
        <v>704</v>
      </c>
      <c r="H602" s="14">
        <f>SUM(H607)</f>
        <v>5628.5</v>
      </c>
      <c r="I602" s="14">
        <f>SUM(H602/G626*100)</f>
        <v>18.422870085789008</v>
      </c>
      <c r="J602" s="16">
        <f>SUM('ведомствен.2014'!G481)</f>
        <v>704</v>
      </c>
    </row>
    <row r="603" spans="1:9" s="16" customFormat="1" ht="15">
      <c r="A603" s="290" t="s">
        <v>3</v>
      </c>
      <c r="B603" s="270"/>
      <c r="C603" s="220" t="s">
        <v>5</v>
      </c>
      <c r="D603" s="196" t="s">
        <v>95</v>
      </c>
      <c r="E603" s="196" t="s">
        <v>4</v>
      </c>
      <c r="F603" s="228"/>
      <c r="G603" s="212">
        <f>SUM(G604)</f>
        <v>263.5</v>
      </c>
      <c r="H603" s="14"/>
      <c r="I603" s="14"/>
    </row>
    <row r="604" spans="1:9" s="16" customFormat="1" ht="28.5">
      <c r="A604" s="304" t="s">
        <v>630</v>
      </c>
      <c r="B604" s="276"/>
      <c r="C604" s="220" t="s">
        <v>5</v>
      </c>
      <c r="D604" s="196" t="s">
        <v>95</v>
      </c>
      <c r="E604" s="196" t="s">
        <v>409</v>
      </c>
      <c r="F604" s="228"/>
      <c r="G604" s="212">
        <f>SUM(G605)</f>
        <v>263.5</v>
      </c>
      <c r="H604" s="14"/>
      <c r="I604" s="14"/>
    </row>
    <row r="605" spans="1:9" s="16" customFormat="1" ht="28.5">
      <c r="A605" s="290" t="s">
        <v>631</v>
      </c>
      <c r="B605" s="276"/>
      <c r="C605" s="220" t="s">
        <v>5</v>
      </c>
      <c r="D605" s="196" t="s">
        <v>95</v>
      </c>
      <c r="E605" s="196" t="s">
        <v>602</v>
      </c>
      <c r="F605" s="228"/>
      <c r="G605" s="212">
        <f>SUM(G606)</f>
        <v>263.5</v>
      </c>
      <c r="H605" s="14"/>
      <c r="I605" s="14"/>
    </row>
    <row r="606" spans="1:10" s="16" customFormat="1" ht="15">
      <c r="A606" s="210" t="s">
        <v>463</v>
      </c>
      <c r="B606" s="276"/>
      <c r="C606" s="220" t="s">
        <v>5</v>
      </c>
      <c r="D606" s="196" t="s">
        <v>95</v>
      </c>
      <c r="E606" s="196" t="s">
        <v>602</v>
      </c>
      <c r="F606" s="228" t="s">
        <v>464</v>
      </c>
      <c r="G606" s="212">
        <v>263.5</v>
      </c>
      <c r="H606" s="14"/>
      <c r="I606" s="14"/>
      <c r="J606" s="16">
        <f>SUM('ведомствен.2014'!G293)</f>
        <v>263.5</v>
      </c>
    </row>
    <row r="607" spans="1:9" s="16" customFormat="1" ht="15">
      <c r="A607" s="285" t="s">
        <v>552</v>
      </c>
      <c r="B607" s="249"/>
      <c r="C607" s="141" t="s">
        <v>5</v>
      </c>
      <c r="D607" s="120" t="s">
        <v>95</v>
      </c>
      <c r="E607" s="120" t="s">
        <v>118</v>
      </c>
      <c r="F607" s="168"/>
      <c r="G607" s="154">
        <f>G608+G610</f>
        <v>2295.4</v>
      </c>
      <c r="H607" s="18">
        <v>5628.5</v>
      </c>
      <c r="I607" s="14">
        <f>SUM(H607/G627*100)</f>
        <v>86.41283488140017</v>
      </c>
    </row>
    <row r="608" spans="1:9" s="16" customFormat="1" ht="28.5">
      <c r="A608" s="285" t="s">
        <v>638</v>
      </c>
      <c r="B608" s="249"/>
      <c r="C608" s="141" t="s">
        <v>5</v>
      </c>
      <c r="D608" s="120" t="s">
        <v>95</v>
      </c>
      <c r="E608" s="120" t="s">
        <v>553</v>
      </c>
      <c r="F608" s="168"/>
      <c r="G608" s="154">
        <f>G609</f>
        <v>295.4</v>
      </c>
      <c r="H608" s="14">
        <f>SUM(H609)</f>
        <v>12.8</v>
      </c>
      <c r="I608" s="14">
        <f>SUM(H608/G629*100)</f>
        <v>0.19947637451689315</v>
      </c>
    </row>
    <row r="609" spans="1:10" s="16" customFormat="1" ht="15">
      <c r="A609" s="302" t="s">
        <v>463</v>
      </c>
      <c r="B609" s="249"/>
      <c r="C609" s="141" t="s">
        <v>5</v>
      </c>
      <c r="D609" s="120" t="s">
        <v>95</v>
      </c>
      <c r="E609" s="120" t="s">
        <v>553</v>
      </c>
      <c r="F609" s="168" t="s">
        <v>464</v>
      </c>
      <c r="G609" s="154">
        <v>295.4</v>
      </c>
      <c r="H609" s="14">
        <v>12.8</v>
      </c>
      <c r="I609" s="14">
        <f>SUM(H609/G630*100)</f>
        <v>0.23784748030325556</v>
      </c>
      <c r="J609" s="16">
        <f>SUM('ведомствен.2014'!G484)</f>
        <v>295.4</v>
      </c>
    </row>
    <row r="610" spans="1:9" s="16" customFormat="1" ht="28.5">
      <c r="A610" s="304" t="s">
        <v>603</v>
      </c>
      <c r="B610" s="262"/>
      <c r="C610" s="220" t="s">
        <v>5</v>
      </c>
      <c r="D610" s="196" t="s">
        <v>95</v>
      </c>
      <c r="E610" s="198" t="s">
        <v>597</v>
      </c>
      <c r="F610" s="230"/>
      <c r="G610" s="214">
        <f>SUM(G611)</f>
        <v>2000</v>
      </c>
      <c r="H610" s="14"/>
      <c r="I610" s="14"/>
    </row>
    <row r="611" spans="1:9" s="16" customFormat="1" ht="28.5">
      <c r="A611" s="290" t="s">
        <v>601</v>
      </c>
      <c r="B611" s="254"/>
      <c r="C611" s="220" t="s">
        <v>5</v>
      </c>
      <c r="D611" s="196" t="s">
        <v>95</v>
      </c>
      <c r="E611" s="198" t="s">
        <v>604</v>
      </c>
      <c r="F611" s="230"/>
      <c r="G611" s="215">
        <f>SUM(G612:G612)</f>
        <v>2000</v>
      </c>
      <c r="H611" s="14"/>
      <c r="I611" s="14"/>
    </row>
    <row r="612" spans="1:10" s="16" customFormat="1" ht="15">
      <c r="A612" s="210" t="s">
        <v>463</v>
      </c>
      <c r="B612" s="276"/>
      <c r="C612" s="220" t="s">
        <v>5</v>
      </c>
      <c r="D612" s="196" t="s">
        <v>95</v>
      </c>
      <c r="E612" s="198" t="s">
        <v>604</v>
      </c>
      <c r="F612" s="228" t="s">
        <v>464</v>
      </c>
      <c r="G612" s="212">
        <v>2000</v>
      </c>
      <c r="H612" s="14"/>
      <c r="I612" s="14"/>
      <c r="J612" s="16">
        <f>SUM('ведомствен.2014'!G297)</f>
        <v>2000</v>
      </c>
    </row>
    <row r="613" spans="1:11" s="16" customFormat="1" ht="15">
      <c r="A613" s="305" t="s">
        <v>147</v>
      </c>
      <c r="B613" s="249"/>
      <c r="C613" s="141" t="s">
        <v>5</v>
      </c>
      <c r="D613" s="120" t="s">
        <v>111</v>
      </c>
      <c r="E613" s="120"/>
      <c r="F613" s="168"/>
      <c r="G613" s="154">
        <f>SUM(G623)+G614</f>
        <v>104419.79999999999</v>
      </c>
      <c r="H613" s="14">
        <f>SUM(H623)</f>
        <v>90050.4</v>
      </c>
      <c r="I613" s="14">
        <f>SUM(H613/G632*100)</f>
        <v>1687.6960848623423</v>
      </c>
      <c r="K613" s="16">
        <f>SUM(J614:J635)</f>
        <v>104419.79999999999</v>
      </c>
    </row>
    <row r="614" spans="1:9" s="16" customFormat="1" ht="15">
      <c r="A614" s="279" t="s">
        <v>22</v>
      </c>
      <c r="B614" s="244"/>
      <c r="C614" s="166" t="s">
        <v>5</v>
      </c>
      <c r="D614" s="117" t="s">
        <v>111</v>
      </c>
      <c r="E614" s="54" t="s">
        <v>23</v>
      </c>
      <c r="F614" s="129"/>
      <c r="G614" s="144">
        <f>SUM(G615)</f>
        <v>46804.6</v>
      </c>
      <c r="H614" s="14"/>
      <c r="I614" s="14"/>
    </row>
    <row r="615" spans="1:9" s="16" customFormat="1" ht="42.75">
      <c r="A615" s="280" t="s">
        <v>522</v>
      </c>
      <c r="B615" s="247"/>
      <c r="C615" s="166" t="s">
        <v>5</v>
      </c>
      <c r="D615" s="117" t="s">
        <v>111</v>
      </c>
      <c r="E615" s="117" t="s">
        <v>193</v>
      </c>
      <c r="F615" s="134"/>
      <c r="G615" s="144">
        <f>G620+G616</f>
        <v>46804.6</v>
      </c>
      <c r="H615" s="14"/>
      <c r="I615" s="14"/>
    </row>
    <row r="616" spans="1:9" s="16" customFormat="1" ht="71.25">
      <c r="A616" s="280" t="s">
        <v>587</v>
      </c>
      <c r="B616" s="247"/>
      <c r="C616" s="166" t="s">
        <v>5</v>
      </c>
      <c r="D616" s="117" t="s">
        <v>111</v>
      </c>
      <c r="E616" s="117" t="s">
        <v>523</v>
      </c>
      <c r="F616" s="134"/>
      <c r="G616" s="144">
        <f>SUM(G617)</f>
        <v>23007.6</v>
      </c>
      <c r="H616" s="14"/>
      <c r="I616" s="14"/>
    </row>
    <row r="617" spans="1:10" s="16" customFormat="1" ht="28.5">
      <c r="A617" s="280" t="s">
        <v>524</v>
      </c>
      <c r="B617" s="247"/>
      <c r="C617" s="166" t="s">
        <v>5</v>
      </c>
      <c r="D617" s="117" t="s">
        <v>111</v>
      </c>
      <c r="E617" s="117" t="s">
        <v>523</v>
      </c>
      <c r="F617" s="134" t="s">
        <v>518</v>
      </c>
      <c r="G617" s="144">
        <v>23007.6</v>
      </c>
      <c r="H617" s="14"/>
      <c r="I617" s="14"/>
      <c r="J617" s="16">
        <f>SUM('ведомствен.2014'!G302)</f>
        <v>23007.6</v>
      </c>
    </row>
    <row r="618" spans="1:9" s="16" customFormat="1" ht="15" hidden="1">
      <c r="A618" s="280" t="s">
        <v>54</v>
      </c>
      <c r="B618" s="247"/>
      <c r="C618" s="166" t="s">
        <v>5</v>
      </c>
      <c r="D618" s="117" t="s">
        <v>111</v>
      </c>
      <c r="E618" s="117" t="s">
        <v>523</v>
      </c>
      <c r="F618" s="134" t="s">
        <v>525</v>
      </c>
      <c r="G618" s="144"/>
      <c r="H618" s="14"/>
      <c r="I618" s="14"/>
    </row>
    <row r="619" spans="1:9" s="16" customFormat="1" ht="28.5" hidden="1">
      <c r="A619" s="280" t="s">
        <v>526</v>
      </c>
      <c r="B619" s="247"/>
      <c r="C619" s="166" t="s">
        <v>5</v>
      </c>
      <c r="D619" s="117" t="s">
        <v>111</v>
      </c>
      <c r="E619" s="117" t="s">
        <v>523</v>
      </c>
      <c r="F619" s="134" t="s">
        <v>527</v>
      </c>
      <c r="G619" s="144"/>
      <c r="H619" s="14"/>
      <c r="I619" s="14"/>
    </row>
    <row r="620" spans="1:9" s="16" customFormat="1" ht="57">
      <c r="A620" s="280" t="s">
        <v>588</v>
      </c>
      <c r="B620" s="247"/>
      <c r="C620" s="166" t="s">
        <v>5</v>
      </c>
      <c r="D620" s="117" t="s">
        <v>111</v>
      </c>
      <c r="E620" s="117" t="s">
        <v>425</v>
      </c>
      <c r="F620" s="134"/>
      <c r="G620" s="144">
        <f>SUM(G621)</f>
        <v>23797</v>
      </c>
      <c r="H620" s="14"/>
      <c r="I620" s="14"/>
    </row>
    <row r="621" spans="1:10" s="16" customFormat="1" ht="28.5">
      <c r="A621" s="280" t="s">
        <v>524</v>
      </c>
      <c r="B621" s="247"/>
      <c r="C621" s="166" t="s">
        <v>5</v>
      </c>
      <c r="D621" s="117" t="s">
        <v>111</v>
      </c>
      <c r="E621" s="117" t="s">
        <v>425</v>
      </c>
      <c r="F621" s="134" t="s">
        <v>518</v>
      </c>
      <c r="G621" s="144">
        <v>23797</v>
      </c>
      <c r="H621" s="14"/>
      <c r="I621" s="14"/>
      <c r="J621" s="16">
        <f>SUM('ведомствен.2014'!G306)</f>
        <v>23797</v>
      </c>
    </row>
    <row r="622" spans="1:9" s="16" customFormat="1" ht="15" hidden="1">
      <c r="A622" s="280" t="s">
        <v>54</v>
      </c>
      <c r="B622" s="247"/>
      <c r="C622" s="166" t="s">
        <v>5</v>
      </c>
      <c r="D622" s="117" t="s">
        <v>111</v>
      </c>
      <c r="E622" s="117" t="s">
        <v>425</v>
      </c>
      <c r="F622" s="134" t="s">
        <v>525</v>
      </c>
      <c r="G622" s="144"/>
      <c r="H622" s="14"/>
      <c r="I622" s="14"/>
    </row>
    <row r="623" spans="1:10" s="16" customFormat="1" ht="15">
      <c r="A623" s="302" t="s">
        <v>148</v>
      </c>
      <c r="B623" s="249"/>
      <c r="C623" s="141" t="s">
        <v>5</v>
      </c>
      <c r="D623" s="120" t="s">
        <v>111</v>
      </c>
      <c r="E623" s="120" t="s">
        <v>210</v>
      </c>
      <c r="F623" s="168"/>
      <c r="G623" s="154">
        <f>SUM(G626)+G624</f>
        <v>57615.2</v>
      </c>
      <c r="H623" s="14">
        <v>90050.4</v>
      </c>
      <c r="I623" s="14">
        <f>SUM(H623/G633*100)</f>
        <v>482.67315588049274</v>
      </c>
      <c r="J623" s="38"/>
    </row>
    <row r="624" spans="1:10" s="16" customFormat="1" ht="57">
      <c r="A624" s="287" t="s">
        <v>149</v>
      </c>
      <c r="B624" s="264"/>
      <c r="C624" s="56" t="s">
        <v>5</v>
      </c>
      <c r="D624" s="111" t="s">
        <v>111</v>
      </c>
      <c r="E624" s="111" t="s">
        <v>150</v>
      </c>
      <c r="F624" s="183"/>
      <c r="G624" s="151">
        <f>SUM(G625)</f>
        <v>27063.5</v>
      </c>
      <c r="H624" s="14"/>
      <c r="I624" s="14"/>
      <c r="J624" s="38"/>
    </row>
    <row r="625" spans="1:10" s="16" customFormat="1" ht="15">
      <c r="A625" s="287" t="s">
        <v>463</v>
      </c>
      <c r="B625" s="264"/>
      <c r="C625" s="56" t="s">
        <v>5</v>
      </c>
      <c r="D625" s="111" t="s">
        <v>111</v>
      </c>
      <c r="E625" s="111" t="s">
        <v>150</v>
      </c>
      <c r="F625" s="183" t="s">
        <v>464</v>
      </c>
      <c r="G625" s="151">
        <v>27063.5</v>
      </c>
      <c r="H625" s="14"/>
      <c r="I625" s="14"/>
      <c r="J625" s="38">
        <f>SUM('ведомствен.2014'!G672)</f>
        <v>27063.5</v>
      </c>
    </row>
    <row r="626" spans="1:10" s="16" customFormat="1" ht="28.5">
      <c r="A626" s="302" t="s">
        <v>438</v>
      </c>
      <c r="B626" s="249"/>
      <c r="C626" s="141" t="s">
        <v>5</v>
      </c>
      <c r="D626" s="120" t="s">
        <v>111</v>
      </c>
      <c r="E626" s="120" t="s">
        <v>151</v>
      </c>
      <c r="F626" s="168"/>
      <c r="G626" s="154">
        <f>SUM(G633+G627+G630)</f>
        <v>30551.699999999997</v>
      </c>
      <c r="H626" s="14"/>
      <c r="I626" s="14"/>
      <c r="J626" s="38"/>
    </row>
    <row r="627" spans="1:9" s="16" customFormat="1" ht="15">
      <c r="A627" s="285" t="s">
        <v>152</v>
      </c>
      <c r="B627" s="275"/>
      <c r="C627" s="141" t="s">
        <v>5</v>
      </c>
      <c r="D627" s="120" t="s">
        <v>111</v>
      </c>
      <c r="E627" s="120" t="s">
        <v>153</v>
      </c>
      <c r="F627" s="168"/>
      <c r="G627" s="154">
        <f>SUM(G628:G629)</f>
        <v>6513.5</v>
      </c>
      <c r="H627" s="14">
        <f>SUM(H629)</f>
        <v>56493.7</v>
      </c>
      <c r="I627" s="14">
        <f>SUM(H627/G636*100)</f>
        <v>186.95627713650322</v>
      </c>
    </row>
    <row r="628" spans="1:10" s="16" customFormat="1" ht="15">
      <c r="A628" s="279" t="s">
        <v>458</v>
      </c>
      <c r="B628" s="275"/>
      <c r="C628" s="141" t="s">
        <v>5</v>
      </c>
      <c r="D628" s="120" t="s">
        <v>111</v>
      </c>
      <c r="E628" s="120" t="s">
        <v>153</v>
      </c>
      <c r="F628" s="168" t="s">
        <v>109</v>
      </c>
      <c r="G628" s="154">
        <v>96.7</v>
      </c>
      <c r="H628" s="14"/>
      <c r="I628" s="14"/>
      <c r="J628" s="16">
        <f>SUM('ведомствен.2014'!G489)</f>
        <v>96.7</v>
      </c>
    </row>
    <row r="629" spans="1:10" s="16" customFormat="1" ht="15">
      <c r="A629" s="285" t="s">
        <v>463</v>
      </c>
      <c r="B629" s="275"/>
      <c r="C629" s="141" t="s">
        <v>5</v>
      </c>
      <c r="D629" s="120" t="s">
        <v>111</v>
      </c>
      <c r="E629" s="120" t="s">
        <v>153</v>
      </c>
      <c r="F629" s="168" t="s">
        <v>464</v>
      </c>
      <c r="G629" s="154">
        <v>6416.8</v>
      </c>
      <c r="H629" s="14">
        <v>56493.7</v>
      </c>
      <c r="I629" s="14">
        <f>SUM(H629/G637*100)</f>
        <v>205.86057494342757</v>
      </c>
      <c r="J629" s="16">
        <f>SUM('ведомствен.2014'!G490)</f>
        <v>6416.8</v>
      </c>
    </row>
    <row r="630" spans="1:9" s="16" customFormat="1" ht="15">
      <c r="A630" s="302" t="s">
        <v>439</v>
      </c>
      <c r="B630" s="249"/>
      <c r="C630" s="141" t="s">
        <v>5</v>
      </c>
      <c r="D630" s="120" t="s">
        <v>111</v>
      </c>
      <c r="E630" s="120" t="s">
        <v>154</v>
      </c>
      <c r="F630" s="168"/>
      <c r="G630" s="154">
        <f>SUM(G631:G632)</f>
        <v>5381.599999999999</v>
      </c>
      <c r="H630" s="14">
        <f>SUM(H632+H637+H639+H653+H655+H648+H661)</f>
        <v>182903.19999999998</v>
      </c>
      <c r="I630" s="14">
        <f>SUM(H630/G638*100)</f>
        <v>5871.880317185142</v>
      </c>
    </row>
    <row r="631" spans="1:10" s="16" customFormat="1" ht="15">
      <c r="A631" s="279" t="s">
        <v>458</v>
      </c>
      <c r="B631" s="275"/>
      <c r="C631" s="141" t="s">
        <v>5</v>
      </c>
      <c r="D631" s="120" t="s">
        <v>111</v>
      </c>
      <c r="E631" s="120" t="s">
        <v>154</v>
      </c>
      <c r="F631" s="168" t="s">
        <v>109</v>
      </c>
      <c r="G631" s="154">
        <v>45.9</v>
      </c>
      <c r="H631" s="14"/>
      <c r="I631" s="14"/>
      <c r="J631" s="16">
        <f>SUM('ведомствен.2014'!G492)</f>
        <v>45.9</v>
      </c>
    </row>
    <row r="632" spans="1:10" s="16" customFormat="1" ht="15">
      <c r="A632" s="302" t="s">
        <v>463</v>
      </c>
      <c r="B632" s="249"/>
      <c r="C632" s="141" t="s">
        <v>5</v>
      </c>
      <c r="D632" s="120" t="s">
        <v>111</v>
      </c>
      <c r="E632" s="120" t="s">
        <v>154</v>
      </c>
      <c r="F632" s="168" t="s">
        <v>464</v>
      </c>
      <c r="G632" s="154">
        <v>5335.7</v>
      </c>
      <c r="H632" s="14">
        <f>SUM(H633)</f>
        <v>37224.7</v>
      </c>
      <c r="I632" s="14">
        <f>SUM(H632/G639*100)</f>
        <v>1199.9065209683135</v>
      </c>
      <c r="J632" s="16">
        <f>SUM('ведомствен.2014'!G493)</f>
        <v>5335.7</v>
      </c>
    </row>
    <row r="633" spans="1:10" s="16" customFormat="1" ht="15">
      <c r="A633" s="285" t="s">
        <v>440</v>
      </c>
      <c r="B633" s="275"/>
      <c r="C633" s="141" t="s">
        <v>5</v>
      </c>
      <c r="D633" s="120" t="s">
        <v>111</v>
      </c>
      <c r="E633" s="120" t="s">
        <v>441</v>
      </c>
      <c r="F633" s="168"/>
      <c r="G633" s="154">
        <f>SUM(G634:G635)</f>
        <v>18656.6</v>
      </c>
      <c r="H633" s="14">
        <v>37224.7</v>
      </c>
      <c r="I633" s="14">
        <f>SUM(H633/G640*100)</f>
        <v>295434.126984127</v>
      </c>
      <c r="J633" s="38"/>
    </row>
    <row r="634" spans="1:10" s="16" customFormat="1" ht="15">
      <c r="A634" s="279" t="s">
        <v>458</v>
      </c>
      <c r="B634" s="275"/>
      <c r="C634" s="141" t="s">
        <v>5</v>
      </c>
      <c r="D634" s="120" t="s">
        <v>111</v>
      </c>
      <c r="E634" s="120" t="s">
        <v>441</v>
      </c>
      <c r="F634" s="168" t="s">
        <v>109</v>
      </c>
      <c r="G634" s="154">
        <v>288.5</v>
      </c>
      <c r="H634" s="14"/>
      <c r="I634" s="14"/>
      <c r="J634" s="38">
        <f>SUM('ведомствен.2014'!G495)</f>
        <v>288.5</v>
      </c>
    </row>
    <row r="635" spans="1:10" s="16" customFormat="1" ht="15">
      <c r="A635" s="285" t="s">
        <v>463</v>
      </c>
      <c r="B635" s="275"/>
      <c r="C635" s="141" t="s">
        <v>5</v>
      </c>
      <c r="D635" s="120" t="s">
        <v>111</v>
      </c>
      <c r="E635" s="120" t="s">
        <v>441</v>
      </c>
      <c r="F635" s="168" t="s">
        <v>464</v>
      </c>
      <c r="G635" s="154">
        <v>18368.1</v>
      </c>
      <c r="H635" s="14">
        <f>SUM(H636)</f>
        <v>0</v>
      </c>
      <c r="I635" s="14">
        <f aca="true" t="shared" si="12" ref="I635:I649">SUM(H635/G641*100)</f>
        <v>0</v>
      </c>
      <c r="J635" s="16">
        <f>SUM('ведомствен.2014'!G496)</f>
        <v>18368.1</v>
      </c>
    </row>
    <row r="636" spans="1:9" s="16" customFormat="1" ht="15">
      <c r="A636" s="302" t="s">
        <v>155</v>
      </c>
      <c r="B636" s="249"/>
      <c r="C636" s="141" t="s">
        <v>5</v>
      </c>
      <c r="D636" s="120" t="s">
        <v>352</v>
      </c>
      <c r="E636" s="120"/>
      <c r="F636" s="168"/>
      <c r="G636" s="154">
        <f>G637+G650+G660+G658</f>
        <v>30217.6</v>
      </c>
      <c r="H636" s="14"/>
      <c r="I636" s="14">
        <f t="shared" si="12"/>
        <v>0</v>
      </c>
    </row>
    <row r="637" spans="1:9" s="16" customFormat="1" ht="42.75">
      <c r="A637" s="285" t="s">
        <v>88</v>
      </c>
      <c r="B637" s="249"/>
      <c r="C637" s="141" t="s">
        <v>5</v>
      </c>
      <c r="D637" s="120" t="s">
        <v>352</v>
      </c>
      <c r="E637" s="120" t="s">
        <v>89</v>
      </c>
      <c r="F637" s="168"/>
      <c r="G637" s="154">
        <f>G638+G641+G645+G647</f>
        <v>27442.7</v>
      </c>
      <c r="H637" s="14">
        <f>SUM(H638)</f>
        <v>29554</v>
      </c>
      <c r="I637" s="14">
        <f t="shared" si="12"/>
        <v>5122.898249263304</v>
      </c>
    </row>
    <row r="638" spans="1:10" s="16" customFormat="1" ht="15">
      <c r="A638" s="285" t="s">
        <v>96</v>
      </c>
      <c r="B638" s="249"/>
      <c r="C638" s="141" t="s">
        <v>5</v>
      </c>
      <c r="D638" s="120" t="s">
        <v>352</v>
      </c>
      <c r="E638" s="120" t="s">
        <v>98</v>
      </c>
      <c r="F638" s="168"/>
      <c r="G638" s="154">
        <f>G639+G640</f>
        <v>3114.9</v>
      </c>
      <c r="H638" s="14">
        <v>29554</v>
      </c>
      <c r="I638" s="14">
        <f aca="true" t="shared" si="13" ref="I638:I643">SUM(H638/G645*100)</f>
        <v>202.80108969388385</v>
      </c>
      <c r="J638" s="38"/>
    </row>
    <row r="639" spans="1:10" s="16" customFormat="1" ht="42.75">
      <c r="A639" s="285" t="s">
        <v>554</v>
      </c>
      <c r="B639" s="249"/>
      <c r="C639" s="141" t="s">
        <v>5</v>
      </c>
      <c r="D639" s="120" t="s">
        <v>352</v>
      </c>
      <c r="E639" s="120" t="s">
        <v>98</v>
      </c>
      <c r="F639" s="168" t="s">
        <v>454</v>
      </c>
      <c r="G639" s="154">
        <v>3102.3</v>
      </c>
      <c r="H639" s="14">
        <f>SUM(H640)</f>
        <v>37911</v>
      </c>
      <c r="I639" s="14">
        <f t="shared" si="13"/>
        <v>260.1472596394678</v>
      </c>
      <c r="J639" s="16">
        <f>SUM('ведомствен.2014'!G500)</f>
        <v>3102.3</v>
      </c>
    </row>
    <row r="640" spans="1:10" s="16" customFormat="1" ht="15">
      <c r="A640" s="285" t="s">
        <v>458</v>
      </c>
      <c r="B640" s="249"/>
      <c r="C640" s="141" t="s">
        <v>5</v>
      </c>
      <c r="D640" s="120" t="s">
        <v>352</v>
      </c>
      <c r="E640" s="120" t="s">
        <v>98</v>
      </c>
      <c r="F640" s="168" t="s">
        <v>109</v>
      </c>
      <c r="G640" s="154">
        <v>12.6</v>
      </c>
      <c r="H640" s="14">
        <v>37911</v>
      </c>
      <c r="I640" s="14">
        <f t="shared" si="13"/>
        <v>686.5820308962818</v>
      </c>
      <c r="J640" s="16">
        <f>SUM('ведомствен.2014'!G501)</f>
        <v>12.6</v>
      </c>
    </row>
    <row r="641" spans="1:9" s="16" customFormat="1" ht="42.75">
      <c r="A641" s="302" t="s">
        <v>555</v>
      </c>
      <c r="B641" s="249"/>
      <c r="C641" s="141" t="s">
        <v>5</v>
      </c>
      <c r="D641" s="120" t="s">
        <v>352</v>
      </c>
      <c r="E641" s="120" t="s">
        <v>158</v>
      </c>
      <c r="F641" s="168"/>
      <c r="G641" s="154">
        <f>SUM(G642:G644)</f>
        <v>4233.2</v>
      </c>
      <c r="H641" s="14">
        <f>SUM(H642)</f>
        <v>0</v>
      </c>
      <c r="I641" s="14">
        <f t="shared" si="13"/>
        <v>0</v>
      </c>
    </row>
    <row r="642" spans="1:10" s="16" customFormat="1" ht="42.75">
      <c r="A642" s="285" t="s">
        <v>554</v>
      </c>
      <c r="B642" s="249"/>
      <c r="C642" s="141" t="s">
        <v>5</v>
      </c>
      <c r="D642" s="120" t="s">
        <v>352</v>
      </c>
      <c r="E642" s="120" t="s">
        <v>158</v>
      </c>
      <c r="F642" s="168" t="s">
        <v>454</v>
      </c>
      <c r="G642" s="154">
        <v>3602.4</v>
      </c>
      <c r="H642" s="14"/>
      <c r="I642" s="14">
        <f t="shared" si="13"/>
        <v>0</v>
      </c>
      <c r="J642" s="16">
        <f>SUM('ведомствен.2014'!G503)</f>
        <v>3602.4</v>
      </c>
    </row>
    <row r="643" spans="1:10" s="16" customFormat="1" ht="15">
      <c r="A643" s="285" t="s">
        <v>458</v>
      </c>
      <c r="B643" s="277"/>
      <c r="C643" s="141" t="s">
        <v>5</v>
      </c>
      <c r="D643" s="120" t="s">
        <v>352</v>
      </c>
      <c r="E643" s="120" t="s">
        <v>158</v>
      </c>
      <c r="F643" s="168" t="s">
        <v>109</v>
      </c>
      <c r="G643" s="154">
        <v>576.9</v>
      </c>
      <c r="H643" s="14">
        <f>SUM(H645)</f>
        <v>0</v>
      </c>
      <c r="I643" s="14">
        <f t="shared" si="13"/>
        <v>0</v>
      </c>
      <c r="J643" s="16">
        <f>SUM('ведомствен.2014'!G504)</f>
        <v>576.9</v>
      </c>
    </row>
    <row r="644" spans="1:10" s="16" customFormat="1" ht="15">
      <c r="A644" s="279" t="s">
        <v>459</v>
      </c>
      <c r="B644" s="278"/>
      <c r="C644" s="141" t="s">
        <v>5</v>
      </c>
      <c r="D644" s="120" t="s">
        <v>352</v>
      </c>
      <c r="E644" s="120" t="s">
        <v>158</v>
      </c>
      <c r="F644" s="168" t="s">
        <v>163</v>
      </c>
      <c r="G644" s="154">
        <v>53.9</v>
      </c>
      <c r="H644" s="14"/>
      <c r="I644" s="14"/>
      <c r="J644" s="16">
        <f>SUM('ведомствен.2014'!G505)</f>
        <v>53.9</v>
      </c>
    </row>
    <row r="645" spans="1:9" s="16" customFormat="1" ht="28.5">
      <c r="A645" s="302" t="s">
        <v>156</v>
      </c>
      <c r="B645" s="249"/>
      <c r="C645" s="141" t="s">
        <v>5</v>
      </c>
      <c r="D645" s="120" t="s">
        <v>352</v>
      </c>
      <c r="E645" s="120" t="s">
        <v>157</v>
      </c>
      <c r="F645" s="168"/>
      <c r="G645" s="154">
        <f>SUM(G646)</f>
        <v>14572.9</v>
      </c>
      <c r="H645" s="14"/>
      <c r="I645" s="14">
        <f t="shared" si="12"/>
        <v>0</v>
      </c>
    </row>
    <row r="646" spans="1:10" s="16" customFormat="1" ht="42.75">
      <c r="A646" s="285" t="s">
        <v>554</v>
      </c>
      <c r="B646" s="249"/>
      <c r="C646" s="141" t="s">
        <v>5</v>
      </c>
      <c r="D646" s="120" t="s">
        <v>352</v>
      </c>
      <c r="E646" s="120" t="s">
        <v>157</v>
      </c>
      <c r="F646" s="168" t="s">
        <v>454</v>
      </c>
      <c r="G646" s="154">
        <v>14572.9</v>
      </c>
      <c r="H646" s="14">
        <f>SUM(H647)</f>
        <v>0</v>
      </c>
      <c r="I646" s="14">
        <f t="shared" si="12"/>
        <v>0</v>
      </c>
      <c r="J646" s="16">
        <f>SUM('ведомствен.2014'!G507)</f>
        <v>14572.9</v>
      </c>
    </row>
    <row r="647" spans="1:9" s="16" customFormat="1" ht="42.75">
      <c r="A647" s="302" t="s">
        <v>159</v>
      </c>
      <c r="B647" s="277"/>
      <c r="C647" s="141" t="s">
        <v>5</v>
      </c>
      <c r="D647" s="120" t="s">
        <v>352</v>
      </c>
      <c r="E647" s="120" t="s">
        <v>160</v>
      </c>
      <c r="F647" s="168"/>
      <c r="G647" s="154">
        <f>G648+G649</f>
        <v>5521.700000000001</v>
      </c>
      <c r="H647" s="14"/>
      <c r="I647" s="14">
        <f t="shared" si="12"/>
        <v>0</v>
      </c>
    </row>
    <row r="648" spans="1:10" ht="42.75">
      <c r="A648" s="285" t="s">
        <v>554</v>
      </c>
      <c r="B648" s="249"/>
      <c r="C648" s="141" t="s">
        <v>5</v>
      </c>
      <c r="D648" s="120" t="s">
        <v>352</v>
      </c>
      <c r="E648" s="120" t="s">
        <v>160</v>
      </c>
      <c r="F648" s="168" t="s">
        <v>454</v>
      </c>
      <c r="G648" s="154">
        <v>4948.6</v>
      </c>
      <c r="H648" s="14">
        <f>SUM(H649)</f>
        <v>70381.4</v>
      </c>
      <c r="I648" s="14">
        <f t="shared" si="12"/>
        <v>6258.349635425929</v>
      </c>
      <c r="J648" s="16">
        <f>SUM('ведомствен.2014'!G509)</f>
        <v>4948.6</v>
      </c>
    </row>
    <row r="649" spans="1:10" ht="15">
      <c r="A649" s="285" t="s">
        <v>458</v>
      </c>
      <c r="B649" s="249"/>
      <c r="C649" s="141" t="s">
        <v>5</v>
      </c>
      <c r="D649" s="120" t="s">
        <v>352</v>
      </c>
      <c r="E649" s="120" t="s">
        <v>160</v>
      </c>
      <c r="F649" s="168" t="s">
        <v>109</v>
      </c>
      <c r="G649" s="154">
        <v>573.1</v>
      </c>
      <c r="H649" s="14">
        <v>70381.4</v>
      </c>
      <c r="I649" s="14">
        <f t="shared" si="12"/>
        <v>5540.533732189246</v>
      </c>
      <c r="J649" s="16">
        <f>SUM('ведомствен.2014'!G510)</f>
        <v>573.1</v>
      </c>
    </row>
    <row r="650" spans="1:10" ht="28.5">
      <c r="A650" s="285" t="s">
        <v>455</v>
      </c>
      <c r="B650" s="249"/>
      <c r="C650" s="141" t="s">
        <v>5</v>
      </c>
      <c r="D650" s="120" t="s">
        <v>352</v>
      </c>
      <c r="E650" s="120" t="s">
        <v>456</v>
      </c>
      <c r="F650" s="168"/>
      <c r="G650" s="154">
        <f>G651+G653+G655</f>
        <v>2624.8999999999996</v>
      </c>
      <c r="H650" s="14"/>
      <c r="I650" s="14"/>
      <c r="J650" s="38"/>
    </row>
    <row r="651" spans="1:10" ht="15">
      <c r="A651" s="302" t="s">
        <v>444</v>
      </c>
      <c r="B651" s="277"/>
      <c r="C651" s="141" t="s">
        <v>5</v>
      </c>
      <c r="D651" s="120" t="s">
        <v>352</v>
      </c>
      <c r="E651" s="120" t="s">
        <v>457</v>
      </c>
      <c r="F651" s="168"/>
      <c r="G651" s="154">
        <f>SUM(G652)</f>
        <v>230</v>
      </c>
      <c r="H651" s="14"/>
      <c r="I651" s="14"/>
      <c r="J651" s="38"/>
    </row>
    <row r="652" spans="1:10" ht="15">
      <c r="A652" s="285" t="s">
        <v>458</v>
      </c>
      <c r="B652" s="249"/>
      <c r="C652" s="141" t="s">
        <v>5</v>
      </c>
      <c r="D652" s="120" t="s">
        <v>352</v>
      </c>
      <c r="E652" s="120" t="s">
        <v>457</v>
      </c>
      <c r="F652" s="168" t="s">
        <v>109</v>
      </c>
      <c r="G652" s="154">
        <v>230</v>
      </c>
      <c r="H652" s="14"/>
      <c r="I652" s="14"/>
      <c r="J652" s="16">
        <f>SUM('ведомствен.2014'!G513)</f>
        <v>230</v>
      </c>
    </row>
    <row r="653" spans="1:9" s="16" customFormat="1" ht="28.5">
      <c r="A653" s="302" t="s">
        <v>445</v>
      </c>
      <c r="B653" s="277"/>
      <c r="C653" s="141" t="s">
        <v>5</v>
      </c>
      <c r="D653" s="120" t="s">
        <v>352</v>
      </c>
      <c r="E653" s="120" t="s">
        <v>460</v>
      </c>
      <c r="F653" s="168"/>
      <c r="G653" s="154">
        <f>SUM(G654)</f>
        <v>1124.6</v>
      </c>
      <c r="H653" s="14">
        <f>SUM(H654)</f>
        <v>1365.8</v>
      </c>
      <c r="I653" s="14">
        <f>SUM(H653/G661*100)</f>
        <v>910.5333333333332</v>
      </c>
    </row>
    <row r="654" spans="1:10" s="16" customFormat="1" ht="15">
      <c r="A654" s="285" t="s">
        <v>458</v>
      </c>
      <c r="B654" s="249"/>
      <c r="C654" s="141" t="s">
        <v>5</v>
      </c>
      <c r="D654" s="120" t="s">
        <v>352</v>
      </c>
      <c r="E654" s="120" t="s">
        <v>460</v>
      </c>
      <c r="F654" s="168" t="s">
        <v>109</v>
      </c>
      <c r="G654" s="154">
        <v>1124.6</v>
      </c>
      <c r="H654" s="14">
        <v>1365.8</v>
      </c>
      <c r="I654" s="14">
        <f>SUM(H654/G662*100)</f>
        <v>910.5333333333332</v>
      </c>
      <c r="J654" s="16">
        <f>SUM('ведомствен.2014'!G515)</f>
        <v>1124.6</v>
      </c>
    </row>
    <row r="655" spans="1:9" s="16" customFormat="1" ht="28.5">
      <c r="A655" s="302" t="s">
        <v>461</v>
      </c>
      <c r="B655" s="277"/>
      <c r="C655" s="141" t="s">
        <v>5</v>
      </c>
      <c r="D655" s="120" t="s">
        <v>352</v>
      </c>
      <c r="E655" s="120" t="s">
        <v>462</v>
      </c>
      <c r="F655" s="168"/>
      <c r="G655" s="154">
        <f>G656+G657</f>
        <v>1270.3</v>
      </c>
      <c r="H655" s="14">
        <f>SUM(H656)</f>
        <v>1324.9</v>
      </c>
      <c r="I655" s="14" t="e">
        <f>SUM(H655/#REF!*100)</f>
        <v>#REF!</v>
      </c>
    </row>
    <row r="656" spans="1:10" s="16" customFormat="1" ht="42.75" hidden="1">
      <c r="A656" s="285" t="s">
        <v>554</v>
      </c>
      <c r="B656" s="249"/>
      <c r="C656" s="141" t="s">
        <v>5</v>
      </c>
      <c r="D656" s="120" t="s">
        <v>352</v>
      </c>
      <c r="E656" s="120" t="s">
        <v>462</v>
      </c>
      <c r="F656" s="168" t="s">
        <v>454</v>
      </c>
      <c r="G656" s="154"/>
      <c r="H656" s="14">
        <v>1324.9</v>
      </c>
      <c r="I656" s="14" t="e">
        <f>SUM(H656/#REF!*100)</f>
        <v>#REF!</v>
      </c>
      <c r="J656" s="16">
        <f>SUM('ведомствен.2014'!G517)</f>
        <v>0</v>
      </c>
    </row>
    <row r="657" spans="1:10" s="16" customFormat="1" ht="18.75" customHeight="1">
      <c r="A657" s="285" t="s">
        <v>458</v>
      </c>
      <c r="B657" s="249"/>
      <c r="C657" s="141" t="s">
        <v>5</v>
      </c>
      <c r="D657" s="120" t="s">
        <v>352</v>
      </c>
      <c r="E657" s="120" t="s">
        <v>462</v>
      </c>
      <c r="F657" s="168" t="s">
        <v>109</v>
      </c>
      <c r="G657" s="154">
        <v>1270.3</v>
      </c>
      <c r="H657" s="14">
        <f>SUM(H660)</f>
        <v>0</v>
      </c>
      <c r="I657" s="14" t="e">
        <f>SUM(H657/#REF!*100)</f>
        <v>#REF!</v>
      </c>
      <c r="J657" s="16">
        <f>SUM('ведомствен.2014'!G518)</f>
        <v>1270.3</v>
      </c>
    </row>
    <row r="658" spans="1:9" s="16" customFormat="1" ht="28.5" hidden="1">
      <c r="A658" s="281" t="s">
        <v>578</v>
      </c>
      <c r="B658" s="244"/>
      <c r="C658" s="45" t="s">
        <v>5</v>
      </c>
      <c r="D658" s="54" t="s">
        <v>352</v>
      </c>
      <c r="E658" s="54" t="s">
        <v>577</v>
      </c>
      <c r="F658" s="129"/>
      <c r="G658" s="146">
        <f>SUM(G659)</f>
        <v>0</v>
      </c>
      <c r="H658" s="14"/>
      <c r="I658" s="14"/>
    </row>
    <row r="659" spans="1:10" s="16" customFormat="1" ht="15" hidden="1">
      <c r="A659" s="279" t="s">
        <v>459</v>
      </c>
      <c r="B659" s="244"/>
      <c r="C659" s="45" t="s">
        <v>5</v>
      </c>
      <c r="D659" s="54" t="s">
        <v>352</v>
      </c>
      <c r="E659" s="54" t="s">
        <v>577</v>
      </c>
      <c r="F659" s="129" t="s">
        <v>163</v>
      </c>
      <c r="G659" s="146"/>
      <c r="H659" s="14"/>
      <c r="I659" s="14"/>
      <c r="J659" s="16">
        <f>SUM('ведомствен.2014'!G350)</f>
        <v>0</v>
      </c>
    </row>
    <row r="660" spans="1:9" s="16" customFormat="1" ht="15">
      <c r="A660" s="285" t="s">
        <v>552</v>
      </c>
      <c r="B660" s="249"/>
      <c r="C660" s="141" t="s">
        <v>5</v>
      </c>
      <c r="D660" s="120" t="s">
        <v>352</v>
      </c>
      <c r="E660" s="120" t="s">
        <v>118</v>
      </c>
      <c r="F660" s="168"/>
      <c r="G660" s="154">
        <f>G661</f>
        <v>150</v>
      </c>
      <c r="H660" s="14"/>
      <c r="I660" s="14" t="e">
        <f>SUM(H660/#REF!*100)</f>
        <v>#REF!</v>
      </c>
    </row>
    <row r="661" spans="1:10" ht="57">
      <c r="A661" s="302" t="s">
        <v>556</v>
      </c>
      <c r="B661" s="249"/>
      <c r="C661" s="141" t="s">
        <v>5</v>
      </c>
      <c r="D661" s="120" t="s">
        <v>352</v>
      </c>
      <c r="E661" s="120" t="s">
        <v>326</v>
      </c>
      <c r="F661" s="168"/>
      <c r="G661" s="154">
        <f>G662</f>
        <v>150</v>
      </c>
      <c r="H661" s="14">
        <f>SUM(H662)</f>
        <v>5141.4</v>
      </c>
      <c r="I661" s="14" t="e">
        <f>SUM(H661/#REF!*100)</f>
        <v>#REF!</v>
      </c>
      <c r="J661"/>
    </row>
    <row r="662" spans="1:10" ht="42.75">
      <c r="A662" s="302" t="s">
        <v>550</v>
      </c>
      <c r="B662" s="249"/>
      <c r="C662" s="141" t="s">
        <v>5</v>
      </c>
      <c r="D662" s="120" t="s">
        <v>352</v>
      </c>
      <c r="E662" s="120" t="s">
        <v>326</v>
      </c>
      <c r="F662" s="168" t="s">
        <v>471</v>
      </c>
      <c r="G662" s="154">
        <v>150</v>
      </c>
      <c r="H662" s="14">
        <v>5141.4</v>
      </c>
      <c r="I662" s="14" t="e">
        <f>SUM(H662/#REF!*100)</f>
        <v>#REF!</v>
      </c>
      <c r="J662" s="16">
        <f>SUM('ведомствен.2014'!G521)</f>
        <v>150</v>
      </c>
    </row>
    <row r="663" spans="1:12" s="28" customFormat="1" ht="15">
      <c r="A663" s="283" t="s">
        <v>231</v>
      </c>
      <c r="B663" s="248"/>
      <c r="C663" s="136" t="s">
        <v>380</v>
      </c>
      <c r="D663" s="119"/>
      <c r="E663" s="119"/>
      <c r="F663" s="133"/>
      <c r="G663" s="148">
        <f>SUM(G664)+G678</f>
        <v>7174.6</v>
      </c>
      <c r="H663" s="27"/>
      <c r="I663" s="14"/>
      <c r="J663" s="36"/>
      <c r="K663" s="40">
        <f>SUM(J664:J694)</f>
        <v>7174.6</v>
      </c>
      <c r="L663" s="28">
        <f>SUM('ведомствен.2014'!G529)</f>
        <v>7174.6</v>
      </c>
    </row>
    <row r="664" spans="1:10" s="28" customFormat="1" ht="15">
      <c r="A664" s="279" t="s">
        <v>224</v>
      </c>
      <c r="B664" s="244"/>
      <c r="C664" s="45" t="s">
        <v>380</v>
      </c>
      <c r="D664" s="54" t="s">
        <v>419</v>
      </c>
      <c r="E664" s="54"/>
      <c r="F664" s="129"/>
      <c r="G664" s="146">
        <f>SUM(G665+G671)</f>
        <v>7135.1</v>
      </c>
      <c r="H664" s="27"/>
      <c r="I664" s="14"/>
      <c r="J664" s="36"/>
    </row>
    <row r="665" spans="1:10" s="28" customFormat="1" ht="28.5">
      <c r="A665" s="279" t="s">
        <v>447</v>
      </c>
      <c r="B665" s="244"/>
      <c r="C665" s="45" t="s">
        <v>380</v>
      </c>
      <c r="D665" s="54" t="s">
        <v>419</v>
      </c>
      <c r="E665" s="54" t="s">
        <v>448</v>
      </c>
      <c r="F665" s="130"/>
      <c r="G665" s="146">
        <f>SUM(G666)</f>
        <v>3854.3</v>
      </c>
      <c r="H665" s="27"/>
      <c r="I665" s="14"/>
      <c r="J665" s="36"/>
    </row>
    <row r="666" spans="1:10" s="28" customFormat="1" ht="28.5">
      <c r="A666" s="279" t="s">
        <v>46</v>
      </c>
      <c r="B666" s="244"/>
      <c r="C666" s="45" t="s">
        <v>380</v>
      </c>
      <c r="D666" s="54" t="s">
        <v>419</v>
      </c>
      <c r="E666" s="54" t="s">
        <v>449</v>
      </c>
      <c r="F666" s="130"/>
      <c r="G666" s="146">
        <f>SUM(G667)</f>
        <v>3854.3</v>
      </c>
      <c r="H666" s="27"/>
      <c r="I666" s="14"/>
      <c r="J666" s="36"/>
    </row>
    <row r="667" spans="1:10" ht="42.75">
      <c r="A667" s="279" t="s">
        <v>585</v>
      </c>
      <c r="B667" s="244"/>
      <c r="C667" s="45" t="s">
        <v>380</v>
      </c>
      <c r="D667" s="54" t="s">
        <v>419</v>
      </c>
      <c r="E667" s="54" t="s">
        <v>528</v>
      </c>
      <c r="F667" s="130"/>
      <c r="G667" s="146">
        <f>SUM(G668:G670)</f>
        <v>3854.3</v>
      </c>
      <c r="H667" s="14"/>
      <c r="I667" s="14"/>
      <c r="J667"/>
    </row>
    <row r="668" spans="1:10" ht="42.75">
      <c r="A668" s="279" t="s">
        <v>453</v>
      </c>
      <c r="B668" s="244"/>
      <c r="C668" s="45" t="s">
        <v>380</v>
      </c>
      <c r="D668" s="54" t="s">
        <v>419</v>
      </c>
      <c r="E668" s="54" t="s">
        <v>528</v>
      </c>
      <c r="F668" s="129" t="s">
        <v>454</v>
      </c>
      <c r="G668" s="146">
        <v>3228.9</v>
      </c>
      <c r="H668" s="27"/>
      <c r="I668" s="14"/>
      <c r="J668">
        <f>SUM('ведомствен.2014'!G536)</f>
        <v>3228.9</v>
      </c>
    </row>
    <row r="669" spans="1:10" ht="15">
      <c r="A669" s="279" t="s">
        <v>458</v>
      </c>
      <c r="B669" s="244"/>
      <c r="C669" s="45" t="s">
        <v>380</v>
      </c>
      <c r="D669" s="54" t="s">
        <v>419</v>
      </c>
      <c r="E669" s="54" t="s">
        <v>528</v>
      </c>
      <c r="F669" s="129" t="s">
        <v>109</v>
      </c>
      <c r="G669" s="147">
        <v>619.4</v>
      </c>
      <c r="H669" s="27"/>
      <c r="I669" s="14"/>
      <c r="J669">
        <f>SUM('ведомствен.2014'!G537)</f>
        <v>619.4</v>
      </c>
    </row>
    <row r="670" spans="1:10" ht="15">
      <c r="A670" s="279" t="s">
        <v>459</v>
      </c>
      <c r="B670" s="244"/>
      <c r="C670" s="45" t="s">
        <v>380</v>
      </c>
      <c r="D670" s="54" t="s">
        <v>419</v>
      </c>
      <c r="E670" s="54" t="s">
        <v>528</v>
      </c>
      <c r="F670" s="130" t="s">
        <v>163</v>
      </c>
      <c r="G670" s="146">
        <v>6</v>
      </c>
      <c r="H670" s="27"/>
      <c r="I670" s="14"/>
      <c r="J670">
        <f>SUM('ведомствен.2014'!G538)</f>
        <v>6</v>
      </c>
    </row>
    <row r="671" spans="1:10" ht="15">
      <c r="A671" s="285" t="s">
        <v>552</v>
      </c>
      <c r="B671" s="244"/>
      <c r="C671" s="45" t="s">
        <v>380</v>
      </c>
      <c r="D671" s="54" t="s">
        <v>419</v>
      </c>
      <c r="E671" s="121" t="s">
        <v>118</v>
      </c>
      <c r="F671" s="129"/>
      <c r="G671" s="146">
        <f>SUM(G672)</f>
        <v>3280.8</v>
      </c>
      <c r="H671" s="14"/>
      <c r="I671" s="14"/>
      <c r="J671"/>
    </row>
    <row r="672" spans="1:10" ht="28.5">
      <c r="A672" s="279" t="s">
        <v>581</v>
      </c>
      <c r="B672" s="244"/>
      <c r="C672" s="45" t="s">
        <v>380</v>
      </c>
      <c r="D672" s="54" t="s">
        <v>419</v>
      </c>
      <c r="E672" s="121" t="s">
        <v>87</v>
      </c>
      <c r="F672" s="129"/>
      <c r="G672" s="146">
        <f>SUM(G673:G675)</f>
        <v>3280.8</v>
      </c>
      <c r="H672" s="34"/>
      <c r="I672" s="14"/>
      <c r="J672"/>
    </row>
    <row r="673" spans="1:10" ht="42.75">
      <c r="A673" s="279" t="s">
        <v>453</v>
      </c>
      <c r="B673" s="260"/>
      <c r="C673" s="45" t="s">
        <v>380</v>
      </c>
      <c r="D673" s="54" t="s">
        <v>419</v>
      </c>
      <c r="E673" s="121" t="s">
        <v>87</v>
      </c>
      <c r="F673" s="129" t="s">
        <v>454</v>
      </c>
      <c r="G673" s="146">
        <v>700</v>
      </c>
      <c r="H673" s="34"/>
      <c r="I673" s="14"/>
      <c r="J673">
        <f>SUM('ведомствен.2014'!G541)</f>
        <v>700</v>
      </c>
    </row>
    <row r="674" spans="1:10" ht="15.75">
      <c r="A674" s="279" t="s">
        <v>458</v>
      </c>
      <c r="B674" s="244"/>
      <c r="C674" s="45" t="s">
        <v>380</v>
      </c>
      <c r="D674" s="54" t="s">
        <v>419</v>
      </c>
      <c r="E674" s="121" t="s">
        <v>87</v>
      </c>
      <c r="F674" s="129" t="s">
        <v>109</v>
      </c>
      <c r="G674" s="146">
        <v>1608.8</v>
      </c>
      <c r="H674" s="34"/>
      <c r="I674" s="14"/>
      <c r="J674">
        <f>SUM('ведомствен.2014'!G542)</f>
        <v>1608.8</v>
      </c>
    </row>
    <row r="675" spans="1:10" ht="27.75" customHeight="1">
      <c r="A675" s="285" t="s">
        <v>475</v>
      </c>
      <c r="B675" s="244"/>
      <c r="C675" s="45" t="s">
        <v>380</v>
      </c>
      <c r="D675" s="54" t="s">
        <v>419</v>
      </c>
      <c r="E675" s="121" t="s">
        <v>87</v>
      </c>
      <c r="F675" s="129" t="s">
        <v>471</v>
      </c>
      <c r="G675" s="146">
        <v>972</v>
      </c>
      <c r="H675" s="34"/>
      <c r="I675" s="14"/>
      <c r="J675">
        <f>SUM('ведомствен.2014'!G543)</f>
        <v>972</v>
      </c>
    </row>
    <row r="676" spans="1:9" s="28" customFormat="1" ht="42.75" hidden="1">
      <c r="A676" s="279" t="s">
        <v>141</v>
      </c>
      <c r="B676" s="244"/>
      <c r="C676" s="45" t="s">
        <v>380</v>
      </c>
      <c r="D676" s="54" t="s">
        <v>419</v>
      </c>
      <c r="E676" s="121" t="s">
        <v>373</v>
      </c>
      <c r="F676" s="129"/>
      <c r="G676" s="146">
        <f>SUM(G677)</f>
        <v>0</v>
      </c>
      <c r="H676" s="27"/>
      <c r="I676" s="14"/>
    </row>
    <row r="677" spans="1:9" s="28" customFormat="1" ht="28.5" hidden="1">
      <c r="A677" s="285" t="s">
        <v>132</v>
      </c>
      <c r="B677" s="244"/>
      <c r="C677" s="45" t="s">
        <v>380</v>
      </c>
      <c r="D677" s="54" t="s">
        <v>419</v>
      </c>
      <c r="E677" s="121" t="s">
        <v>373</v>
      </c>
      <c r="F677" s="129" t="s">
        <v>72</v>
      </c>
      <c r="G677" s="146"/>
      <c r="H677" s="27"/>
      <c r="I677" s="14"/>
    </row>
    <row r="678" spans="1:9" s="28" customFormat="1" ht="15">
      <c r="A678" s="279" t="s">
        <v>144</v>
      </c>
      <c r="B678" s="244"/>
      <c r="C678" s="45" t="s">
        <v>380</v>
      </c>
      <c r="D678" s="54" t="s">
        <v>421</v>
      </c>
      <c r="E678" s="116"/>
      <c r="F678" s="130"/>
      <c r="G678" s="146">
        <f>SUM(G679)</f>
        <v>39.5</v>
      </c>
      <c r="H678" s="27"/>
      <c r="I678" s="14"/>
    </row>
    <row r="679" spans="1:10" s="28" customFormat="1" ht="15">
      <c r="A679" s="285" t="s">
        <v>634</v>
      </c>
      <c r="B679" s="242"/>
      <c r="C679" s="54" t="s">
        <v>380</v>
      </c>
      <c r="D679" s="54" t="s">
        <v>421</v>
      </c>
      <c r="E679" s="54" t="s">
        <v>636</v>
      </c>
      <c r="F679" s="130"/>
      <c r="G679" s="146">
        <f>SUM(G680)</f>
        <v>39.5</v>
      </c>
      <c r="H679" s="27"/>
      <c r="I679" s="14"/>
      <c r="J679"/>
    </row>
    <row r="680" spans="1:9" s="28" customFormat="1" ht="42.75">
      <c r="A680" s="279" t="s">
        <v>639</v>
      </c>
      <c r="B680" s="242"/>
      <c r="C680" s="54" t="s">
        <v>380</v>
      </c>
      <c r="D680" s="54" t="s">
        <v>421</v>
      </c>
      <c r="E680" s="54" t="s">
        <v>640</v>
      </c>
      <c r="F680" s="130"/>
      <c r="G680" s="146">
        <f>SUM(G681)</f>
        <v>39.5</v>
      </c>
      <c r="H680" s="27"/>
      <c r="I680" s="14"/>
    </row>
    <row r="681" spans="1:9" s="28" customFormat="1" ht="31.5" customHeight="1">
      <c r="A681" s="279" t="s">
        <v>648</v>
      </c>
      <c r="B681" s="242"/>
      <c r="C681" s="54" t="s">
        <v>380</v>
      </c>
      <c r="D681" s="54" t="s">
        <v>421</v>
      </c>
      <c r="E681" s="54" t="s">
        <v>649</v>
      </c>
      <c r="F681" s="130"/>
      <c r="G681" s="146">
        <f>SUM(G682)</f>
        <v>39.5</v>
      </c>
      <c r="H681" s="27"/>
      <c r="I681" s="14"/>
    </row>
    <row r="682" spans="1:10" s="28" customFormat="1" ht="35.25" customHeight="1" thickBot="1">
      <c r="A682" s="285" t="s">
        <v>475</v>
      </c>
      <c r="B682" s="242"/>
      <c r="C682" s="54" t="s">
        <v>380</v>
      </c>
      <c r="D682" s="54" t="s">
        <v>421</v>
      </c>
      <c r="E682" s="54" t="s">
        <v>649</v>
      </c>
      <c r="F682" s="129" t="s">
        <v>471</v>
      </c>
      <c r="G682" s="146">
        <v>39.5</v>
      </c>
      <c r="H682" s="27"/>
      <c r="I682" s="14"/>
      <c r="J682" s="28">
        <f>SUM('ведомствен.2014'!G550)</f>
        <v>39.5</v>
      </c>
    </row>
    <row r="683" spans="1:10" ht="15.75" hidden="1" thickBot="1">
      <c r="A683" s="279" t="s">
        <v>225</v>
      </c>
      <c r="B683" s="244"/>
      <c r="C683" s="45" t="s">
        <v>380</v>
      </c>
      <c r="D683" s="54" t="s">
        <v>120</v>
      </c>
      <c r="E683" s="116"/>
      <c r="F683" s="130"/>
      <c r="G683" s="146">
        <f>SUM(G684+G690+G692)+G687</f>
        <v>0</v>
      </c>
      <c r="H683" s="14" t="e">
        <f>SUM(H688)+H692+H694</f>
        <v>#REF!</v>
      </c>
      <c r="I683" s="14" t="e">
        <f>SUM(H683/G689*100)</f>
        <v>#REF!</v>
      </c>
      <c r="J683"/>
    </row>
    <row r="684" spans="1:10" ht="43.5" hidden="1" thickBot="1">
      <c r="A684" s="279" t="s">
        <v>88</v>
      </c>
      <c r="B684" s="244"/>
      <c r="C684" s="45" t="s">
        <v>380</v>
      </c>
      <c r="D684" s="54" t="s">
        <v>120</v>
      </c>
      <c r="E684" s="54" t="s">
        <v>89</v>
      </c>
      <c r="F684" s="130"/>
      <c r="G684" s="146">
        <f>SUM(G685)</f>
        <v>0</v>
      </c>
      <c r="H684" s="14"/>
      <c r="I684" s="14"/>
      <c r="J684"/>
    </row>
    <row r="685" spans="1:10" ht="15.75" hidden="1" thickBot="1">
      <c r="A685" s="279" t="s">
        <v>96</v>
      </c>
      <c r="B685" s="244"/>
      <c r="C685" s="45" t="s">
        <v>380</v>
      </c>
      <c r="D685" s="54" t="s">
        <v>120</v>
      </c>
      <c r="E685" s="54" t="s">
        <v>98</v>
      </c>
      <c r="F685" s="130"/>
      <c r="G685" s="146">
        <f>SUM(G686)</f>
        <v>0</v>
      </c>
      <c r="H685" s="14"/>
      <c r="I685" s="14"/>
      <c r="J685"/>
    </row>
    <row r="686" spans="1:10" ht="15.75" hidden="1" thickBot="1">
      <c r="A686" s="279" t="s">
        <v>92</v>
      </c>
      <c r="B686" s="244"/>
      <c r="C686" s="45" t="s">
        <v>380</v>
      </c>
      <c r="D686" s="54" t="s">
        <v>120</v>
      </c>
      <c r="E686" s="54" t="s">
        <v>98</v>
      </c>
      <c r="F686" s="129" t="s">
        <v>93</v>
      </c>
      <c r="G686" s="146"/>
      <c r="H686" s="18">
        <f>SUM(H687)</f>
        <v>1042.3</v>
      </c>
      <c r="I686" s="14" t="e">
        <f>SUM(H686/G692*100)</f>
        <v>#DIV/0!</v>
      </c>
      <c r="J686"/>
    </row>
    <row r="687" spans="1:10" ht="15.75" hidden="1" thickBot="1">
      <c r="A687" s="285" t="s">
        <v>117</v>
      </c>
      <c r="B687" s="244"/>
      <c r="C687" s="45" t="s">
        <v>380</v>
      </c>
      <c r="D687" s="54" t="s">
        <v>120</v>
      </c>
      <c r="E687" s="121" t="s">
        <v>118</v>
      </c>
      <c r="F687" s="129"/>
      <c r="G687" s="146">
        <f>SUM(G688)</f>
        <v>0</v>
      </c>
      <c r="H687" s="18">
        <v>1042.3</v>
      </c>
      <c r="I687" s="14" t="e">
        <f>SUM(H687/G693*100)</f>
        <v>#DIV/0!</v>
      </c>
      <c r="J687"/>
    </row>
    <row r="688" spans="1:9" s="28" customFormat="1" ht="43.5" hidden="1" thickBot="1">
      <c r="A688" s="292" t="s">
        <v>194</v>
      </c>
      <c r="B688" s="244"/>
      <c r="C688" s="45" t="s">
        <v>380</v>
      </c>
      <c r="D688" s="54" t="s">
        <v>120</v>
      </c>
      <c r="E688" s="116" t="s">
        <v>283</v>
      </c>
      <c r="F688" s="129"/>
      <c r="G688" s="146">
        <f>SUM(G689)</f>
        <v>0</v>
      </c>
      <c r="H688" s="27"/>
      <c r="I688" s="14"/>
    </row>
    <row r="689" spans="1:9" s="28" customFormat="1" ht="15.75" hidden="1" thickBot="1">
      <c r="A689" s="279" t="s">
        <v>92</v>
      </c>
      <c r="B689" s="244"/>
      <c r="C689" s="45" t="s">
        <v>380</v>
      </c>
      <c r="D689" s="54" t="s">
        <v>120</v>
      </c>
      <c r="E689" s="116" t="s">
        <v>283</v>
      </c>
      <c r="F689" s="129" t="s">
        <v>93</v>
      </c>
      <c r="G689" s="146"/>
      <c r="H689" s="27"/>
      <c r="I689" s="14"/>
    </row>
    <row r="690" spans="1:11" s="42" customFormat="1" ht="16.5" hidden="1" thickBot="1">
      <c r="A690" s="285" t="s">
        <v>348</v>
      </c>
      <c r="B690" s="244"/>
      <c r="C690" s="45" t="s">
        <v>380</v>
      </c>
      <c r="D690" s="54" t="s">
        <v>120</v>
      </c>
      <c r="E690" s="116" t="s">
        <v>349</v>
      </c>
      <c r="F690" s="130"/>
      <c r="G690" s="146">
        <f>SUM(G691)</f>
        <v>0</v>
      </c>
      <c r="H690" s="41"/>
      <c r="I690" s="17"/>
      <c r="K690" s="49"/>
    </row>
    <row r="691" spans="1:9" s="28" customFormat="1" ht="15.75" hidden="1" thickBot="1">
      <c r="A691" s="279" t="s">
        <v>92</v>
      </c>
      <c r="B691" s="244"/>
      <c r="C691" s="45" t="s">
        <v>380</v>
      </c>
      <c r="D691" s="54" t="s">
        <v>120</v>
      </c>
      <c r="E691" s="116" t="s">
        <v>349</v>
      </c>
      <c r="F691" s="130" t="s">
        <v>93</v>
      </c>
      <c r="G691" s="146"/>
      <c r="H691" s="27"/>
      <c r="I691" s="14"/>
    </row>
    <row r="692" spans="1:9" s="28" customFormat="1" ht="29.25" hidden="1" thickBot="1">
      <c r="A692" s="281" t="s">
        <v>102</v>
      </c>
      <c r="B692" s="244"/>
      <c r="C692" s="45" t="s">
        <v>380</v>
      </c>
      <c r="D692" s="54" t="s">
        <v>120</v>
      </c>
      <c r="E692" s="54" t="s">
        <v>103</v>
      </c>
      <c r="F692" s="131"/>
      <c r="G692" s="146">
        <f>SUM(G694)</f>
        <v>0</v>
      </c>
      <c r="H692" s="18" t="e">
        <f>SUM(H693)</f>
        <v>#REF!</v>
      </c>
      <c r="I692" s="14" t="e">
        <f>SUM(H692/G697*100)</f>
        <v>#REF!</v>
      </c>
    </row>
    <row r="693" spans="1:9" s="28" customFormat="1" ht="15.75" hidden="1" thickBot="1">
      <c r="A693" s="281" t="s">
        <v>104</v>
      </c>
      <c r="B693" s="244"/>
      <c r="C693" s="45" t="s">
        <v>380</v>
      </c>
      <c r="D693" s="54" t="s">
        <v>120</v>
      </c>
      <c r="E693" s="54" t="s">
        <v>234</v>
      </c>
      <c r="F693" s="131"/>
      <c r="G693" s="146">
        <f>SUM(G694)</f>
        <v>0</v>
      </c>
      <c r="H693" s="18" t="e">
        <f>SUM(H694)</f>
        <v>#REF!</v>
      </c>
      <c r="I693" s="14" t="e">
        <f>SUM(H693/G698*100)</f>
        <v>#REF!</v>
      </c>
    </row>
    <row r="694" spans="1:10" s="28" customFormat="1" ht="15.75" hidden="1" thickBot="1">
      <c r="A694" s="279" t="s">
        <v>92</v>
      </c>
      <c r="B694" s="244"/>
      <c r="C694" s="45" t="s">
        <v>380</v>
      </c>
      <c r="D694" s="54" t="s">
        <v>120</v>
      </c>
      <c r="E694" s="54" t="s">
        <v>234</v>
      </c>
      <c r="F694" s="131" t="s">
        <v>93</v>
      </c>
      <c r="G694" s="146"/>
      <c r="H694" s="18" t="e">
        <f>SUM(#REF!)</f>
        <v>#REF!</v>
      </c>
      <c r="I694" s="14" t="e">
        <f>SUM(H694/G699*100)</f>
        <v>#REF!</v>
      </c>
      <c r="J694" s="40"/>
    </row>
    <row r="695" spans="1:9" ht="16.5" hidden="1" thickBot="1">
      <c r="A695" s="283" t="s">
        <v>363</v>
      </c>
      <c r="B695" s="248"/>
      <c r="C695" s="132" t="s">
        <v>222</v>
      </c>
      <c r="D695" s="118" t="s">
        <v>175</v>
      </c>
      <c r="E695" s="118"/>
      <c r="F695" s="135"/>
      <c r="G695" s="148">
        <f>SUM(G696)</f>
        <v>30000</v>
      </c>
      <c r="H695" s="29">
        <f>-76000-174.5-350</f>
        <v>-76524.5</v>
      </c>
      <c r="I695" s="29">
        <f>-76000-174.5-350</f>
        <v>-76524.5</v>
      </c>
    </row>
    <row r="696" spans="1:9" ht="30">
      <c r="A696" s="283" t="s">
        <v>223</v>
      </c>
      <c r="B696" s="248"/>
      <c r="C696" s="132" t="s">
        <v>222</v>
      </c>
      <c r="D696" s="118" t="s">
        <v>419</v>
      </c>
      <c r="E696" s="118"/>
      <c r="F696" s="135"/>
      <c r="G696" s="153">
        <f>SUM(G697)</f>
        <v>30000</v>
      </c>
      <c r="H696" s="30"/>
      <c r="I696" s="30"/>
    </row>
    <row r="697" spans="1:9" ht="15.75" thickBot="1">
      <c r="A697" s="279" t="s">
        <v>364</v>
      </c>
      <c r="B697" s="244"/>
      <c r="C697" s="45" t="s">
        <v>222</v>
      </c>
      <c r="D697" s="54" t="s">
        <v>419</v>
      </c>
      <c r="E697" s="54" t="s">
        <v>365</v>
      </c>
      <c r="F697" s="131"/>
      <c r="G697" s="146">
        <f>SUM(G699)</f>
        <v>30000</v>
      </c>
      <c r="H697" s="31"/>
      <c r="I697" s="31"/>
    </row>
    <row r="698" spans="1:9" ht="15">
      <c r="A698" s="279" t="s">
        <v>366</v>
      </c>
      <c r="B698" s="244"/>
      <c r="C698" s="45" t="s">
        <v>222</v>
      </c>
      <c r="D698" s="54" t="s">
        <v>419</v>
      </c>
      <c r="E698" s="54" t="s">
        <v>367</v>
      </c>
      <c r="F698" s="131"/>
      <c r="G698" s="146">
        <f>SUM(G699)</f>
        <v>30000</v>
      </c>
      <c r="H698" s="32">
        <v>0</v>
      </c>
      <c r="I698" s="32">
        <v>0</v>
      </c>
    </row>
    <row r="699" spans="1:10" ht="15.75" thickBot="1">
      <c r="A699" s="306" t="s">
        <v>466</v>
      </c>
      <c r="B699" s="244"/>
      <c r="C699" s="45" t="s">
        <v>222</v>
      </c>
      <c r="D699" s="54" t="s">
        <v>419</v>
      </c>
      <c r="E699" s="54" t="s">
        <v>367</v>
      </c>
      <c r="F699" s="131" t="s">
        <v>162</v>
      </c>
      <c r="G699" s="146">
        <v>30000</v>
      </c>
      <c r="H699" s="32">
        <v>62000</v>
      </c>
      <c r="I699" s="32">
        <v>62000</v>
      </c>
      <c r="J699" s="36">
        <f>SUM('ведомствен.2014'!G355)</f>
        <v>30000</v>
      </c>
    </row>
    <row r="700" spans="1:12" ht="18" customHeight="1" thickBot="1">
      <c r="A700" s="123" t="s">
        <v>161</v>
      </c>
      <c r="B700" s="233"/>
      <c r="C700" s="239"/>
      <c r="D700" s="122"/>
      <c r="E700" s="122"/>
      <c r="F700" s="143"/>
      <c r="G700" s="202">
        <f>SUM(G13+G86+G115+G162+G265+G276+G389+G465+G517+G663+G695)</f>
        <v>3573291.9</v>
      </c>
      <c r="H700" s="33">
        <v>62000</v>
      </c>
      <c r="I700" s="33">
        <v>62000</v>
      </c>
      <c r="J700" s="39">
        <f>SUM(J13:J699)</f>
        <v>3467623.599999998</v>
      </c>
      <c r="K700" s="39"/>
      <c r="L700" s="39"/>
    </row>
    <row r="701" ht="16.5" customHeight="1">
      <c r="G701" s="47"/>
    </row>
    <row r="702" spans="7:10" ht="12.75" hidden="1">
      <c r="G702" s="58">
        <f>SUM(J700-G700)</f>
        <v>-105668.30000000168</v>
      </c>
      <c r="J702" s="36">
        <f>SUM('ведомствен.2014'!G830-'функцион.2014'!J700)</f>
        <v>105668.30000000168</v>
      </c>
    </row>
  </sheetData>
  <sheetProtection/>
  <mergeCells count="1">
    <mergeCell ref="F5:G5"/>
  </mergeCells>
  <printOptions/>
  <pageMargins left="1.1023622047244095" right="0.15748031496062992" top="0.15748031496062992" bottom="0.03937007874015748" header="0.5118110236220472" footer="0.2362204724409449"/>
  <pageSetup fitToHeight="19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835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78.25390625" style="70" customWidth="1"/>
    <col min="2" max="2" width="6.875" style="71" customWidth="1"/>
    <col min="3" max="3" width="7.75390625" style="72" customWidth="1"/>
    <col min="4" max="4" width="6.875" style="72" customWidth="1"/>
    <col min="5" max="5" width="12.75390625" style="72" customWidth="1"/>
    <col min="6" max="6" width="10.125" style="72" customWidth="1"/>
    <col min="7" max="7" width="17.125" style="74" customWidth="1"/>
    <col min="8" max="8" width="11.00390625" style="74" hidden="1" customWidth="1"/>
    <col min="9" max="9" width="4.375" style="74" hidden="1" customWidth="1"/>
    <col min="10" max="10" width="5.875" style="72" customWidth="1"/>
    <col min="11" max="11" width="12.375" style="72" customWidth="1"/>
    <col min="12" max="16384" width="9.125" style="72" customWidth="1"/>
  </cols>
  <sheetData>
    <row r="1" spans="6:9" ht="15">
      <c r="F1" s="60" t="s">
        <v>650</v>
      </c>
      <c r="G1" s="61"/>
      <c r="I1" s="75"/>
    </row>
    <row r="2" spans="1:9" ht="15">
      <c r="A2" s="70" t="s">
        <v>237</v>
      </c>
      <c r="F2" s="59" t="s">
        <v>658</v>
      </c>
      <c r="G2" s="61"/>
      <c r="I2" s="75"/>
    </row>
    <row r="3" spans="6:9" ht="15">
      <c r="F3" s="59" t="s">
        <v>255</v>
      </c>
      <c r="G3" s="61"/>
      <c r="I3" s="75"/>
    </row>
    <row r="4" spans="6:9" ht="15">
      <c r="F4" s="59" t="s">
        <v>256</v>
      </c>
      <c r="G4" s="61"/>
      <c r="I4" s="75"/>
    </row>
    <row r="5" spans="2:7" ht="15.75" customHeight="1">
      <c r="B5" s="76" t="s">
        <v>238</v>
      </c>
      <c r="F5" s="326" t="s">
        <v>660</v>
      </c>
      <c r="G5" s="326"/>
    </row>
    <row r="6" ht="15.75">
      <c r="B6" s="76" t="s">
        <v>239</v>
      </c>
    </row>
    <row r="7" ht="15.75">
      <c r="B7" s="76" t="s">
        <v>452</v>
      </c>
    </row>
    <row r="8" ht="16.5" thickBot="1">
      <c r="B8" s="62"/>
    </row>
    <row r="9" spans="1:9" ht="15">
      <c r="A9" s="327" t="s">
        <v>240</v>
      </c>
      <c r="B9" s="155" t="s">
        <v>261</v>
      </c>
      <c r="C9" s="156"/>
      <c r="D9" s="157"/>
      <c r="E9" s="157"/>
      <c r="F9" s="216"/>
      <c r="G9" s="124" t="s">
        <v>262</v>
      </c>
      <c r="H9" s="77" t="s">
        <v>263</v>
      </c>
      <c r="I9" s="77" t="s">
        <v>264</v>
      </c>
    </row>
    <row r="10" spans="1:9" ht="46.5" customHeight="1" thickBot="1">
      <c r="A10" s="328"/>
      <c r="B10" s="158" t="s">
        <v>265</v>
      </c>
      <c r="C10" s="159" t="s">
        <v>266</v>
      </c>
      <c r="D10" s="159" t="s">
        <v>267</v>
      </c>
      <c r="E10" s="159" t="s">
        <v>268</v>
      </c>
      <c r="F10" s="217" t="s">
        <v>467</v>
      </c>
      <c r="G10" s="125" t="s">
        <v>451</v>
      </c>
      <c r="H10" s="78" t="s">
        <v>416</v>
      </c>
      <c r="I10" s="78" t="s">
        <v>417</v>
      </c>
    </row>
    <row r="11" spans="1:9" ht="15.75">
      <c r="A11" s="95" t="s">
        <v>182</v>
      </c>
      <c r="B11" s="160" t="s">
        <v>183</v>
      </c>
      <c r="C11" s="161"/>
      <c r="D11" s="161"/>
      <c r="E11" s="161"/>
      <c r="F11" s="162"/>
      <c r="G11" s="311">
        <f>SUM(G12)</f>
        <v>19523</v>
      </c>
      <c r="H11" s="63" t="e">
        <f>SUM(H12)+#REF!+#REF!</f>
        <v>#REF!</v>
      </c>
      <c r="I11" s="63" t="e">
        <f aca="true" t="shared" si="0" ref="I11:I42">SUM(H11/G11*100)</f>
        <v>#REF!</v>
      </c>
    </row>
    <row r="12" spans="1:9" ht="15">
      <c r="A12" s="96" t="s">
        <v>418</v>
      </c>
      <c r="B12" s="45"/>
      <c r="C12" s="54" t="s">
        <v>419</v>
      </c>
      <c r="D12" s="54"/>
      <c r="E12" s="54"/>
      <c r="F12" s="129"/>
      <c r="G12" s="312">
        <f>SUM(G13+G17+G24)</f>
        <v>19523</v>
      </c>
      <c r="H12" s="22">
        <f>SUM(H13+H17+H24)</f>
        <v>9401.9</v>
      </c>
      <c r="I12" s="22">
        <f t="shared" si="0"/>
        <v>48.1580699687548</v>
      </c>
    </row>
    <row r="13" spans="1:9" ht="28.5">
      <c r="A13" s="96" t="s">
        <v>420</v>
      </c>
      <c r="B13" s="45"/>
      <c r="C13" s="54" t="s">
        <v>419</v>
      </c>
      <c r="D13" s="54" t="s">
        <v>421</v>
      </c>
      <c r="E13" s="54"/>
      <c r="F13" s="129"/>
      <c r="G13" s="312">
        <f>SUM(G14)</f>
        <v>1725</v>
      </c>
      <c r="H13" s="22">
        <f>SUM(H14)</f>
        <v>983.5</v>
      </c>
      <c r="I13" s="22">
        <f t="shared" si="0"/>
        <v>57.014492753623195</v>
      </c>
    </row>
    <row r="14" spans="1:9" ht="28.5">
      <c r="A14" s="96" t="s">
        <v>88</v>
      </c>
      <c r="B14" s="45"/>
      <c r="C14" s="54" t="s">
        <v>419</v>
      </c>
      <c r="D14" s="54" t="s">
        <v>421</v>
      </c>
      <c r="E14" s="54" t="s">
        <v>89</v>
      </c>
      <c r="F14" s="129"/>
      <c r="G14" s="312">
        <f>SUM(G16)</f>
        <v>1725</v>
      </c>
      <c r="H14" s="22">
        <f>SUM(H16:H16)</f>
        <v>983.5</v>
      </c>
      <c r="I14" s="22">
        <f t="shared" si="0"/>
        <v>57.014492753623195</v>
      </c>
    </row>
    <row r="15" spans="1:9" ht="15">
      <c r="A15" s="96" t="s">
        <v>90</v>
      </c>
      <c r="B15" s="45"/>
      <c r="C15" s="54" t="s">
        <v>419</v>
      </c>
      <c r="D15" s="54" t="s">
        <v>421</v>
      </c>
      <c r="E15" s="54" t="s">
        <v>91</v>
      </c>
      <c r="F15" s="129"/>
      <c r="G15" s="312">
        <f>SUM(G16)</f>
        <v>1725</v>
      </c>
      <c r="H15" s="22">
        <f>SUM(H16)</f>
        <v>983.5</v>
      </c>
      <c r="I15" s="22">
        <f t="shared" si="0"/>
        <v>57.014492753623195</v>
      </c>
    </row>
    <row r="16" spans="1:9" ht="28.5">
      <c r="A16" s="96" t="s">
        <v>453</v>
      </c>
      <c r="B16" s="45"/>
      <c r="C16" s="54" t="s">
        <v>419</v>
      </c>
      <c r="D16" s="54" t="s">
        <v>421</v>
      </c>
      <c r="E16" s="54" t="s">
        <v>91</v>
      </c>
      <c r="F16" s="129" t="s">
        <v>454</v>
      </c>
      <c r="G16" s="312">
        <v>1725</v>
      </c>
      <c r="H16" s="22">
        <v>983.5</v>
      </c>
      <c r="I16" s="22">
        <f t="shared" si="0"/>
        <v>57.014492753623195</v>
      </c>
    </row>
    <row r="17" spans="1:9" ht="42.75">
      <c r="A17" s="96" t="s">
        <v>94</v>
      </c>
      <c r="B17" s="45"/>
      <c r="C17" s="54" t="s">
        <v>419</v>
      </c>
      <c r="D17" s="54" t="s">
        <v>95</v>
      </c>
      <c r="E17" s="54"/>
      <c r="F17" s="129"/>
      <c r="G17" s="312">
        <f>SUM(G18)</f>
        <v>11361.5</v>
      </c>
      <c r="H17" s="22">
        <f>SUM(H18)</f>
        <v>8231.8</v>
      </c>
      <c r="I17" s="22">
        <f t="shared" si="0"/>
        <v>72.45346125071512</v>
      </c>
    </row>
    <row r="18" spans="1:9" ht="28.5">
      <c r="A18" s="96" t="s">
        <v>88</v>
      </c>
      <c r="B18" s="45"/>
      <c r="C18" s="54" t="s">
        <v>419</v>
      </c>
      <c r="D18" s="54" t="s">
        <v>95</v>
      </c>
      <c r="E18" s="54" t="s">
        <v>89</v>
      </c>
      <c r="F18" s="130"/>
      <c r="G18" s="312">
        <f>SUM(G19+G22)</f>
        <v>11361.5</v>
      </c>
      <c r="H18" s="22">
        <f>SUM(H19+H22)</f>
        <v>8231.8</v>
      </c>
      <c r="I18" s="22">
        <f t="shared" si="0"/>
        <v>72.45346125071512</v>
      </c>
    </row>
    <row r="19" spans="1:9" ht="15">
      <c r="A19" s="96" t="s">
        <v>96</v>
      </c>
      <c r="B19" s="45"/>
      <c r="C19" s="54" t="s">
        <v>97</v>
      </c>
      <c r="D19" s="54" t="s">
        <v>95</v>
      </c>
      <c r="E19" s="54" t="s">
        <v>98</v>
      </c>
      <c r="F19" s="130"/>
      <c r="G19" s="312">
        <f>SUM(G20+G21)</f>
        <v>11361.5</v>
      </c>
      <c r="H19" s="22">
        <f>SUM(H20)</f>
        <v>8068.7</v>
      </c>
      <c r="I19" s="22">
        <f t="shared" si="0"/>
        <v>71.01791136733706</v>
      </c>
    </row>
    <row r="20" spans="1:9" ht="28.5">
      <c r="A20" s="96" t="s">
        <v>453</v>
      </c>
      <c r="B20" s="45"/>
      <c r="C20" s="54" t="s">
        <v>419</v>
      </c>
      <c r="D20" s="54" t="s">
        <v>95</v>
      </c>
      <c r="E20" s="54" t="s">
        <v>98</v>
      </c>
      <c r="F20" s="129" t="s">
        <v>454</v>
      </c>
      <c r="G20" s="312">
        <f>11104.4+250</f>
        <v>11354.4</v>
      </c>
      <c r="H20" s="22">
        <v>8068.7</v>
      </c>
      <c r="I20" s="22">
        <f t="shared" si="0"/>
        <v>71.0623194532516</v>
      </c>
    </row>
    <row r="21" spans="1:9" ht="15">
      <c r="A21" s="96" t="s">
        <v>458</v>
      </c>
      <c r="B21" s="45"/>
      <c r="C21" s="54" t="s">
        <v>419</v>
      </c>
      <c r="D21" s="54" t="s">
        <v>95</v>
      </c>
      <c r="E21" s="54" t="s">
        <v>98</v>
      </c>
      <c r="F21" s="129" t="s">
        <v>109</v>
      </c>
      <c r="G21" s="313">
        <v>7.1</v>
      </c>
      <c r="H21" s="22"/>
      <c r="I21" s="22"/>
    </row>
    <row r="22" spans="1:9" ht="15" hidden="1">
      <c r="A22" s="96" t="s">
        <v>99</v>
      </c>
      <c r="B22" s="45"/>
      <c r="C22" s="54" t="s">
        <v>97</v>
      </c>
      <c r="D22" s="54" t="s">
        <v>95</v>
      </c>
      <c r="E22" s="54" t="s">
        <v>100</v>
      </c>
      <c r="F22" s="129"/>
      <c r="G22" s="312">
        <f>SUM(G23)</f>
        <v>0</v>
      </c>
      <c r="H22" s="22">
        <f>SUM(H23)</f>
        <v>163.1</v>
      </c>
      <c r="I22" s="22" t="e">
        <f t="shared" si="0"/>
        <v>#DIV/0!</v>
      </c>
    </row>
    <row r="23" spans="1:9" ht="15" hidden="1">
      <c r="A23" s="96" t="s">
        <v>92</v>
      </c>
      <c r="B23" s="45"/>
      <c r="C23" s="54" t="s">
        <v>97</v>
      </c>
      <c r="D23" s="54" t="s">
        <v>95</v>
      </c>
      <c r="E23" s="54" t="s">
        <v>100</v>
      </c>
      <c r="F23" s="129" t="s">
        <v>93</v>
      </c>
      <c r="G23" s="312"/>
      <c r="H23" s="22">
        <v>163.1</v>
      </c>
      <c r="I23" s="22" t="e">
        <f t="shared" si="0"/>
        <v>#DIV/0!</v>
      </c>
    </row>
    <row r="24" spans="1:9" ht="15">
      <c r="A24" s="96" t="s">
        <v>101</v>
      </c>
      <c r="B24" s="45"/>
      <c r="C24" s="54" t="s">
        <v>419</v>
      </c>
      <c r="D24" s="54" t="s">
        <v>222</v>
      </c>
      <c r="E24" s="54"/>
      <c r="F24" s="130"/>
      <c r="G24" s="312">
        <f>SUM(G25)</f>
        <v>6436.5</v>
      </c>
      <c r="H24" s="22">
        <f>SUM(H31)</f>
        <v>186.6</v>
      </c>
      <c r="I24" s="22">
        <f t="shared" si="0"/>
        <v>2.8990911209508274</v>
      </c>
    </row>
    <row r="25" spans="1:9" ht="28.5">
      <c r="A25" s="96" t="s">
        <v>455</v>
      </c>
      <c r="B25" s="45"/>
      <c r="C25" s="54" t="s">
        <v>419</v>
      </c>
      <c r="D25" s="54" t="s">
        <v>222</v>
      </c>
      <c r="E25" s="54" t="s">
        <v>456</v>
      </c>
      <c r="F25" s="130"/>
      <c r="G25" s="312">
        <f>SUM(G26+G29+G31)</f>
        <v>6436.5</v>
      </c>
      <c r="H25" s="22"/>
      <c r="I25" s="22"/>
    </row>
    <row r="26" spans="1:9" ht="15">
      <c r="A26" s="96" t="s">
        <v>444</v>
      </c>
      <c r="B26" s="45"/>
      <c r="C26" s="54" t="s">
        <v>419</v>
      </c>
      <c r="D26" s="54" t="s">
        <v>222</v>
      </c>
      <c r="E26" s="54" t="s">
        <v>457</v>
      </c>
      <c r="F26" s="129"/>
      <c r="G26" s="313">
        <f>SUM(G27:G28)</f>
        <v>571.4</v>
      </c>
      <c r="H26" s="22"/>
      <c r="I26" s="22"/>
    </row>
    <row r="27" spans="1:9" ht="15">
      <c r="A27" s="96" t="s">
        <v>458</v>
      </c>
      <c r="B27" s="45"/>
      <c r="C27" s="54" t="s">
        <v>419</v>
      </c>
      <c r="D27" s="54" t="s">
        <v>222</v>
      </c>
      <c r="E27" s="54" t="s">
        <v>457</v>
      </c>
      <c r="F27" s="129" t="s">
        <v>109</v>
      </c>
      <c r="G27" s="313">
        <v>527</v>
      </c>
      <c r="H27" s="22"/>
      <c r="I27" s="22"/>
    </row>
    <row r="28" spans="1:9" ht="15">
      <c r="A28" s="96" t="s">
        <v>459</v>
      </c>
      <c r="B28" s="45"/>
      <c r="C28" s="54" t="s">
        <v>419</v>
      </c>
      <c r="D28" s="54" t="s">
        <v>222</v>
      </c>
      <c r="E28" s="54" t="s">
        <v>457</v>
      </c>
      <c r="F28" s="129" t="s">
        <v>163</v>
      </c>
      <c r="G28" s="313">
        <v>44.4</v>
      </c>
      <c r="H28" s="22"/>
      <c r="I28" s="22"/>
    </row>
    <row r="29" spans="1:9" ht="28.5">
      <c r="A29" s="96" t="s">
        <v>445</v>
      </c>
      <c r="B29" s="45"/>
      <c r="C29" s="54" t="s">
        <v>419</v>
      </c>
      <c r="D29" s="54" t="s">
        <v>222</v>
      </c>
      <c r="E29" s="54" t="s">
        <v>460</v>
      </c>
      <c r="F29" s="129"/>
      <c r="G29" s="313">
        <f>SUM(G30)</f>
        <v>353.2</v>
      </c>
      <c r="H29" s="22"/>
      <c r="I29" s="22"/>
    </row>
    <row r="30" spans="1:9" ht="15">
      <c r="A30" s="96" t="s">
        <v>458</v>
      </c>
      <c r="B30" s="45"/>
      <c r="C30" s="54" t="s">
        <v>419</v>
      </c>
      <c r="D30" s="54" t="s">
        <v>222</v>
      </c>
      <c r="E30" s="54" t="s">
        <v>460</v>
      </c>
      <c r="F30" s="129" t="s">
        <v>109</v>
      </c>
      <c r="G30" s="313">
        <v>353.2</v>
      </c>
      <c r="H30" s="22"/>
      <c r="I30" s="22"/>
    </row>
    <row r="31" spans="1:9" ht="28.5">
      <c r="A31" s="97" t="s">
        <v>461</v>
      </c>
      <c r="B31" s="45"/>
      <c r="C31" s="54" t="s">
        <v>419</v>
      </c>
      <c r="D31" s="54" t="s">
        <v>222</v>
      </c>
      <c r="E31" s="54" t="s">
        <v>462</v>
      </c>
      <c r="F31" s="131"/>
      <c r="G31" s="312">
        <f>SUM(G32:G34)</f>
        <v>5511.900000000001</v>
      </c>
      <c r="H31" s="22">
        <f>SUM(H34)</f>
        <v>186.6</v>
      </c>
      <c r="I31" s="22">
        <f t="shared" si="0"/>
        <v>3.38540249278833</v>
      </c>
    </row>
    <row r="32" spans="1:9" ht="15">
      <c r="A32" s="96" t="s">
        <v>458</v>
      </c>
      <c r="B32" s="45"/>
      <c r="C32" s="54" t="s">
        <v>419</v>
      </c>
      <c r="D32" s="54" t="s">
        <v>222</v>
      </c>
      <c r="E32" s="54" t="s">
        <v>462</v>
      </c>
      <c r="F32" s="131" t="s">
        <v>109</v>
      </c>
      <c r="G32" s="312">
        <v>5082.8</v>
      </c>
      <c r="H32" s="22">
        <f>SUM(H34)</f>
        <v>186.6</v>
      </c>
      <c r="I32" s="22">
        <f t="shared" si="0"/>
        <v>3.671204847721728</v>
      </c>
    </row>
    <row r="33" spans="1:9" ht="15">
      <c r="A33" s="96" t="s">
        <v>463</v>
      </c>
      <c r="B33" s="45"/>
      <c r="C33" s="54" t="s">
        <v>419</v>
      </c>
      <c r="D33" s="54" t="s">
        <v>222</v>
      </c>
      <c r="E33" s="54" t="s">
        <v>462</v>
      </c>
      <c r="F33" s="131" t="s">
        <v>464</v>
      </c>
      <c r="G33" s="312">
        <f>666-250</f>
        <v>416</v>
      </c>
      <c r="H33" s="22"/>
      <c r="I33" s="22"/>
    </row>
    <row r="34" spans="1:9" ht="15">
      <c r="A34" s="96" t="s">
        <v>459</v>
      </c>
      <c r="B34" s="45"/>
      <c r="C34" s="54" t="s">
        <v>419</v>
      </c>
      <c r="D34" s="54" t="s">
        <v>222</v>
      </c>
      <c r="E34" s="54" t="s">
        <v>462</v>
      </c>
      <c r="F34" s="131" t="s">
        <v>163</v>
      </c>
      <c r="G34" s="312">
        <v>13.1</v>
      </c>
      <c r="H34" s="22">
        <v>186.6</v>
      </c>
      <c r="I34" s="22">
        <f t="shared" si="0"/>
        <v>1424.4274809160306</v>
      </c>
    </row>
    <row r="35" spans="1:9" ht="15.75">
      <c r="A35" s="98" t="s">
        <v>184</v>
      </c>
      <c r="B35" s="136" t="s">
        <v>185</v>
      </c>
      <c r="C35" s="116"/>
      <c r="D35" s="116"/>
      <c r="E35" s="116"/>
      <c r="F35" s="130"/>
      <c r="G35" s="314">
        <f aca="true" t="shared" si="1" ref="G35:H37">SUM(G36)</f>
        <v>6240.9</v>
      </c>
      <c r="H35" s="64" t="e">
        <f t="shared" si="1"/>
        <v>#REF!</v>
      </c>
      <c r="I35" s="64" t="e">
        <f t="shared" si="0"/>
        <v>#REF!</v>
      </c>
    </row>
    <row r="36" spans="1:9" ht="15">
      <c r="A36" s="96" t="s">
        <v>418</v>
      </c>
      <c r="B36" s="45"/>
      <c r="C36" s="54" t="s">
        <v>419</v>
      </c>
      <c r="D36" s="54"/>
      <c r="E36" s="54"/>
      <c r="F36" s="129"/>
      <c r="G36" s="312">
        <f>SUM(G37)+G44</f>
        <v>6240.9</v>
      </c>
      <c r="H36" s="22" t="e">
        <f t="shared" si="1"/>
        <v>#REF!</v>
      </c>
      <c r="I36" s="22" t="e">
        <f t="shared" si="0"/>
        <v>#REF!</v>
      </c>
    </row>
    <row r="37" spans="1:9" ht="28.5">
      <c r="A37" s="97" t="s">
        <v>351</v>
      </c>
      <c r="B37" s="45"/>
      <c r="C37" s="54" t="s">
        <v>419</v>
      </c>
      <c r="D37" s="54" t="s">
        <v>352</v>
      </c>
      <c r="E37" s="54"/>
      <c r="F37" s="129"/>
      <c r="G37" s="312">
        <f t="shared" si="1"/>
        <v>5556.4</v>
      </c>
      <c r="H37" s="22" t="e">
        <f t="shared" si="1"/>
        <v>#REF!</v>
      </c>
      <c r="I37" s="22" t="e">
        <f t="shared" si="0"/>
        <v>#REF!</v>
      </c>
    </row>
    <row r="38" spans="1:9" ht="28.5">
      <c r="A38" s="96" t="s">
        <v>88</v>
      </c>
      <c r="B38" s="45"/>
      <c r="C38" s="54" t="s">
        <v>419</v>
      </c>
      <c r="D38" s="54" t="s">
        <v>352</v>
      </c>
      <c r="E38" s="54" t="s">
        <v>89</v>
      </c>
      <c r="F38" s="130"/>
      <c r="G38" s="312">
        <f>SUM(G39+G42)</f>
        <v>5556.4</v>
      </c>
      <c r="H38" s="22" t="e">
        <f>SUM(H39+H42)</f>
        <v>#REF!</v>
      </c>
      <c r="I38" s="22" t="e">
        <f t="shared" si="0"/>
        <v>#REF!</v>
      </c>
    </row>
    <row r="39" spans="1:9" ht="15">
      <c r="A39" s="96" t="s">
        <v>96</v>
      </c>
      <c r="B39" s="45"/>
      <c r="C39" s="54" t="s">
        <v>419</v>
      </c>
      <c r="D39" s="54" t="s">
        <v>352</v>
      </c>
      <c r="E39" s="54" t="s">
        <v>98</v>
      </c>
      <c r="F39" s="130"/>
      <c r="G39" s="312">
        <f>SUM(G40)+G41</f>
        <v>3864.4</v>
      </c>
      <c r="H39" s="22">
        <f>SUM(H40)</f>
        <v>2155.5</v>
      </c>
      <c r="I39" s="22">
        <f t="shared" si="0"/>
        <v>55.77838733050409</v>
      </c>
    </row>
    <row r="40" spans="1:9" ht="28.5">
      <c r="A40" s="96" t="s">
        <v>453</v>
      </c>
      <c r="B40" s="45"/>
      <c r="C40" s="54" t="s">
        <v>419</v>
      </c>
      <c r="D40" s="54" t="s">
        <v>352</v>
      </c>
      <c r="E40" s="54" t="s">
        <v>98</v>
      </c>
      <c r="F40" s="129" t="s">
        <v>454</v>
      </c>
      <c r="G40" s="312">
        <f>3229.6+547.9+77.8</f>
        <v>3855.3</v>
      </c>
      <c r="H40" s="22">
        <v>2155.5</v>
      </c>
      <c r="I40" s="22">
        <f t="shared" si="0"/>
        <v>55.91004591082406</v>
      </c>
    </row>
    <row r="41" spans="1:9" ht="15">
      <c r="A41" s="96" t="s">
        <v>458</v>
      </c>
      <c r="B41" s="45"/>
      <c r="C41" s="54" t="s">
        <v>419</v>
      </c>
      <c r="D41" s="54" t="s">
        <v>352</v>
      </c>
      <c r="E41" s="54" t="s">
        <v>98</v>
      </c>
      <c r="F41" s="129" t="s">
        <v>109</v>
      </c>
      <c r="G41" s="313">
        <f>8.3+0.8</f>
        <v>9.100000000000001</v>
      </c>
      <c r="H41" s="22"/>
      <c r="I41" s="22"/>
    </row>
    <row r="42" spans="1:9" s="79" customFormat="1" ht="28.5">
      <c r="A42" s="96" t="s">
        <v>355</v>
      </c>
      <c r="B42" s="45"/>
      <c r="C42" s="54" t="s">
        <v>97</v>
      </c>
      <c r="D42" s="54" t="s">
        <v>352</v>
      </c>
      <c r="E42" s="54" t="s">
        <v>356</v>
      </c>
      <c r="F42" s="131"/>
      <c r="G42" s="312">
        <f>SUM(G43)</f>
        <v>1692</v>
      </c>
      <c r="H42" s="22" t="e">
        <f>SUM(#REF!)</f>
        <v>#REF!</v>
      </c>
      <c r="I42" s="22" t="e">
        <f t="shared" si="0"/>
        <v>#REF!</v>
      </c>
    </row>
    <row r="43" spans="1:9" s="79" customFormat="1" ht="28.5">
      <c r="A43" s="96" t="s">
        <v>453</v>
      </c>
      <c r="B43" s="45"/>
      <c r="C43" s="54" t="s">
        <v>97</v>
      </c>
      <c r="D43" s="54" t="s">
        <v>352</v>
      </c>
      <c r="E43" s="54" t="s">
        <v>356</v>
      </c>
      <c r="F43" s="129" t="s">
        <v>454</v>
      </c>
      <c r="G43" s="312">
        <v>1692</v>
      </c>
      <c r="H43" s="22"/>
      <c r="I43" s="22"/>
    </row>
    <row r="44" spans="1:9" s="79" customFormat="1" ht="15">
      <c r="A44" s="96" t="s">
        <v>101</v>
      </c>
      <c r="B44" s="45"/>
      <c r="C44" s="54" t="s">
        <v>419</v>
      </c>
      <c r="D44" s="54" t="s">
        <v>222</v>
      </c>
      <c r="E44" s="54"/>
      <c r="F44" s="130"/>
      <c r="G44" s="312">
        <f>SUM(G45)</f>
        <v>684.5</v>
      </c>
      <c r="H44" s="22"/>
      <c r="I44" s="22"/>
    </row>
    <row r="45" spans="1:9" s="79" customFormat="1" ht="28.5">
      <c r="A45" s="96" t="s">
        <v>455</v>
      </c>
      <c r="B45" s="45"/>
      <c r="C45" s="54" t="s">
        <v>419</v>
      </c>
      <c r="D45" s="54" t="s">
        <v>222</v>
      </c>
      <c r="E45" s="54" t="s">
        <v>456</v>
      </c>
      <c r="F45" s="130"/>
      <c r="G45" s="312">
        <f>SUM(G46+G49+G51)</f>
        <v>684.5</v>
      </c>
      <c r="H45" s="22"/>
      <c r="I45" s="22"/>
    </row>
    <row r="46" spans="1:9" s="79" customFormat="1" ht="15">
      <c r="A46" s="96" t="s">
        <v>444</v>
      </c>
      <c r="B46" s="45"/>
      <c r="C46" s="54" t="s">
        <v>419</v>
      </c>
      <c r="D46" s="54" t="s">
        <v>222</v>
      </c>
      <c r="E46" s="54" t="s">
        <v>457</v>
      </c>
      <c r="F46" s="129"/>
      <c r="G46" s="313">
        <f>SUM(G47:G48)</f>
        <v>121.8</v>
      </c>
      <c r="H46" s="22"/>
      <c r="I46" s="22"/>
    </row>
    <row r="47" spans="1:9" s="79" customFormat="1" ht="15">
      <c r="A47" s="96" t="s">
        <v>458</v>
      </c>
      <c r="B47" s="45"/>
      <c r="C47" s="54" t="s">
        <v>419</v>
      </c>
      <c r="D47" s="54" t="s">
        <v>222</v>
      </c>
      <c r="E47" s="54" t="s">
        <v>457</v>
      </c>
      <c r="F47" s="129" t="s">
        <v>109</v>
      </c>
      <c r="G47" s="313">
        <v>119</v>
      </c>
      <c r="H47" s="22"/>
      <c r="I47" s="22"/>
    </row>
    <row r="48" spans="1:9" s="79" customFormat="1" ht="15">
      <c r="A48" s="96" t="s">
        <v>459</v>
      </c>
      <c r="B48" s="45"/>
      <c r="C48" s="54" t="s">
        <v>419</v>
      </c>
      <c r="D48" s="54" t="s">
        <v>222</v>
      </c>
      <c r="E48" s="54" t="s">
        <v>457</v>
      </c>
      <c r="F48" s="129" t="s">
        <v>163</v>
      </c>
      <c r="G48" s="313">
        <v>2.8</v>
      </c>
      <c r="H48" s="22"/>
      <c r="I48" s="22"/>
    </row>
    <row r="49" spans="1:9" s="79" customFormat="1" ht="28.5">
      <c r="A49" s="96" t="s">
        <v>445</v>
      </c>
      <c r="B49" s="45"/>
      <c r="C49" s="54" t="s">
        <v>419</v>
      </c>
      <c r="D49" s="54" t="s">
        <v>222</v>
      </c>
      <c r="E49" s="54" t="s">
        <v>460</v>
      </c>
      <c r="F49" s="129"/>
      <c r="G49" s="313">
        <f>SUM(G50)</f>
        <v>157</v>
      </c>
      <c r="H49" s="22"/>
      <c r="I49" s="22"/>
    </row>
    <row r="50" spans="1:9" s="79" customFormat="1" ht="15">
      <c r="A50" s="96" t="s">
        <v>458</v>
      </c>
      <c r="B50" s="45"/>
      <c r="C50" s="54" t="s">
        <v>419</v>
      </c>
      <c r="D50" s="54" t="s">
        <v>222</v>
      </c>
      <c r="E50" s="54" t="s">
        <v>460</v>
      </c>
      <c r="F50" s="129" t="s">
        <v>109</v>
      </c>
      <c r="G50" s="313">
        <v>157</v>
      </c>
      <c r="H50" s="22"/>
      <c r="I50" s="22"/>
    </row>
    <row r="51" spans="1:9" s="79" customFormat="1" ht="28.5">
      <c r="A51" s="97" t="s">
        <v>461</v>
      </c>
      <c r="B51" s="45"/>
      <c r="C51" s="54" t="s">
        <v>419</v>
      </c>
      <c r="D51" s="54" t="s">
        <v>222</v>
      </c>
      <c r="E51" s="54" t="s">
        <v>462</v>
      </c>
      <c r="F51" s="131"/>
      <c r="G51" s="312">
        <f>SUM(G52:G53)</f>
        <v>405.70000000000005</v>
      </c>
      <c r="H51" s="22"/>
      <c r="I51" s="22"/>
    </row>
    <row r="52" spans="1:9" s="79" customFormat="1" ht="15">
      <c r="A52" s="96" t="s">
        <v>458</v>
      </c>
      <c r="B52" s="45"/>
      <c r="C52" s="54" t="s">
        <v>419</v>
      </c>
      <c r="D52" s="54" t="s">
        <v>222</v>
      </c>
      <c r="E52" s="54" t="s">
        <v>462</v>
      </c>
      <c r="F52" s="131" t="s">
        <v>109</v>
      </c>
      <c r="G52" s="312">
        <v>399.1</v>
      </c>
      <c r="H52" s="22"/>
      <c r="I52" s="22"/>
    </row>
    <row r="53" spans="1:9" s="79" customFormat="1" ht="15">
      <c r="A53" s="96" t="s">
        <v>459</v>
      </c>
      <c r="B53" s="45"/>
      <c r="C53" s="54" t="s">
        <v>419</v>
      </c>
      <c r="D53" s="54" t="s">
        <v>222</v>
      </c>
      <c r="E53" s="54" t="s">
        <v>462</v>
      </c>
      <c r="F53" s="131" t="s">
        <v>163</v>
      </c>
      <c r="G53" s="312">
        <v>6.6</v>
      </c>
      <c r="H53" s="22"/>
      <c r="I53" s="22"/>
    </row>
    <row r="54" spans="1:9" ht="15.75">
      <c r="A54" s="99" t="s">
        <v>186</v>
      </c>
      <c r="B54" s="132" t="s">
        <v>187</v>
      </c>
      <c r="C54" s="121"/>
      <c r="D54" s="121"/>
      <c r="E54" s="121"/>
      <c r="F54" s="163"/>
      <c r="G54" s="314">
        <f>SUM(G55+G99+G131+G172+G272+G283+G288)</f>
        <v>640720.8</v>
      </c>
      <c r="H54" s="64" t="e">
        <f>SUM(H55+H101+#REF!+#REF!+#REF!+#REF!+#REF!+#REF!+#REF!)</f>
        <v>#REF!</v>
      </c>
      <c r="I54" s="64" t="e">
        <f>SUM(H54/G54*100)</f>
        <v>#REF!</v>
      </c>
    </row>
    <row r="55" spans="1:9" ht="15">
      <c r="A55" s="96" t="s">
        <v>418</v>
      </c>
      <c r="B55" s="45"/>
      <c r="C55" s="54" t="s">
        <v>419</v>
      </c>
      <c r="D55" s="54"/>
      <c r="E55" s="54"/>
      <c r="F55" s="129"/>
      <c r="G55" s="312">
        <f>SUM(G56+G78+G75)</f>
        <v>126815.1</v>
      </c>
      <c r="H55" s="22" t="e">
        <f>SUM(H56+H76+#REF!+H74+#REF!)</f>
        <v>#REF!</v>
      </c>
      <c r="I55" s="22" t="e">
        <f>SUM(H55/G55*100)</f>
        <v>#REF!</v>
      </c>
    </row>
    <row r="56" spans="1:9" ht="28.5">
      <c r="A56" s="96" t="s">
        <v>242</v>
      </c>
      <c r="B56" s="45"/>
      <c r="C56" s="54" t="s">
        <v>419</v>
      </c>
      <c r="D56" s="54" t="s">
        <v>111</v>
      </c>
      <c r="E56" s="54"/>
      <c r="F56" s="129"/>
      <c r="G56" s="312">
        <f>SUM(G57)</f>
        <v>96086.9</v>
      </c>
      <c r="H56" s="22" t="e">
        <f>SUM(H57)+#REF!+H69</f>
        <v>#REF!</v>
      </c>
      <c r="I56" s="22" t="e">
        <f>SUM(H56/G56*100)</f>
        <v>#REF!</v>
      </c>
    </row>
    <row r="57" spans="1:9" ht="28.5">
      <c r="A57" s="96" t="s">
        <v>88</v>
      </c>
      <c r="B57" s="45"/>
      <c r="C57" s="54" t="s">
        <v>419</v>
      </c>
      <c r="D57" s="54" t="s">
        <v>111</v>
      </c>
      <c r="E57" s="54" t="s">
        <v>89</v>
      </c>
      <c r="F57" s="130"/>
      <c r="G57" s="312">
        <f>SUM(G58+G73+G61+G64+G67+G70)</f>
        <v>96086.9</v>
      </c>
      <c r="H57" s="22" t="e">
        <f>SUM(H58+H68)</f>
        <v>#REF!</v>
      </c>
      <c r="I57" s="22" t="e">
        <f>SUM(H57/G57*100)</f>
        <v>#REF!</v>
      </c>
    </row>
    <row r="58" spans="1:9" ht="15">
      <c r="A58" s="96" t="s">
        <v>96</v>
      </c>
      <c r="B58" s="45"/>
      <c r="C58" s="54" t="s">
        <v>419</v>
      </c>
      <c r="D58" s="54" t="s">
        <v>111</v>
      </c>
      <c r="E58" s="54" t="s">
        <v>98</v>
      </c>
      <c r="F58" s="130"/>
      <c r="G58" s="312">
        <f>SUM(G59+G60)</f>
        <v>92823</v>
      </c>
      <c r="H58" s="22" t="e">
        <f>SUM(H59:H59+H60+H61+H63)+#REF!+H64</f>
        <v>#REF!</v>
      </c>
      <c r="I58" s="22" t="e">
        <f>SUM(H58/G58*100)</f>
        <v>#REF!</v>
      </c>
    </row>
    <row r="59" spans="1:9" ht="28.5">
      <c r="A59" s="96" t="s">
        <v>453</v>
      </c>
      <c r="B59" s="45"/>
      <c r="C59" s="54" t="s">
        <v>419</v>
      </c>
      <c r="D59" s="54" t="s">
        <v>111</v>
      </c>
      <c r="E59" s="54" t="s">
        <v>98</v>
      </c>
      <c r="F59" s="129" t="s">
        <v>454</v>
      </c>
      <c r="G59" s="312">
        <v>92792.9</v>
      </c>
      <c r="H59" s="22">
        <v>50612.1</v>
      </c>
      <c r="I59" s="22" t="e">
        <f>SUM(H59/#REF!*100)</f>
        <v>#REF!</v>
      </c>
    </row>
    <row r="60" spans="1:9" ht="15">
      <c r="A60" s="96" t="s">
        <v>458</v>
      </c>
      <c r="B60" s="45"/>
      <c r="C60" s="54" t="s">
        <v>419</v>
      </c>
      <c r="D60" s="54" t="s">
        <v>111</v>
      </c>
      <c r="E60" s="54" t="s">
        <v>98</v>
      </c>
      <c r="F60" s="129" t="s">
        <v>109</v>
      </c>
      <c r="G60" s="313">
        <v>30.1</v>
      </c>
      <c r="H60" s="22">
        <v>507.8</v>
      </c>
      <c r="I60" s="22">
        <f>SUM(H60/G61*100)</f>
        <v>36.46940534329216</v>
      </c>
    </row>
    <row r="61" spans="1:9" ht="28.5">
      <c r="A61" s="96" t="s">
        <v>115</v>
      </c>
      <c r="B61" s="45"/>
      <c r="C61" s="54" t="s">
        <v>419</v>
      </c>
      <c r="D61" s="54" t="s">
        <v>111</v>
      </c>
      <c r="E61" s="54" t="s">
        <v>116</v>
      </c>
      <c r="F61" s="129"/>
      <c r="G61" s="312">
        <f>SUM(G62:G63)</f>
        <v>1392.3999999999999</v>
      </c>
      <c r="H61" s="22">
        <v>41.9</v>
      </c>
      <c r="I61" s="22">
        <f>SUM(H61/G64*100)</f>
        <v>44.669509594882726</v>
      </c>
    </row>
    <row r="62" spans="1:9" ht="28.5">
      <c r="A62" s="96" t="s">
        <v>453</v>
      </c>
      <c r="B62" s="45"/>
      <c r="C62" s="54" t="s">
        <v>419</v>
      </c>
      <c r="D62" s="54" t="s">
        <v>111</v>
      </c>
      <c r="E62" s="54" t="s">
        <v>116</v>
      </c>
      <c r="F62" s="129" t="s">
        <v>454</v>
      </c>
      <c r="G62" s="312">
        <v>1368.8</v>
      </c>
      <c r="H62" s="22"/>
      <c r="I62" s="22"/>
    </row>
    <row r="63" spans="1:9" ht="15">
      <c r="A63" s="96" t="s">
        <v>458</v>
      </c>
      <c r="B63" s="45"/>
      <c r="C63" s="54" t="s">
        <v>419</v>
      </c>
      <c r="D63" s="54" t="s">
        <v>111</v>
      </c>
      <c r="E63" s="54" t="s">
        <v>116</v>
      </c>
      <c r="F63" s="129" t="s">
        <v>109</v>
      </c>
      <c r="G63" s="313">
        <v>23.6</v>
      </c>
      <c r="H63" s="22"/>
      <c r="I63" s="22">
        <f>SUM(H63/G66*100)</f>
        <v>0</v>
      </c>
    </row>
    <row r="64" spans="1:9" s="73" customFormat="1" ht="42.75">
      <c r="A64" s="96" t="s">
        <v>344</v>
      </c>
      <c r="B64" s="45"/>
      <c r="C64" s="54" t="s">
        <v>419</v>
      </c>
      <c r="D64" s="54" t="s">
        <v>111</v>
      </c>
      <c r="E64" s="54" t="s">
        <v>345</v>
      </c>
      <c r="F64" s="129"/>
      <c r="G64" s="312">
        <f>SUM(G65:G66)</f>
        <v>93.8</v>
      </c>
      <c r="H64" s="22"/>
      <c r="I64" s="22">
        <f>SUM(H64/G69*100)</f>
        <v>0</v>
      </c>
    </row>
    <row r="65" spans="1:9" s="73" customFormat="1" ht="28.5">
      <c r="A65" s="96" t="s">
        <v>453</v>
      </c>
      <c r="B65" s="45"/>
      <c r="C65" s="54" t="s">
        <v>419</v>
      </c>
      <c r="D65" s="54" t="s">
        <v>111</v>
      </c>
      <c r="E65" s="54" t="s">
        <v>345</v>
      </c>
      <c r="F65" s="129" t="s">
        <v>454</v>
      </c>
      <c r="G65" s="312">
        <v>72.3</v>
      </c>
      <c r="H65" s="22"/>
      <c r="I65" s="22"/>
    </row>
    <row r="66" spans="1:9" s="73" customFormat="1" ht="15">
      <c r="A66" s="96" t="s">
        <v>458</v>
      </c>
      <c r="B66" s="45"/>
      <c r="C66" s="54" t="s">
        <v>419</v>
      </c>
      <c r="D66" s="54" t="s">
        <v>111</v>
      </c>
      <c r="E66" s="54" t="s">
        <v>345</v>
      </c>
      <c r="F66" s="129" t="s">
        <v>109</v>
      </c>
      <c r="G66" s="313">
        <v>21.5</v>
      </c>
      <c r="H66" s="22"/>
      <c r="I66" s="22"/>
    </row>
    <row r="67" spans="1:9" s="73" customFormat="1" ht="28.5">
      <c r="A67" s="100" t="s">
        <v>50</v>
      </c>
      <c r="B67" s="53"/>
      <c r="C67" s="116" t="s">
        <v>419</v>
      </c>
      <c r="D67" s="116" t="s">
        <v>111</v>
      </c>
      <c r="E67" s="116" t="s">
        <v>51</v>
      </c>
      <c r="F67" s="130"/>
      <c r="G67" s="312">
        <f>SUM(G68:G69)</f>
        <v>179.6</v>
      </c>
      <c r="H67" s="22"/>
      <c r="I67" s="22"/>
    </row>
    <row r="68" spans="1:9" s="79" customFormat="1" ht="28.5">
      <c r="A68" s="96" t="s">
        <v>453</v>
      </c>
      <c r="B68" s="45"/>
      <c r="C68" s="54" t="s">
        <v>419</v>
      </c>
      <c r="D68" s="54" t="s">
        <v>111</v>
      </c>
      <c r="E68" s="116" t="s">
        <v>51</v>
      </c>
      <c r="F68" s="129" t="s">
        <v>454</v>
      </c>
      <c r="G68" s="312">
        <v>140</v>
      </c>
      <c r="H68" s="22" t="e">
        <f>SUM(#REF!)</f>
        <v>#REF!</v>
      </c>
      <c r="I68" s="22" t="e">
        <f>SUM(H68/G73*100)</f>
        <v>#REF!</v>
      </c>
    </row>
    <row r="69" spans="1:9" s="79" customFormat="1" ht="15">
      <c r="A69" s="96" t="s">
        <v>458</v>
      </c>
      <c r="B69" s="45"/>
      <c r="C69" s="54" t="s">
        <v>419</v>
      </c>
      <c r="D69" s="54" t="s">
        <v>111</v>
      </c>
      <c r="E69" s="116" t="s">
        <v>51</v>
      </c>
      <c r="F69" s="129" t="s">
        <v>109</v>
      </c>
      <c r="G69" s="313">
        <v>39.6</v>
      </c>
      <c r="H69" s="22" t="e">
        <f>SUM(#REF!)</f>
        <v>#REF!</v>
      </c>
      <c r="I69" s="22" t="e">
        <f>SUM(H69/#REF!*100)</f>
        <v>#REF!</v>
      </c>
    </row>
    <row r="70" spans="1:9" s="79" customFormat="1" ht="28.5">
      <c r="A70" s="100" t="s">
        <v>137</v>
      </c>
      <c r="B70" s="53"/>
      <c r="C70" s="116" t="s">
        <v>419</v>
      </c>
      <c r="D70" s="116" t="s">
        <v>111</v>
      </c>
      <c r="E70" s="116" t="s">
        <v>138</v>
      </c>
      <c r="F70" s="130"/>
      <c r="G70" s="312">
        <f>SUM(G71:G72)</f>
        <v>357.70000000000005</v>
      </c>
      <c r="H70" s="22"/>
      <c r="I70" s="22"/>
    </row>
    <row r="71" spans="1:9" s="79" customFormat="1" ht="28.5">
      <c r="A71" s="96" t="s">
        <v>453</v>
      </c>
      <c r="B71" s="45"/>
      <c r="C71" s="54" t="s">
        <v>419</v>
      </c>
      <c r="D71" s="54" t="s">
        <v>111</v>
      </c>
      <c r="E71" s="116" t="s">
        <v>138</v>
      </c>
      <c r="F71" s="129" t="s">
        <v>454</v>
      </c>
      <c r="G71" s="312">
        <v>288.8</v>
      </c>
      <c r="H71" s="22"/>
      <c r="I71" s="22"/>
    </row>
    <row r="72" spans="1:9" s="79" customFormat="1" ht="15">
      <c r="A72" s="96" t="s">
        <v>458</v>
      </c>
      <c r="B72" s="45"/>
      <c r="C72" s="54" t="s">
        <v>419</v>
      </c>
      <c r="D72" s="54" t="s">
        <v>111</v>
      </c>
      <c r="E72" s="116" t="s">
        <v>138</v>
      </c>
      <c r="F72" s="129" t="s">
        <v>109</v>
      </c>
      <c r="G72" s="313">
        <v>68.9</v>
      </c>
      <c r="H72" s="22"/>
      <c r="I72" s="22"/>
    </row>
    <row r="73" spans="1:9" s="79" customFormat="1" ht="28.5">
      <c r="A73" s="96" t="s">
        <v>346</v>
      </c>
      <c r="B73" s="45"/>
      <c r="C73" s="54" t="s">
        <v>97</v>
      </c>
      <c r="D73" s="54" t="s">
        <v>111</v>
      </c>
      <c r="E73" s="54" t="s">
        <v>347</v>
      </c>
      <c r="F73" s="130"/>
      <c r="G73" s="312">
        <f>SUM(G74)</f>
        <v>1240.4</v>
      </c>
      <c r="H73" s="22">
        <v>155.9</v>
      </c>
      <c r="I73" s="22" t="e">
        <f>SUM(H73/#REF!*100)</f>
        <v>#REF!</v>
      </c>
    </row>
    <row r="74" spans="1:9" s="79" customFormat="1" ht="28.5">
      <c r="A74" s="96" t="s">
        <v>453</v>
      </c>
      <c r="B74" s="45"/>
      <c r="C74" s="54" t="s">
        <v>419</v>
      </c>
      <c r="D74" s="54" t="s">
        <v>111</v>
      </c>
      <c r="E74" s="54" t="s">
        <v>347</v>
      </c>
      <c r="F74" s="129" t="s">
        <v>454</v>
      </c>
      <c r="G74" s="312">
        <v>1240.4</v>
      </c>
      <c r="H74" s="22" t="e">
        <f>SUM(#REF!)</f>
        <v>#REF!</v>
      </c>
      <c r="I74" s="22" t="e">
        <f>SUM(H74/G75*100)</f>
        <v>#REF!</v>
      </c>
    </row>
    <row r="75" spans="1:9" ht="15" hidden="1">
      <c r="A75" s="96" t="s">
        <v>119</v>
      </c>
      <c r="B75" s="45"/>
      <c r="C75" s="54" t="s">
        <v>419</v>
      </c>
      <c r="D75" s="54" t="s">
        <v>120</v>
      </c>
      <c r="E75" s="54"/>
      <c r="F75" s="130"/>
      <c r="G75" s="312">
        <f>SUM(G76)</f>
        <v>0</v>
      </c>
      <c r="H75" s="22"/>
      <c r="I75" s="22" t="e">
        <f>SUM(H75/#REF!*100)</f>
        <v>#REF!</v>
      </c>
    </row>
    <row r="76" spans="1:9" ht="28.5" hidden="1">
      <c r="A76" s="97" t="s">
        <v>236</v>
      </c>
      <c r="B76" s="45"/>
      <c r="C76" s="54" t="s">
        <v>419</v>
      </c>
      <c r="D76" s="54" t="s">
        <v>120</v>
      </c>
      <c r="E76" s="54" t="s">
        <v>350</v>
      </c>
      <c r="F76" s="130"/>
      <c r="G76" s="312">
        <f>SUM(G77)</f>
        <v>0</v>
      </c>
      <c r="H76" s="22" t="e">
        <f>SUM(H77)</f>
        <v>#REF!</v>
      </c>
      <c r="I76" s="22" t="e">
        <f>SUM(H76/#REF!*100)</f>
        <v>#REF!</v>
      </c>
    </row>
    <row r="77" spans="1:9" ht="15" hidden="1">
      <c r="A77" s="96" t="s">
        <v>92</v>
      </c>
      <c r="B77" s="45"/>
      <c r="C77" s="54" t="s">
        <v>419</v>
      </c>
      <c r="D77" s="54" t="s">
        <v>120</v>
      </c>
      <c r="E77" s="54" t="s">
        <v>350</v>
      </c>
      <c r="F77" s="129" t="s">
        <v>93</v>
      </c>
      <c r="G77" s="312"/>
      <c r="H77" s="22" t="e">
        <f>SUM(#REF!+#REF!)</f>
        <v>#REF!</v>
      </c>
      <c r="I77" s="22" t="e">
        <f>SUM(H77/#REF!*100)</f>
        <v>#REF!</v>
      </c>
    </row>
    <row r="78" spans="1:9" ht="15">
      <c r="A78" s="96" t="s">
        <v>101</v>
      </c>
      <c r="B78" s="45"/>
      <c r="C78" s="54" t="s">
        <v>419</v>
      </c>
      <c r="D78" s="54" t="s">
        <v>222</v>
      </c>
      <c r="E78" s="54"/>
      <c r="F78" s="130"/>
      <c r="G78" s="312">
        <f>SUM(G79+G91)</f>
        <v>30728.200000000004</v>
      </c>
      <c r="H78" s="22">
        <f>SUM(H79)</f>
        <v>836.4</v>
      </c>
      <c r="I78" s="22">
        <f>SUM(H78/G82*100)</f>
        <v>1127.2237196765498</v>
      </c>
    </row>
    <row r="79" spans="1:9" ht="28.5">
      <c r="A79" s="100" t="s">
        <v>455</v>
      </c>
      <c r="B79" s="164"/>
      <c r="C79" s="117" t="s">
        <v>419</v>
      </c>
      <c r="D79" s="117" t="s">
        <v>222</v>
      </c>
      <c r="E79" s="117" t="s">
        <v>456</v>
      </c>
      <c r="F79" s="165"/>
      <c r="G79" s="315">
        <f>G80+G83+G85+G88</f>
        <v>28262.300000000003</v>
      </c>
      <c r="H79" s="22">
        <f>SUM(H80)</f>
        <v>836.4</v>
      </c>
      <c r="I79" s="22" t="e">
        <f>SUM(H79/#REF!*100)</f>
        <v>#REF!</v>
      </c>
    </row>
    <row r="80" spans="1:9" ht="15">
      <c r="A80" s="100" t="s">
        <v>444</v>
      </c>
      <c r="B80" s="166"/>
      <c r="C80" s="117" t="s">
        <v>419</v>
      </c>
      <c r="D80" s="117" t="s">
        <v>222</v>
      </c>
      <c r="E80" s="117" t="s">
        <v>457</v>
      </c>
      <c r="F80" s="134"/>
      <c r="G80" s="315">
        <f>G81+G82</f>
        <v>2792.7</v>
      </c>
      <c r="H80" s="22">
        <v>836.4</v>
      </c>
      <c r="I80" s="22" t="e">
        <f>SUM(H80/#REF!*100)</f>
        <v>#REF!</v>
      </c>
    </row>
    <row r="81" spans="1:9" ht="15">
      <c r="A81" s="100" t="s">
        <v>458</v>
      </c>
      <c r="B81" s="166"/>
      <c r="C81" s="117" t="s">
        <v>419</v>
      </c>
      <c r="D81" s="117" t="s">
        <v>222</v>
      </c>
      <c r="E81" s="117" t="s">
        <v>457</v>
      </c>
      <c r="F81" s="134" t="s">
        <v>109</v>
      </c>
      <c r="G81" s="315">
        <v>2718.5</v>
      </c>
      <c r="H81" s="22" t="e">
        <f>SUM(#REF!)</f>
        <v>#REF!</v>
      </c>
      <c r="I81" s="22" t="e">
        <f>SUM(H81/G83*100)</f>
        <v>#REF!</v>
      </c>
    </row>
    <row r="82" spans="1:9" ht="15">
      <c r="A82" s="100" t="s">
        <v>459</v>
      </c>
      <c r="B82" s="166"/>
      <c r="C82" s="117" t="s">
        <v>419</v>
      </c>
      <c r="D82" s="117" t="s">
        <v>222</v>
      </c>
      <c r="E82" s="117" t="s">
        <v>457</v>
      </c>
      <c r="F82" s="134" t="s">
        <v>163</v>
      </c>
      <c r="G82" s="315">
        <v>74.2</v>
      </c>
      <c r="H82" s="22" t="e">
        <f>SUM(#REF!)</f>
        <v>#REF!</v>
      </c>
      <c r="I82" s="22" t="e">
        <f>SUM(H82/#REF!*100)</f>
        <v>#REF!</v>
      </c>
    </row>
    <row r="83" spans="1:9" ht="28.5">
      <c r="A83" s="100" t="s">
        <v>445</v>
      </c>
      <c r="B83" s="166"/>
      <c r="C83" s="117" t="s">
        <v>419</v>
      </c>
      <c r="D83" s="117" t="s">
        <v>222</v>
      </c>
      <c r="E83" s="117" t="s">
        <v>460</v>
      </c>
      <c r="F83" s="134"/>
      <c r="G83" s="315">
        <f>SUM(G84)</f>
        <v>8943.8</v>
      </c>
      <c r="H83" s="22"/>
      <c r="I83" s="22"/>
    </row>
    <row r="84" spans="1:9" ht="15">
      <c r="A84" s="100" t="s">
        <v>458</v>
      </c>
      <c r="B84" s="166"/>
      <c r="C84" s="117" t="s">
        <v>419</v>
      </c>
      <c r="D84" s="117" t="s">
        <v>222</v>
      </c>
      <c r="E84" s="117" t="s">
        <v>460</v>
      </c>
      <c r="F84" s="134" t="s">
        <v>109</v>
      </c>
      <c r="G84" s="315">
        <v>8943.8</v>
      </c>
      <c r="H84" s="22"/>
      <c r="I84" s="22"/>
    </row>
    <row r="85" spans="1:9" ht="28.5">
      <c r="A85" s="100" t="s">
        <v>480</v>
      </c>
      <c r="B85" s="166"/>
      <c r="C85" s="117" t="s">
        <v>419</v>
      </c>
      <c r="D85" s="117" t="s">
        <v>222</v>
      </c>
      <c r="E85" s="117" t="s">
        <v>481</v>
      </c>
      <c r="F85" s="134"/>
      <c r="G85" s="315">
        <f>SUM(G86)+G87</f>
        <v>3492.1</v>
      </c>
      <c r="H85" s="22" t="e">
        <f>SUM(H86)</f>
        <v>#REF!</v>
      </c>
      <c r="I85" s="22" t="e">
        <f>SUM(H85/G89*100)</f>
        <v>#REF!</v>
      </c>
    </row>
    <row r="86" spans="1:9" ht="15">
      <c r="A86" s="100" t="s">
        <v>458</v>
      </c>
      <c r="B86" s="166"/>
      <c r="C86" s="117" t="s">
        <v>419</v>
      </c>
      <c r="D86" s="117" t="s">
        <v>222</v>
      </c>
      <c r="E86" s="117" t="s">
        <v>481</v>
      </c>
      <c r="F86" s="134" t="s">
        <v>109</v>
      </c>
      <c r="G86" s="315">
        <f>2730.7+711.4</f>
        <v>3442.1</v>
      </c>
      <c r="H86" s="22" t="e">
        <f>SUM(#REF!)</f>
        <v>#REF!</v>
      </c>
      <c r="I86" s="22" t="e">
        <f>SUM(H86/#REF!*100)</f>
        <v>#REF!</v>
      </c>
    </row>
    <row r="87" spans="1:9" ht="15">
      <c r="A87" s="100" t="s">
        <v>459</v>
      </c>
      <c r="B87" s="166"/>
      <c r="C87" s="117" t="s">
        <v>419</v>
      </c>
      <c r="D87" s="117" t="s">
        <v>222</v>
      </c>
      <c r="E87" s="117" t="s">
        <v>481</v>
      </c>
      <c r="F87" s="134" t="s">
        <v>163</v>
      </c>
      <c r="G87" s="315">
        <v>50</v>
      </c>
      <c r="H87" s="22"/>
      <c r="I87" s="22"/>
    </row>
    <row r="88" spans="1:9" ht="28.5">
      <c r="A88" s="100" t="s">
        <v>461</v>
      </c>
      <c r="B88" s="166"/>
      <c r="C88" s="117" t="s">
        <v>419</v>
      </c>
      <c r="D88" s="117" t="s">
        <v>222</v>
      </c>
      <c r="E88" s="117" t="s">
        <v>462</v>
      </c>
      <c r="F88" s="134"/>
      <c r="G88" s="315">
        <f>G89+G90</f>
        <v>13033.7</v>
      </c>
      <c r="H88" s="22" t="e">
        <f>SUM(#REF!)</f>
        <v>#REF!</v>
      </c>
      <c r="I88" s="22" t="e">
        <f>SUM(H88/#REF!*100)</f>
        <v>#REF!</v>
      </c>
    </row>
    <row r="89" spans="1:9" ht="15">
      <c r="A89" s="100" t="s">
        <v>458</v>
      </c>
      <c r="B89" s="166"/>
      <c r="C89" s="117" t="s">
        <v>419</v>
      </c>
      <c r="D89" s="117" t="s">
        <v>222</v>
      </c>
      <c r="E89" s="117" t="s">
        <v>462</v>
      </c>
      <c r="F89" s="134" t="s">
        <v>109</v>
      </c>
      <c r="G89" s="315">
        <v>10397.1</v>
      </c>
      <c r="H89" s="22" t="e">
        <f>SUM(#REF!)</f>
        <v>#REF!</v>
      </c>
      <c r="I89" s="22" t="e">
        <f>SUM(H89/#REF!*100)</f>
        <v>#REF!</v>
      </c>
    </row>
    <row r="90" spans="1:9" ht="15">
      <c r="A90" s="100" t="s">
        <v>459</v>
      </c>
      <c r="B90" s="166"/>
      <c r="C90" s="117" t="s">
        <v>419</v>
      </c>
      <c r="D90" s="117" t="s">
        <v>222</v>
      </c>
      <c r="E90" s="117" t="s">
        <v>462</v>
      </c>
      <c r="F90" s="134" t="s">
        <v>163</v>
      </c>
      <c r="G90" s="315">
        <v>2636.6</v>
      </c>
      <c r="H90" s="22">
        <v>1317.4</v>
      </c>
      <c r="I90" s="22" t="e">
        <f>SUM(H90/#REF!*100)</f>
        <v>#REF!</v>
      </c>
    </row>
    <row r="91" spans="1:9" ht="28.5">
      <c r="A91" s="100" t="s">
        <v>557</v>
      </c>
      <c r="B91" s="166"/>
      <c r="C91" s="117" t="s">
        <v>419</v>
      </c>
      <c r="D91" s="117" t="s">
        <v>222</v>
      </c>
      <c r="E91" s="117" t="s">
        <v>125</v>
      </c>
      <c r="F91" s="134"/>
      <c r="G91" s="315">
        <f>G92</f>
        <v>2465.9</v>
      </c>
      <c r="H91" s="22"/>
      <c r="I91" s="22"/>
    </row>
    <row r="92" spans="1:9" ht="15">
      <c r="A92" s="100" t="s">
        <v>11</v>
      </c>
      <c r="B92" s="166"/>
      <c r="C92" s="117" t="s">
        <v>419</v>
      </c>
      <c r="D92" s="117" t="s">
        <v>222</v>
      </c>
      <c r="E92" s="117" t="s">
        <v>190</v>
      </c>
      <c r="F92" s="134"/>
      <c r="G92" s="315">
        <f>G93+G95</f>
        <v>2465.9</v>
      </c>
      <c r="H92" s="22"/>
      <c r="I92" s="22"/>
    </row>
    <row r="93" spans="1:9" ht="28.5">
      <c r="A93" s="188" t="s">
        <v>582</v>
      </c>
      <c r="B93" s="166"/>
      <c r="C93" s="117" t="s">
        <v>419</v>
      </c>
      <c r="D93" s="117" t="s">
        <v>222</v>
      </c>
      <c r="E93" s="117" t="s">
        <v>192</v>
      </c>
      <c r="F93" s="134"/>
      <c r="G93" s="315">
        <f>SUM(G94)</f>
        <v>2380.3</v>
      </c>
      <c r="H93" s="22"/>
      <c r="I93" s="22"/>
    </row>
    <row r="94" spans="1:9" ht="28.5">
      <c r="A94" s="100" t="s">
        <v>482</v>
      </c>
      <c r="B94" s="166"/>
      <c r="C94" s="117" t="s">
        <v>419</v>
      </c>
      <c r="D94" s="117" t="s">
        <v>222</v>
      </c>
      <c r="E94" s="117" t="s">
        <v>192</v>
      </c>
      <c r="F94" s="134" t="s">
        <v>471</v>
      </c>
      <c r="G94" s="315">
        <v>2380.3</v>
      </c>
      <c r="H94" s="22"/>
      <c r="I94" s="22"/>
    </row>
    <row r="95" spans="1:9" ht="15">
      <c r="A95" s="96" t="s">
        <v>146</v>
      </c>
      <c r="B95" s="166"/>
      <c r="C95" s="117" t="s">
        <v>419</v>
      </c>
      <c r="D95" s="117" t="s">
        <v>222</v>
      </c>
      <c r="E95" s="117" t="s">
        <v>376</v>
      </c>
      <c r="F95" s="134"/>
      <c r="G95" s="315">
        <f>SUM(G96)</f>
        <v>85.6</v>
      </c>
      <c r="H95" s="22"/>
      <c r="I95" s="22"/>
    </row>
    <row r="96" spans="1:9" ht="28.5">
      <c r="A96" s="100" t="s">
        <v>133</v>
      </c>
      <c r="B96" s="166"/>
      <c r="C96" s="117" t="s">
        <v>419</v>
      </c>
      <c r="D96" s="117" t="s">
        <v>222</v>
      </c>
      <c r="E96" s="117" t="s">
        <v>377</v>
      </c>
      <c r="F96" s="134"/>
      <c r="G96" s="315">
        <f>SUM(G97)</f>
        <v>85.6</v>
      </c>
      <c r="H96" s="22"/>
      <c r="I96" s="22"/>
    </row>
    <row r="97" spans="1:9" ht="28.5">
      <c r="A97" s="100" t="s">
        <v>482</v>
      </c>
      <c r="B97" s="166"/>
      <c r="C97" s="117" t="s">
        <v>419</v>
      </c>
      <c r="D97" s="117" t="s">
        <v>222</v>
      </c>
      <c r="E97" s="117" t="s">
        <v>377</v>
      </c>
      <c r="F97" s="134" t="s">
        <v>471</v>
      </c>
      <c r="G97" s="315">
        <v>85.6</v>
      </c>
      <c r="H97" s="22">
        <f>SUM(H98)</f>
        <v>0</v>
      </c>
      <c r="I97" s="22">
        <f>SUM(H97/G103*100)</f>
        <v>0</v>
      </c>
    </row>
    <row r="98" spans="1:9" ht="28.5" hidden="1">
      <c r="A98" s="100" t="s">
        <v>133</v>
      </c>
      <c r="B98" s="166"/>
      <c r="C98" s="117" t="s">
        <v>419</v>
      </c>
      <c r="D98" s="117" t="s">
        <v>222</v>
      </c>
      <c r="E98" s="117" t="s">
        <v>377</v>
      </c>
      <c r="F98" s="134"/>
      <c r="G98" s="315"/>
      <c r="H98" s="22">
        <f>SUM(H99:H100)</f>
        <v>0</v>
      </c>
      <c r="I98" s="22" t="e">
        <f>SUM(H98/#REF!*100)</f>
        <v>#REF!</v>
      </c>
    </row>
    <row r="99" spans="1:9" ht="15">
      <c r="A99" s="100" t="s">
        <v>128</v>
      </c>
      <c r="B99" s="166"/>
      <c r="C99" s="117" t="s">
        <v>95</v>
      </c>
      <c r="D99" s="117"/>
      <c r="E99" s="117"/>
      <c r="F99" s="134"/>
      <c r="G99" s="315">
        <f>SUM(G106)+G100</f>
        <v>21580.8</v>
      </c>
      <c r="H99" s="22"/>
      <c r="I99" s="22" t="e">
        <f>SUM(H99/#REF!*100)</f>
        <v>#REF!</v>
      </c>
    </row>
    <row r="100" spans="1:9" ht="15">
      <c r="A100" s="167" t="s">
        <v>49</v>
      </c>
      <c r="B100" s="166"/>
      <c r="C100" s="117" t="s">
        <v>95</v>
      </c>
      <c r="D100" s="117" t="s">
        <v>111</v>
      </c>
      <c r="E100" s="117"/>
      <c r="F100" s="134"/>
      <c r="G100" s="315">
        <f>SUM(G102)</f>
        <v>4966.7</v>
      </c>
      <c r="H100" s="22"/>
      <c r="I100" s="22">
        <f>SUM(H100/G104*100)</f>
        <v>0</v>
      </c>
    </row>
    <row r="101" spans="1:9" ht="15">
      <c r="A101" s="100" t="s">
        <v>371</v>
      </c>
      <c r="B101" s="166"/>
      <c r="C101" s="117" t="s">
        <v>95</v>
      </c>
      <c r="D101" s="117" t="s">
        <v>111</v>
      </c>
      <c r="E101" s="117" t="s">
        <v>372</v>
      </c>
      <c r="F101" s="134"/>
      <c r="G101" s="315">
        <f>SUM(G102)</f>
        <v>4966.7</v>
      </c>
      <c r="H101" s="22" t="e">
        <f>SUM(H104)+H103+#REF!</f>
        <v>#REF!</v>
      </c>
      <c r="I101" s="22" t="e">
        <f>SUM(H101/#REF!*100)</f>
        <v>#REF!</v>
      </c>
    </row>
    <row r="102" spans="1:9" s="73" customFormat="1" ht="28.5">
      <c r="A102" s="100" t="s">
        <v>574</v>
      </c>
      <c r="B102" s="166"/>
      <c r="C102" s="117" t="s">
        <v>95</v>
      </c>
      <c r="D102" s="117" t="s">
        <v>111</v>
      </c>
      <c r="E102" s="117" t="s">
        <v>595</v>
      </c>
      <c r="F102" s="134"/>
      <c r="G102" s="315">
        <f>G103+G104+G105</f>
        <v>4966.7</v>
      </c>
      <c r="H102" s="22" t="e">
        <f>SUM(#REF!)</f>
        <v>#REF!</v>
      </c>
      <c r="I102" s="22" t="e">
        <f>SUM(H102/#REF!*100)</f>
        <v>#REF!</v>
      </c>
    </row>
    <row r="103" spans="1:9" s="73" customFormat="1" ht="28.5">
      <c r="A103" s="100" t="s">
        <v>453</v>
      </c>
      <c r="B103" s="166"/>
      <c r="C103" s="117" t="s">
        <v>95</v>
      </c>
      <c r="D103" s="117" t="s">
        <v>111</v>
      </c>
      <c r="E103" s="117" t="s">
        <v>595</v>
      </c>
      <c r="F103" s="134" t="s">
        <v>454</v>
      </c>
      <c r="G103" s="315">
        <v>3843.6</v>
      </c>
      <c r="H103" s="22"/>
      <c r="I103" s="22"/>
    </row>
    <row r="104" spans="1:9" ht="15">
      <c r="A104" s="100" t="s">
        <v>458</v>
      </c>
      <c r="B104" s="166"/>
      <c r="C104" s="117" t="s">
        <v>95</v>
      </c>
      <c r="D104" s="117" t="s">
        <v>111</v>
      </c>
      <c r="E104" s="117" t="s">
        <v>595</v>
      </c>
      <c r="F104" s="134" t="s">
        <v>109</v>
      </c>
      <c r="G104" s="315">
        <v>1025.1</v>
      </c>
      <c r="H104" s="22" t="e">
        <f>SUM(#REF!+H109+H112+H115)+#REF!</f>
        <v>#REF!</v>
      </c>
      <c r="I104" s="22" t="e">
        <f>SUM(H104/G106*100)</f>
        <v>#REF!</v>
      </c>
    </row>
    <row r="105" spans="1:9" ht="15">
      <c r="A105" s="100" t="s">
        <v>459</v>
      </c>
      <c r="B105" s="166"/>
      <c r="C105" s="117" t="s">
        <v>95</v>
      </c>
      <c r="D105" s="117" t="s">
        <v>111</v>
      </c>
      <c r="E105" s="117" t="s">
        <v>595</v>
      </c>
      <c r="F105" s="134" t="s">
        <v>163</v>
      </c>
      <c r="G105" s="315">
        <v>98</v>
      </c>
      <c r="H105" s="22"/>
      <c r="I105" s="22">
        <f>SUM(H105/G109*100)</f>
        <v>0</v>
      </c>
    </row>
    <row r="106" spans="1:9" ht="28.5">
      <c r="A106" s="101" t="s">
        <v>284</v>
      </c>
      <c r="B106" s="141"/>
      <c r="C106" s="120" t="s">
        <v>95</v>
      </c>
      <c r="D106" s="120" t="s">
        <v>285</v>
      </c>
      <c r="E106" s="120"/>
      <c r="F106" s="168"/>
      <c r="G106" s="316">
        <f>G116+G121+G107+G126</f>
        <v>16614.1</v>
      </c>
      <c r="H106" s="22">
        <v>438.8</v>
      </c>
      <c r="I106" s="22" t="e">
        <f aca="true" t="shared" si="2" ref="I106:I111">SUM(H106/G112*100)</f>
        <v>#DIV/0!</v>
      </c>
    </row>
    <row r="107" spans="1:9" ht="28.5">
      <c r="A107" s="100" t="s">
        <v>558</v>
      </c>
      <c r="B107" s="166"/>
      <c r="C107" s="117" t="s">
        <v>95</v>
      </c>
      <c r="D107" s="117" t="s">
        <v>285</v>
      </c>
      <c r="E107" s="117" t="s">
        <v>486</v>
      </c>
      <c r="F107" s="134"/>
      <c r="G107" s="315">
        <f>SUM(G108)</f>
        <v>12554.099999999999</v>
      </c>
      <c r="H107" s="22">
        <f>SUM(H108)</f>
        <v>9825.3</v>
      </c>
      <c r="I107" s="22">
        <f t="shared" si="2"/>
        <v>385.2454516938519</v>
      </c>
    </row>
    <row r="108" spans="1:9" ht="28.5">
      <c r="A108" s="100" t="s">
        <v>46</v>
      </c>
      <c r="B108" s="166"/>
      <c r="C108" s="117" t="s">
        <v>95</v>
      </c>
      <c r="D108" s="117" t="s">
        <v>285</v>
      </c>
      <c r="E108" s="117" t="s">
        <v>487</v>
      </c>
      <c r="F108" s="134"/>
      <c r="G108" s="315">
        <f>G109+G113+G115</f>
        <v>12554.099999999999</v>
      </c>
      <c r="H108" s="22">
        <v>9825.3</v>
      </c>
      <c r="I108" s="22" t="e">
        <f t="shared" si="2"/>
        <v>#DIV/0!</v>
      </c>
    </row>
    <row r="109" spans="1:9" ht="28.5">
      <c r="A109" s="100" t="s">
        <v>453</v>
      </c>
      <c r="B109" s="166"/>
      <c r="C109" s="117" t="s">
        <v>95</v>
      </c>
      <c r="D109" s="117" t="s">
        <v>285</v>
      </c>
      <c r="E109" s="117" t="s">
        <v>487</v>
      </c>
      <c r="F109" s="134" t="s">
        <v>454</v>
      </c>
      <c r="G109" s="315">
        <v>9898.3</v>
      </c>
      <c r="H109" s="22">
        <f>SUM(H110)</f>
        <v>227.3</v>
      </c>
      <c r="I109" s="22">
        <f t="shared" si="2"/>
        <v>215.65464895635677</v>
      </c>
    </row>
    <row r="110" spans="1:9" ht="15" hidden="1">
      <c r="A110" s="100" t="s">
        <v>488</v>
      </c>
      <c r="B110" s="166"/>
      <c r="C110" s="117" t="s">
        <v>95</v>
      </c>
      <c r="D110" s="117" t="s">
        <v>285</v>
      </c>
      <c r="E110" s="117" t="s">
        <v>487</v>
      </c>
      <c r="F110" s="134" t="s">
        <v>489</v>
      </c>
      <c r="G110" s="315"/>
      <c r="H110" s="22">
        <f>SUM(H111)</f>
        <v>227.3</v>
      </c>
      <c r="I110" s="22">
        <f t="shared" si="2"/>
        <v>8.265454545454546</v>
      </c>
    </row>
    <row r="111" spans="1:9" ht="28.5" hidden="1">
      <c r="A111" s="100" t="s">
        <v>490</v>
      </c>
      <c r="B111" s="169"/>
      <c r="C111" s="117" t="s">
        <v>95</v>
      </c>
      <c r="D111" s="117" t="s">
        <v>285</v>
      </c>
      <c r="E111" s="117" t="s">
        <v>487</v>
      </c>
      <c r="F111" s="134" t="s">
        <v>491</v>
      </c>
      <c r="G111" s="315"/>
      <c r="H111" s="22">
        <v>227.3</v>
      </c>
      <c r="I111" s="22">
        <f t="shared" si="2"/>
        <v>30.306666666666672</v>
      </c>
    </row>
    <row r="112" spans="1:9" ht="28.5" hidden="1">
      <c r="A112" s="100" t="s">
        <v>492</v>
      </c>
      <c r="B112" s="169"/>
      <c r="C112" s="117" t="s">
        <v>95</v>
      </c>
      <c r="D112" s="117" t="s">
        <v>285</v>
      </c>
      <c r="E112" s="117" t="s">
        <v>487</v>
      </c>
      <c r="F112" s="134" t="s">
        <v>493</v>
      </c>
      <c r="G112" s="315"/>
      <c r="H112" s="22">
        <f>SUM(H113)</f>
        <v>5387.8</v>
      </c>
      <c r="I112" s="22" t="e">
        <f>SUM(H112/#REF!*100)</f>
        <v>#REF!</v>
      </c>
    </row>
    <row r="113" spans="1:9" ht="15.75">
      <c r="A113" s="100" t="s">
        <v>458</v>
      </c>
      <c r="B113" s="169"/>
      <c r="C113" s="117" t="s">
        <v>95</v>
      </c>
      <c r="D113" s="117" t="s">
        <v>285</v>
      </c>
      <c r="E113" s="117" t="s">
        <v>487</v>
      </c>
      <c r="F113" s="134" t="s">
        <v>109</v>
      </c>
      <c r="G113" s="315">
        <v>2550.4</v>
      </c>
      <c r="H113" s="22">
        <f>SUM(H114)</f>
        <v>5387.8</v>
      </c>
      <c r="I113" s="22" t="e">
        <f>SUM(H113/#REF!*100)</f>
        <v>#REF!</v>
      </c>
    </row>
    <row r="114" spans="1:9" ht="15.75" hidden="1">
      <c r="A114" s="100" t="s">
        <v>476</v>
      </c>
      <c r="B114" s="169"/>
      <c r="C114" s="117" t="s">
        <v>95</v>
      </c>
      <c r="D114" s="117" t="s">
        <v>285</v>
      </c>
      <c r="E114" s="117" t="s">
        <v>487</v>
      </c>
      <c r="F114" s="134" t="s">
        <v>477</v>
      </c>
      <c r="G114" s="315"/>
      <c r="H114" s="22">
        <v>5387.8</v>
      </c>
      <c r="I114" s="22" t="e">
        <f>SUM(H114/#REF!*100)</f>
        <v>#REF!</v>
      </c>
    </row>
    <row r="115" spans="1:9" ht="15">
      <c r="A115" s="205" t="s">
        <v>459</v>
      </c>
      <c r="B115" s="218"/>
      <c r="C115" s="110" t="s">
        <v>95</v>
      </c>
      <c r="D115" s="110" t="s">
        <v>285</v>
      </c>
      <c r="E115" s="110" t="s">
        <v>487</v>
      </c>
      <c r="F115" s="219" t="s">
        <v>163</v>
      </c>
      <c r="G115" s="317">
        <v>105.4</v>
      </c>
      <c r="H115" s="22">
        <f>SUM(H117)</f>
        <v>0</v>
      </c>
      <c r="I115" s="22">
        <f>SUM(H115/G119*100)</f>
        <v>0</v>
      </c>
    </row>
    <row r="116" spans="1:9" ht="28.5">
      <c r="A116" s="100" t="s">
        <v>559</v>
      </c>
      <c r="B116" s="166"/>
      <c r="C116" s="117" t="s">
        <v>95</v>
      </c>
      <c r="D116" s="117" t="s">
        <v>285</v>
      </c>
      <c r="E116" s="117" t="s">
        <v>494</v>
      </c>
      <c r="F116" s="134"/>
      <c r="G116" s="315">
        <f>SUM(G118+G120)</f>
        <v>2750</v>
      </c>
      <c r="H116" s="22">
        <f>SUM(H117)</f>
        <v>0</v>
      </c>
      <c r="I116" s="22">
        <f>SUM(H116/G120*100)</f>
        <v>0</v>
      </c>
    </row>
    <row r="117" spans="1:9" ht="28.5">
      <c r="A117" s="100" t="s">
        <v>560</v>
      </c>
      <c r="B117" s="166"/>
      <c r="C117" s="117" t="s">
        <v>95</v>
      </c>
      <c r="D117" s="117" t="s">
        <v>285</v>
      </c>
      <c r="E117" s="117" t="s">
        <v>495</v>
      </c>
      <c r="F117" s="134"/>
      <c r="G117" s="315">
        <f>SUM(G118)</f>
        <v>750</v>
      </c>
      <c r="H117" s="22"/>
      <c r="I117" s="22">
        <f>SUM(H117/G121*100)</f>
        <v>0</v>
      </c>
    </row>
    <row r="118" spans="1:9" ht="15">
      <c r="A118" s="100" t="s">
        <v>458</v>
      </c>
      <c r="B118" s="166"/>
      <c r="C118" s="117" t="s">
        <v>95</v>
      </c>
      <c r="D118" s="117" t="s">
        <v>285</v>
      </c>
      <c r="E118" s="117" t="s">
        <v>495</v>
      </c>
      <c r="F118" s="134" t="s">
        <v>109</v>
      </c>
      <c r="G118" s="315">
        <v>750</v>
      </c>
      <c r="H118" s="22"/>
      <c r="I118" s="22"/>
    </row>
    <row r="119" spans="1:9" ht="28.5">
      <c r="A119" s="100" t="s">
        <v>0</v>
      </c>
      <c r="B119" s="166"/>
      <c r="C119" s="117" t="s">
        <v>95</v>
      </c>
      <c r="D119" s="117" t="s">
        <v>285</v>
      </c>
      <c r="E119" s="117" t="s">
        <v>496</v>
      </c>
      <c r="F119" s="134"/>
      <c r="G119" s="315">
        <f>SUM(G120)</f>
        <v>2000</v>
      </c>
      <c r="H119" s="22"/>
      <c r="I119" s="22" t="e">
        <f>SUM(H119/G125*100)</f>
        <v>#DIV/0!</v>
      </c>
    </row>
    <row r="120" spans="1:9" s="73" customFormat="1" ht="15">
      <c r="A120" s="100" t="s">
        <v>459</v>
      </c>
      <c r="B120" s="166"/>
      <c r="C120" s="117" t="s">
        <v>95</v>
      </c>
      <c r="D120" s="117" t="s">
        <v>285</v>
      </c>
      <c r="E120" s="117" t="s">
        <v>496</v>
      </c>
      <c r="F120" s="134" t="s">
        <v>163</v>
      </c>
      <c r="G120" s="315">
        <v>2000</v>
      </c>
      <c r="H120" s="22" t="e">
        <f>SUM(H121+H124+H130+#REF!)</f>
        <v>#REF!</v>
      </c>
      <c r="I120" s="22" t="e">
        <f>SUM(H120/#REF!*100)</f>
        <v>#REF!</v>
      </c>
    </row>
    <row r="121" spans="1:9" ht="15">
      <c r="A121" s="100" t="s">
        <v>1</v>
      </c>
      <c r="B121" s="170"/>
      <c r="C121" s="171" t="s">
        <v>95</v>
      </c>
      <c r="D121" s="171" t="s">
        <v>285</v>
      </c>
      <c r="E121" s="171" t="s">
        <v>497</v>
      </c>
      <c r="F121" s="172"/>
      <c r="G121" s="315">
        <f>SUM(G122)</f>
        <v>10</v>
      </c>
      <c r="H121" s="22"/>
      <c r="I121" s="22"/>
    </row>
    <row r="122" spans="1:9" ht="28.5">
      <c r="A122" s="100" t="s">
        <v>2</v>
      </c>
      <c r="B122" s="170"/>
      <c r="C122" s="173" t="s">
        <v>95</v>
      </c>
      <c r="D122" s="173" t="s">
        <v>285</v>
      </c>
      <c r="E122" s="173" t="s">
        <v>498</v>
      </c>
      <c r="F122" s="174"/>
      <c r="G122" s="315">
        <f>SUM(G123)</f>
        <v>10</v>
      </c>
      <c r="H122" s="22"/>
      <c r="I122" s="22"/>
    </row>
    <row r="123" spans="1:9" ht="14.25" customHeight="1">
      <c r="A123" s="100" t="s">
        <v>458</v>
      </c>
      <c r="B123" s="170"/>
      <c r="C123" s="173" t="s">
        <v>95</v>
      </c>
      <c r="D123" s="173" t="s">
        <v>285</v>
      </c>
      <c r="E123" s="173" t="s">
        <v>498</v>
      </c>
      <c r="F123" s="174" t="s">
        <v>109</v>
      </c>
      <c r="G123" s="315">
        <v>10</v>
      </c>
      <c r="H123" s="22"/>
      <c r="I123" s="22"/>
    </row>
    <row r="124" spans="1:9" ht="15" hidden="1">
      <c r="A124" s="100" t="s">
        <v>476</v>
      </c>
      <c r="B124" s="170"/>
      <c r="C124" s="173" t="s">
        <v>95</v>
      </c>
      <c r="D124" s="173" t="s">
        <v>285</v>
      </c>
      <c r="E124" s="173" t="s">
        <v>498</v>
      </c>
      <c r="F124" s="174" t="s">
        <v>477</v>
      </c>
      <c r="G124" s="315"/>
      <c r="H124" s="22"/>
      <c r="I124" s="22"/>
    </row>
    <row r="125" spans="1:9" ht="28.5" hidden="1">
      <c r="A125" s="100" t="s">
        <v>478</v>
      </c>
      <c r="B125" s="170"/>
      <c r="C125" s="173" t="s">
        <v>95</v>
      </c>
      <c r="D125" s="173" t="s">
        <v>285</v>
      </c>
      <c r="E125" s="173" t="s">
        <v>498</v>
      </c>
      <c r="F125" s="174" t="s">
        <v>479</v>
      </c>
      <c r="G125" s="315"/>
      <c r="H125" s="22"/>
      <c r="I125" s="22"/>
    </row>
    <row r="126" spans="1:9" ht="15">
      <c r="A126" s="102" t="s">
        <v>509</v>
      </c>
      <c r="B126" s="170"/>
      <c r="C126" s="111" t="s">
        <v>95</v>
      </c>
      <c r="D126" s="111" t="s">
        <v>285</v>
      </c>
      <c r="E126" s="116" t="s">
        <v>118</v>
      </c>
      <c r="F126" s="175"/>
      <c r="G126" s="318">
        <f>SUM(G127)</f>
        <v>1300</v>
      </c>
      <c r="H126" s="22"/>
      <c r="I126" s="22"/>
    </row>
    <row r="127" spans="1:9" ht="15">
      <c r="A127" s="100" t="s">
        <v>623</v>
      </c>
      <c r="B127" s="45"/>
      <c r="C127" s="111" t="s">
        <v>95</v>
      </c>
      <c r="D127" s="111" t="s">
        <v>285</v>
      </c>
      <c r="E127" s="116" t="s">
        <v>127</v>
      </c>
      <c r="F127" s="130"/>
      <c r="G127" s="312">
        <f>SUM(G128)</f>
        <v>1300</v>
      </c>
      <c r="H127" s="22"/>
      <c r="I127" s="22"/>
    </row>
    <row r="128" spans="1:9" ht="15">
      <c r="A128" s="100" t="s">
        <v>458</v>
      </c>
      <c r="B128" s="45"/>
      <c r="C128" s="111" t="s">
        <v>95</v>
      </c>
      <c r="D128" s="111" t="s">
        <v>285</v>
      </c>
      <c r="E128" s="116" t="s">
        <v>127</v>
      </c>
      <c r="F128" s="130" t="s">
        <v>109</v>
      </c>
      <c r="G128" s="312">
        <v>1300</v>
      </c>
      <c r="H128" s="22"/>
      <c r="I128" s="22"/>
    </row>
    <row r="129" spans="1:9" ht="28.5" hidden="1">
      <c r="A129" s="100" t="s">
        <v>196</v>
      </c>
      <c r="B129" s="45"/>
      <c r="C129" s="111" t="s">
        <v>95</v>
      </c>
      <c r="D129" s="111" t="s">
        <v>285</v>
      </c>
      <c r="E129" s="116" t="s">
        <v>139</v>
      </c>
      <c r="F129" s="130"/>
      <c r="G129" s="312">
        <f>SUM(G130)</f>
        <v>0</v>
      </c>
      <c r="H129" s="22"/>
      <c r="I129" s="22"/>
    </row>
    <row r="130" spans="1:9" ht="15" hidden="1">
      <c r="A130" s="96" t="s">
        <v>92</v>
      </c>
      <c r="B130" s="45"/>
      <c r="C130" s="111" t="s">
        <v>95</v>
      </c>
      <c r="D130" s="111" t="s">
        <v>285</v>
      </c>
      <c r="E130" s="116" t="s">
        <v>139</v>
      </c>
      <c r="F130" s="130" t="s">
        <v>93</v>
      </c>
      <c r="G130" s="312"/>
      <c r="H130" s="22"/>
      <c r="I130" s="22"/>
    </row>
    <row r="131" spans="1:9" s="73" customFormat="1" ht="15">
      <c r="A131" s="100" t="s">
        <v>110</v>
      </c>
      <c r="B131" s="166"/>
      <c r="C131" s="117" t="s">
        <v>111</v>
      </c>
      <c r="D131" s="117"/>
      <c r="E131" s="117"/>
      <c r="F131" s="134"/>
      <c r="G131" s="315">
        <f>G132+G153+G147</f>
        <v>234206.1</v>
      </c>
      <c r="H131" s="22">
        <f>SUM(H132+H136)</f>
        <v>30706.4</v>
      </c>
      <c r="I131" s="22" t="e">
        <f>SUM(H131/G140*100)</f>
        <v>#DIV/0!</v>
      </c>
    </row>
    <row r="132" spans="1:9" ht="15">
      <c r="A132" s="100" t="s">
        <v>112</v>
      </c>
      <c r="B132" s="166"/>
      <c r="C132" s="117" t="s">
        <v>111</v>
      </c>
      <c r="D132" s="117" t="s">
        <v>113</v>
      </c>
      <c r="E132" s="117"/>
      <c r="F132" s="134"/>
      <c r="G132" s="315">
        <f>G136+G133</f>
        <v>53897.399999999994</v>
      </c>
      <c r="H132" s="22">
        <v>30706.4</v>
      </c>
      <c r="I132" s="22">
        <f>SUM(H132/G141*100)</f>
        <v>97.23430800701716</v>
      </c>
    </row>
    <row r="133" spans="1:9" ht="28.5">
      <c r="A133" s="100" t="s">
        <v>455</v>
      </c>
      <c r="B133" s="166"/>
      <c r="C133" s="117" t="s">
        <v>111</v>
      </c>
      <c r="D133" s="117" t="s">
        <v>113</v>
      </c>
      <c r="E133" s="117" t="s">
        <v>456</v>
      </c>
      <c r="F133" s="134"/>
      <c r="G133" s="315">
        <f>SUM(G134)</f>
        <v>840</v>
      </c>
      <c r="H133" s="22"/>
      <c r="I133" s="22"/>
    </row>
    <row r="134" spans="1:9" ht="15">
      <c r="A134" s="100" t="s">
        <v>644</v>
      </c>
      <c r="B134" s="166"/>
      <c r="C134" s="117" t="s">
        <v>111</v>
      </c>
      <c r="D134" s="117" t="s">
        <v>113</v>
      </c>
      <c r="E134" s="117" t="s">
        <v>645</v>
      </c>
      <c r="F134" s="134"/>
      <c r="G134" s="315">
        <f>SUM(G135)</f>
        <v>840</v>
      </c>
      <c r="H134" s="22"/>
      <c r="I134" s="22"/>
    </row>
    <row r="135" spans="1:9" ht="15">
      <c r="A135" s="100" t="s">
        <v>458</v>
      </c>
      <c r="B135" s="166"/>
      <c r="C135" s="117" t="s">
        <v>111</v>
      </c>
      <c r="D135" s="117" t="s">
        <v>113</v>
      </c>
      <c r="E135" s="117" t="s">
        <v>645</v>
      </c>
      <c r="F135" s="134" t="s">
        <v>109</v>
      </c>
      <c r="G135" s="315">
        <v>840</v>
      </c>
      <c r="H135" s="22"/>
      <c r="I135" s="22"/>
    </row>
    <row r="136" spans="1:9" ht="15">
      <c r="A136" s="100" t="s">
        <v>499</v>
      </c>
      <c r="B136" s="166"/>
      <c r="C136" s="117" t="s">
        <v>111</v>
      </c>
      <c r="D136" s="117" t="s">
        <v>113</v>
      </c>
      <c r="E136" s="117" t="s">
        <v>500</v>
      </c>
      <c r="F136" s="134"/>
      <c r="G136" s="315">
        <f>G137+G141</f>
        <v>53057.399999999994</v>
      </c>
      <c r="H136" s="22">
        <f>SUM(H137)</f>
        <v>0</v>
      </c>
      <c r="I136" s="22">
        <f>SUM(H136/G142*100)</f>
        <v>0</v>
      </c>
    </row>
    <row r="137" spans="1:9" ht="15">
      <c r="A137" s="100" t="s">
        <v>501</v>
      </c>
      <c r="B137" s="166"/>
      <c r="C137" s="117" t="s">
        <v>111</v>
      </c>
      <c r="D137" s="117" t="s">
        <v>113</v>
      </c>
      <c r="E137" s="117" t="s">
        <v>502</v>
      </c>
      <c r="F137" s="134"/>
      <c r="G137" s="315">
        <f>G138</f>
        <v>21477.6</v>
      </c>
      <c r="H137" s="22"/>
      <c r="I137" s="22">
        <f>SUM(H137/G143*100)</f>
        <v>0</v>
      </c>
    </row>
    <row r="138" spans="1:9" ht="15">
      <c r="A138" s="100" t="s">
        <v>6</v>
      </c>
      <c r="B138" s="166"/>
      <c r="C138" s="117" t="s">
        <v>111</v>
      </c>
      <c r="D138" s="117" t="s">
        <v>113</v>
      </c>
      <c r="E138" s="117" t="s">
        <v>503</v>
      </c>
      <c r="F138" s="134"/>
      <c r="G138" s="315">
        <f>SUM(G139)</f>
        <v>21477.6</v>
      </c>
      <c r="H138" s="22"/>
      <c r="I138" s="22"/>
    </row>
    <row r="139" spans="1:9" s="80" customFormat="1" ht="15">
      <c r="A139" s="100" t="s">
        <v>459</v>
      </c>
      <c r="B139" s="166"/>
      <c r="C139" s="117" t="s">
        <v>111</v>
      </c>
      <c r="D139" s="117" t="s">
        <v>113</v>
      </c>
      <c r="E139" s="117" t="s">
        <v>503</v>
      </c>
      <c r="F139" s="134" t="s">
        <v>163</v>
      </c>
      <c r="G139" s="315">
        <v>21477.6</v>
      </c>
      <c r="H139" s="65"/>
      <c r="I139" s="65"/>
    </row>
    <row r="140" spans="1:9" ht="28.5" hidden="1">
      <c r="A140" s="100" t="s">
        <v>504</v>
      </c>
      <c r="B140" s="166"/>
      <c r="C140" s="117" t="s">
        <v>111</v>
      </c>
      <c r="D140" s="117" t="s">
        <v>113</v>
      </c>
      <c r="E140" s="117" t="s">
        <v>503</v>
      </c>
      <c r="F140" s="134" t="s">
        <v>195</v>
      </c>
      <c r="G140" s="315"/>
      <c r="H140" s="22"/>
      <c r="I140" s="22"/>
    </row>
    <row r="141" spans="1:9" ht="15">
      <c r="A141" s="100" t="s">
        <v>114</v>
      </c>
      <c r="B141" s="166"/>
      <c r="C141" s="117" t="s">
        <v>111</v>
      </c>
      <c r="D141" s="117" t="s">
        <v>113</v>
      </c>
      <c r="E141" s="117" t="s">
        <v>378</v>
      </c>
      <c r="F141" s="134"/>
      <c r="G141" s="315">
        <f>G142</f>
        <v>31579.8</v>
      </c>
      <c r="H141" s="22"/>
      <c r="I141" s="22"/>
    </row>
    <row r="142" spans="1:9" ht="15">
      <c r="A142" s="100" t="s">
        <v>11</v>
      </c>
      <c r="B142" s="166"/>
      <c r="C142" s="117" t="s">
        <v>111</v>
      </c>
      <c r="D142" s="117" t="s">
        <v>113</v>
      </c>
      <c r="E142" s="117" t="s">
        <v>65</v>
      </c>
      <c r="F142" s="134"/>
      <c r="G142" s="315">
        <f>SUM(G143)</f>
        <v>31579.8</v>
      </c>
      <c r="H142" s="22"/>
      <c r="I142" s="22"/>
    </row>
    <row r="143" spans="1:9" ht="28.5">
      <c r="A143" s="100" t="s">
        <v>191</v>
      </c>
      <c r="B143" s="166"/>
      <c r="C143" s="117" t="s">
        <v>111</v>
      </c>
      <c r="D143" s="117" t="s">
        <v>113</v>
      </c>
      <c r="E143" s="117" t="s">
        <v>66</v>
      </c>
      <c r="F143" s="134"/>
      <c r="G143" s="315">
        <f>SUM(G144)</f>
        <v>31579.8</v>
      </c>
      <c r="H143" s="22"/>
      <c r="I143" s="22"/>
    </row>
    <row r="144" spans="1:9" ht="28.5">
      <c r="A144" s="100" t="s">
        <v>482</v>
      </c>
      <c r="B144" s="166"/>
      <c r="C144" s="117" t="s">
        <v>111</v>
      </c>
      <c r="D144" s="117" t="s">
        <v>113</v>
      </c>
      <c r="E144" s="117" t="s">
        <v>66</v>
      </c>
      <c r="F144" s="134" t="s">
        <v>471</v>
      </c>
      <c r="G144" s="315">
        <v>31579.8</v>
      </c>
      <c r="H144" s="22"/>
      <c r="I144" s="22"/>
    </row>
    <row r="145" spans="1:9" ht="15" hidden="1">
      <c r="A145" s="100" t="s">
        <v>483</v>
      </c>
      <c r="B145" s="166"/>
      <c r="C145" s="117" t="s">
        <v>111</v>
      </c>
      <c r="D145" s="117" t="s">
        <v>113</v>
      </c>
      <c r="E145" s="117" t="s">
        <v>66</v>
      </c>
      <c r="F145" s="134" t="s">
        <v>484</v>
      </c>
      <c r="G145" s="315"/>
      <c r="H145" s="22"/>
      <c r="I145" s="22"/>
    </row>
    <row r="146" spans="1:9" ht="42.75" hidden="1">
      <c r="A146" s="101" t="s">
        <v>485</v>
      </c>
      <c r="B146" s="166"/>
      <c r="C146" s="117" t="s">
        <v>111</v>
      </c>
      <c r="D146" s="117" t="s">
        <v>113</v>
      </c>
      <c r="E146" s="117" t="s">
        <v>66</v>
      </c>
      <c r="F146" s="134" t="s">
        <v>48</v>
      </c>
      <c r="G146" s="315"/>
      <c r="H146" s="22" t="e">
        <f>SUM(H150+H152+H159+#REF!)</f>
        <v>#REF!</v>
      </c>
      <c r="I146" s="22" t="e">
        <f>SUM(H146/G152*100)</f>
        <v>#REF!</v>
      </c>
    </row>
    <row r="147" spans="1:9" s="73" customFormat="1" ht="15">
      <c r="A147" s="100" t="s">
        <v>136</v>
      </c>
      <c r="B147" s="166"/>
      <c r="C147" s="117" t="s">
        <v>111</v>
      </c>
      <c r="D147" s="117" t="s">
        <v>285</v>
      </c>
      <c r="E147" s="117"/>
      <c r="F147" s="134"/>
      <c r="G147" s="315">
        <f>G148</f>
        <v>168997.6</v>
      </c>
      <c r="H147" s="22">
        <f>SUM(H149)</f>
        <v>0</v>
      </c>
      <c r="I147" s="22">
        <f>SUM(H147/G153*100)</f>
        <v>0</v>
      </c>
    </row>
    <row r="148" spans="1:9" s="73" customFormat="1" ht="28.5">
      <c r="A148" s="100" t="s">
        <v>28</v>
      </c>
      <c r="B148" s="166"/>
      <c r="C148" s="117" t="s">
        <v>111</v>
      </c>
      <c r="D148" s="117" t="s">
        <v>285</v>
      </c>
      <c r="E148" s="117" t="s">
        <v>29</v>
      </c>
      <c r="F148" s="134"/>
      <c r="G148" s="315">
        <f>G149</f>
        <v>168997.6</v>
      </c>
      <c r="H148" s="22"/>
      <c r="I148" s="22"/>
    </row>
    <row r="149" spans="1:9" s="81" customFormat="1" ht="15">
      <c r="A149" s="100" t="s">
        <v>458</v>
      </c>
      <c r="B149" s="166"/>
      <c r="C149" s="117" t="s">
        <v>111</v>
      </c>
      <c r="D149" s="117" t="s">
        <v>285</v>
      </c>
      <c r="E149" s="117" t="s">
        <v>29</v>
      </c>
      <c r="F149" s="134" t="s">
        <v>109</v>
      </c>
      <c r="G149" s="315">
        <f>68476+21.6+100500</f>
        <v>168997.6</v>
      </c>
      <c r="H149" s="22"/>
      <c r="I149" s="22">
        <f aca="true" t="shared" si="3" ref="I149:I154">SUM(H149/G155*100)</f>
        <v>0</v>
      </c>
    </row>
    <row r="150" spans="1:9" s="75" customFormat="1" ht="15" hidden="1">
      <c r="A150" s="100" t="s">
        <v>476</v>
      </c>
      <c r="B150" s="166"/>
      <c r="C150" s="117" t="s">
        <v>111</v>
      </c>
      <c r="D150" s="117" t="s">
        <v>285</v>
      </c>
      <c r="E150" s="117" t="s">
        <v>29</v>
      </c>
      <c r="F150" s="134" t="s">
        <v>477</v>
      </c>
      <c r="G150" s="315"/>
      <c r="H150" s="22">
        <f>SUM(H151)</f>
        <v>0</v>
      </c>
      <c r="I150" s="22">
        <f t="shared" si="3"/>
        <v>0</v>
      </c>
    </row>
    <row r="151" spans="1:9" s="75" customFormat="1" ht="28.5" hidden="1">
      <c r="A151" s="100" t="s">
        <v>478</v>
      </c>
      <c r="B151" s="166"/>
      <c r="C151" s="117" t="s">
        <v>111</v>
      </c>
      <c r="D151" s="117" t="s">
        <v>285</v>
      </c>
      <c r="E151" s="117" t="s">
        <v>29</v>
      </c>
      <c r="F151" s="134" t="s">
        <v>479</v>
      </c>
      <c r="G151" s="315"/>
      <c r="H151" s="22">
        <f>5050-2000-3050</f>
        <v>0</v>
      </c>
      <c r="I151" s="22">
        <f t="shared" si="3"/>
        <v>0</v>
      </c>
    </row>
    <row r="152" spans="1:9" s="75" customFormat="1" ht="28.5" hidden="1">
      <c r="A152" s="100" t="s">
        <v>505</v>
      </c>
      <c r="B152" s="166"/>
      <c r="C152" s="117" t="s">
        <v>111</v>
      </c>
      <c r="D152" s="117" t="s">
        <v>285</v>
      </c>
      <c r="E152" s="117" t="s">
        <v>29</v>
      </c>
      <c r="F152" s="134" t="s">
        <v>479</v>
      </c>
      <c r="G152" s="315"/>
      <c r="H152" s="22">
        <f>SUM(H153)</f>
        <v>200</v>
      </c>
      <c r="I152" s="22" t="e">
        <f t="shared" si="3"/>
        <v>#DIV/0!</v>
      </c>
    </row>
    <row r="153" spans="1:9" s="75" customFormat="1" ht="15">
      <c r="A153" s="100" t="s">
        <v>379</v>
      </c>
      <c r="B153" s="166"/>
      <c r="C153" s="117" t="s">
        <v>111</v>
      </c>
      <c r="D153" s="117" t="s">
        <v>369</v>
      </c>
      <c r="E153" s="117"/>
      <c r="F153" s="134"/>
      <c r="G153" s="315">
        <f>SUM(G154,G164)</f>
        <v>11311.1</v>
      </c>
      <c r="H153" s="22">
        <f>SUM(H154)</f>
        <v>200</v>
      </c>
      <c r="I153" s="22">
        <f t="shared" si="3"/>
        <v>5.155436407691911</v>
      </c>
    </row>
    <row r="154" spans="1:9" s="75" customFormat="1" ht="15">
      <c r="A154" s="100" t="s">
        <v>499</v>
      </c>
      <c r="B154" s="166"/>
      <c r="C154" s="117" t="s">
        <v>111</v>
      </c>
      <c r="D154" s="117" t="s">
        <v>369</v>
      </c>
      <c r="E154" s="117" t="s">
        <v>500</v>
      </c>
      <c r="F154" s="134"/>
      <c r="G154" s="315">
        <f>SUM(G155)</f>
        <v>5584.1</v>
      </c>
      <c r="H154" s="22">
        <v>200</v>
      </c>
      <c r="I154" s="22">
        <f t="shared" si="3"/>
        <v>5.155436407691911</v>
      </c>
    </row>
    <row r="155" spans="1:9" s="75" customFormat="1" ht="15">
      <c r="A155" s="100" t="s">
        <v>384</v>
      </c>
      <c r="B155" s="166"/>
      <c r="C155" s="117" t="s">
        <v>111</v>
      </c>
      <c r="D155" s="117" t="s">
        <v>369</v>
      </c>
      <c r="E155" s="117" t="s">
        <v>506</v>
      </c>
      <c r="F155" s="134"/>
      <c r="G155" s="315">
        <f>SUM(G156,G160)</f>
        <v>5584.1</v>
      </c>
      <c r="H155" s="22"/>
      <c r="I155" s="22"/>
    </row>
    <row r="156" spans="1:9" s="75" customFormat="1" ht="15">
      <c r="A156" s="100" t="s">
        <v>510</v>
      </c>
      <c r="B156" s="166"/>
      <c r="C156" s="117" t="s">
        <v>111</v>
      </c>
      <c r="D156" s="117" t="s">
        <v>369</v>
      </c>
      <c r="E156" s="173" t="s">
        <v>507</v>
      </c>
      <c r="F156" s="134"/>
      <c r="G156" s="315">
        <f>SUM(G157)</f>
        <v>1704.7</v>
      </c>
      <c r="H156" s="22"/>
      <c r="I156" s="22"/>
    </row>
    <row r="157" spans="1:9" s="82" customFormat="1" ht="15">
      <c r="A157" s="100" t="s">
        <v>458</v>
      </c>
      <c r="B157" s="166"/>
      <c r="C157" s="117" t="s">
        <v>111</v>
      </c>
      <c r="D157" s="117" t="s">
        <v>369</v>
      </c>
      <c r="E157" s="173" t="s">
        <v>507</v>
      </c>
      <c r="F157" s="134" t="s">
        <v>109</v>
      </c>
      <c r="G157" s="315">
        <v>1704.7</v>
      </c>
      <c r="H157" s="22">
        <f>SUM(H158)</f>
        <v>0</v>
      </c>
      <c r="I157" s="22" t="e">
        <f>SUM(H157/G163*100)</f>
        <v>#DIV/0!</v>
      </c>
    </row>
    <row r="158" spans="1:9" s="75" customFormat="1" ht="15" hidden="1">
      <c r="A158" s="100" t="s">
        <v>476</v>
      </c>
      <c r="B158" s="166"/>
      <c r="C158" s="117" t="s">
        <v>111</v>
      </c>
      <c r="D158" s="117" t="s">
        <v>369</v>
      </c>
      <c r="E158" s="173" t="s">
        <v>507</v>
      </c>
      <c r="F158" s="134" t="s">
        <v>477</v>
      </c>
      <c r="G158" s="315"/>
      <c r="H158" s="22"/>
      <c r="I158" s="22">
        <f>SUM(H158/G164*100)</f>
        <v>0</v>
      </c>
    </row>
    <row r="159" spans="1:9" s="75" customFormat="1" ht="15">
      <c r="A159" s="100" t="s">
        <v>11</v>
      </c>
      <c r="B159" s="166"/>
      <c r="C159" s="117" t="s">
        <v>111</v>
      </c>
      <c r="D159" s="117" t="s">
        <v>369</v>
      </c>
      <c r="E159" s="117" t="s">
        <v>511</v>
      </c>
      <c r="F159" s="134"/>
      <c r="G159" s="315">
        <f>SUM(G160)</f>
        <v>3879.4</v>
      </c>
      <c r="H159" s="22">
        <f>SUM(H160)</f>
        <v>0</v>
      </c>
      <c r="I159" s="22">
        <f>SUM(H159/G170*100)</f>
        <v>0</v>
      </c>
    </row>
    <row r="160" spans="1:9" s="75" customFormat="1" ht="28.5">
      <c r="A160" s="100" t="s">
        <v>191</v>
      </c>
      <c r="B160" s="166"/>
      <c r="C160" s="117" t="s">
        <v>111</v>
      </c>
      <c r="D160" s="117" t="s">
        <v>369</v>
      </c>
      <c r="E160" s="117" t="s">
        <v>508</v>
      </c>
      <c r="F160" s="134"/>
      <c r="G160" s="315">
        <f>G161</f>
        <v>3879.4</v>
      </c>
      <c r="H160" s="22">
        <f>SUM(H161:H171)</f>
        <v>0</v>
      </c>
      <c r="I160" s="22">
        <f>SUM(H160/G171*100)</f>
        <v>0</v>
      </c>
    </row>
    <row r="161" spans="1:9" s="75" customFormat="1" ht="27.75" customHeight="1">
      <c r="A161" s="100" t="s">
        <v>482</v>
      </c>
      <c r="B161" s="166"/>
      <c r="C161" s="117" t="s">
        <v>111</v>
      </c>
      <c r="D161" s="117" t="s">
        <v>369</v>
      </c>
      <c r="E161" s="117" t="s">
        <v>508</v>
      </c>
      <c r="F161" s="134" t="s">
        <v>471</v>
      </c>
      <c r="G161" s="315">
        <v>3879.4</v>
      </c>
      <c r="H161" s="22"/>
      <c r="I161" s="22" t="e">
        <f>SUM(H161/#REF!*100)</f>
        <v>#REF!</v>
      </c>
    </row>
    <row r="162" spans="1:9" s="75" customFormat="1" ht="15" hidden="1">
      <c r="A162" s="100" t="s">
        <v>483</v>
      </c>
      <c r="B162" s="166"/>
      <c r="C162" s="117" t="s">
        <v>111</v>
      </c>
      <c r="D162" s="117" t="s">
        <v>369</v>
      </c>
      <c r="E162" s="117" t="s">
        <v>508</v>
      </c>
      <c r="F162" s="134" t="s">
        <v>484</v>
      </c>
      <c r="G162" s="315"/>
      <c r="H162" s="22"/>
      <c r="I162" s="22"/>
    </row>
    <row r="163" spans="1:9" s="83" customFormat="1" ht="45" customHeight="1" hidden="1">
      <c r="A163" s="101" t="s">
        <v>485</v>
      </c>
      <c r="B163" s="141"/>
      <c r="C163" s="120" t="s">
        <v>111</v>
      </c>
      <c r="D163" s="120" t="s">
        <v>369</v>
      </c>
      <c r="E163" s="120" t="s">
        <v>508</v>
      </c>
      <c r="F163" s="168" t="s">
        <v>48</v>
      </c>
      <c r="G163" s="316"/>
      <c r="H163" s="66"/>
      <c r="I163" s="66"/>
    </row>
    <row r="164" spans="1:9" s="84" customFormat="1" ht="21.75" customHeight="1">
      <c r="A164" s="103" t="s">
        <v>509</v>
      </c>
      <c r="B164" s="141"/>
      <c r="C164" s="120" t="s">
        <v>111</v>
      </c>
      <c r="D164" s="120" t="s">
        <v>369</v>
      </c>
      <c r="E164" s="120" t="s">
        <v>118</v>
      </c>
      <c r="F164" s="168"/>
      <c r="G164" s="316">
        <f>G170+G167+G165</f>
        <v>5727</v>
      </c>
      <c r="H164" s="66"/>
      <c r="I164" s="66"/>
    </row>
    <row r="165" spans="1:9" s="84" customFormat="1" ht="47.25" customHeight="1">
      <c r="A165" s="103" t="s">
        <v>632</v>
      </c>
      <c r="B165" s="141"/>
      <c r="C165" s="120" t="s">
        <v>111</v>
      </c>
      <c r="D165" s="120" t="s">
        <v>369</v>
      </c>
      <c r="E165" s="120" t="s">
        <v>633</v>
      </c>
      <c r="F165" s="168"/>
      <c r="G165" s="316">
        <f>SUM(G166)</f>
        <v>20</v>
      </c>
      <c r="H165" s="66"/>
      <c r="I165" s="66"/>
    </row>
    <row r="166" spans="1:9" s="84" customFormat="1" ht="21.75" customHeight="1">
      <c r="A166" s="100" t="s">
        <v>458</v>
      </c>
      <c r="B166" s="166"/>
      <c r="C166" s="117" t="s">
        <v>111</v>
      </c>
      <c r="D166" s="117" t="s">
        <v>369</v>
      </c>
      <c r="E166" s="120" t="s">
        <v>633</v>
      </c>
      <c r="F166" s="134" t="s">
        <v>109</v>
      </c>
      <c r="G166" s="315">
        <v>20</v>
      </c>
      <c r="H166" s="66"/>
      <c r="I166" s="66"/>
    </row>
    <row r="167" spans="1:9" s="84" customFormat="1" ht="36.75" customHeight="1">
      <c r="A167" s="205" t="s">
        <v>596</v>
      </c>
      <c r="B167" s="220"/>
      <c r="C167" s="196" t="s">
        <v>111</v>
      </c>
      <c r="D167" s="196" t="s">
        <v>369</v>
      </c>
      <c r="E167" s="197" t="s">
        <v>597</v>
      </c>
      <c r="F167" s="221"/>
      <c r="G167" s="212">
        <f>SUM(G168)</f>
        <v>5</v>
      </c>
      <c r="H167" s="66"/>
      <c r="I167" s="66"/>
    </row>
    <row r="168" spans="1:9" s="84" customFormat="1" ht="33.75" customHeight="1">
      <c r="A168" s="206" t="s">
        <v>598</v>
      </c>
      <c r="B168" s="220"/>
      <c r="C168" s="196" t="s">
        <v>111</v>
      </c>
      <c r="D168" s="196" t="s">
        <v>369</v>
      </c>
      <c r="E168" s="197" t="s">
        <v>599</v>
      </c>
      <c r="F168" s="221"/>
      <c r="G168" s="212">
        <v>5</v>
      </c>
      <c r="H168" s="66"/>
      <c r="I168" s="66"/>
    </row>
    <row r="169" spans="1:9" s="84" customFormat="1" ht="20.25" customHeight="1">
      <c r="A169" s="207" t="s">
        <v>92</v>
      </c>
      <c r="B169" s="220"/>
      <c r="C169" s="196" t="s">
        <v>111</v>
      </c>
      <c r="D169" s="196" t="s">
        <v>369</v>
      </c>
      <c r="E169" s="197" t="s">
        <v>599</v>
      </c>
      <c r="F169" s="221" t="s">
        <v>93</v>
      </c>
      <c r="G169" s="212">
        <v>5</v>
      </c>
      <c r="H169" s="66"/>
      <c r="I169" s="66"/>
    </row>
    <row r="170" spans="1:9" s="85" customFormat="1" ht="36.75" customHeight="1">
      <c r="A170" s="103" t="s">
        <v>625</v>
      </c>
      <c r="B170" s="141"/>
      <c r="C170" s="120" t="s">
        <v>111</v>
      </c>
      <c r="D170" s="120" t="s">
        <v>369</v>
      </c>
      <c r="E170" s="120" t="s">
        <v>44</v>
      </c>
      <c r="F170" s="168"/>
      <c r="G170" s="316">
        <f>SUM(G171)</f>
        <v>5702</v>
      </c>
      <c r="H170" s="66"/>
      <c r="I170" s="66" t="e">
        <f>SUM(H170/#REF!*100)</f>
        <v>#REF!</v>
      </c>
    </row>
    <row r="171" spans="1:9" s="83" customFormat="1" ht="28.5">
      <c r="A171" s="101" t="s">
        <v>482</v>
      </c>
      <c r="B171" s="141"/>
      <c r="C171" s="120" t="s">
        <v>111</v>
      </c>
      <c r="D171" s="120" t="s">
        <v>369</v>
      </c>
      <c r="E171" s="120" t="s">
        <v>44</v>
      </c>
      <c r="F171" s="168" t="s">
        <v>471</v>
      </c>
      <c r="G171" s="316">
        <v>5702</v>
      </c>
      <c r="H171" s="66"/>
      <c r="I171" s="66" t="e">
        <f>SUM(H171/#REF!*100)</f>
        <v>#REF!</v>
      </c>
    </row>
    <row r="172" spans="1:9" s="73" customFormat="1" ht="15">
      <c r="A172" s="100" t="s">
        <v>385</v>
      </c>
      <c r="B172" s="53"/>
      <c r="C172" s="116" t="s">
        <v>120</v>
      </c>
      <c r="D172" s="116"/>
      <c r="E172" s="116"/>
      <c r="F172" s="131"/>
      <c r="G172" s="319">
        <f>SUM(G231+G241+G259+G173)</f>
        <v>163118.3</v>
      </c>
      <c r="H172" s="22">
        <f>SUM(H173)</f>
        <v>0</v>
      </c>
      <c r="I172" s="22" t="e">
        <f aca="true" t="shared" si="4" ref="I172:I207">SUM(H172/G178*100)</f>
        <v>#DIV/0!</v>
      </c>
    </row>
    <row r="173" spans="1:9" s="73" customFormat="1" ht="15">
      <c r="A173" s="96" t="s">
        <v>386</v>
      </c>
      <c r="B173" s="45"/>
      <c r="C173" s="54" t="s">
        <v>120</v>
      </c>
      <c r="D173" s="54" t="s">
        <v>419</v>
      </c>
      <c r="E173" s="54"/>
      <c r="F173" s="129"/>
      <c r="G173" s="312">
        <f>SUM(G174)</f>
        <v>88507.7</v>
      </c>
      <c r="H173" s="22"/>
      <c r="I173" s="22" t="e">
        <f t="shared" si="4"/>
        <v>#DIV/0!</v>
      </c>
    </row>
    <row r="174" spans="1:9" s="73" customFormat="1" ht="48.75" customHeight="1">
      <c r="A174" s="100" t="s">
        <v>642</v>
      </c>
      <c r="B174" s="45"/>
      <c r="C174" s="54" t="s">
        <v>120</v>
      </c>
      <c r="D174" s="54" t="s">
        <v>419</v>
      </c>
      <c r="E174" s="54" t="s">
        <v>387</v>
      </c>
      <c r="F174" s="129"/>
      <c r="G174" s="312">
        <f>SUM(G175+G185)+G182</f>
        <v>88507.7</v>
      </c>
      <c r="H174" s="22">
        <f>SUM(H175)</f>
        <v>4761.6</v>
      </c>
      <c r="I174" s="22" t="e">
        <f t="shared" si="4"/>
        <v>#DIV/0!</v>
      </c>
    </row>
    <row r="175" spans="1:9" s="73" customFormat="1" ht="57" hidden="1">
      <c r="A175" s="100" t="s">
        <v>388</v>
      </c>
      <c r="B175" s="45"/>
      <c r="C175" s="54" t="s">
        <v>120</v>
      </c>
      <c r="D175" s="54" t="s">
        <v>419</v>
      </c>
      <c r="E175" s="54" t="s">
        <v>389</v>
      </c>
      <c r="F175" s="129"/>
      <c r="G175" s="312">
        <f>SUM(G176+G178+G180)</f>
        <v>0</v>
      </c>
      <c r="H175" s="22">
        <v>4761.6</v>
      </c>
      <c r="I175" s="22" t="e">
        <f t="shared" si="4"/>
        <v>#DIV/0!</v>
      </c>
    </row>
    <row r="176" spans="1:9" s="73" customFormat="1" ht="42.75" hidden="1">
      <c r="A176" s="100" t="s">
        <v>24</v>
      </c>
      <c r="B176" s="45"/>
      <c r="C176" s="54" t="s">
        <v>120</v>
      </c>
      <c r="D176" s="54" t="s">
        <v>419</v>
      </c>
      <c r="E176" s="54" t="s">
        <v>25</v>
      </c>
      <c r="F176" s="129"/>
      <c r="G176" s="312">
        <f>SUM(G177)</f>
        <v>0</v>
      </c>
      <c r="H176" s="22" t="e">
        <f>SUM(H177)+#REF!+H187</f>
        <v>#REF!</v>
      </c>
      <c r="I176" s="22" t="e">
        <f>SUM(H176/G185*100)</f>
        <v>#REF!</v>
      </c>
    </row>
    <row r="177" spans="1:9" s="73" customFormat="1" ht="15" hidden="1">
      <c r="A177" s="96" t="s">
        <v>7</v>
      </c>
      <c r="B177" s="45"/>
      <c r="C177" s="54" t="s">
        <v>120</v>
      </c>
      <c r="D177" s="54" t="s">
        <v>419</v>
      </c>
      <c r="E177" s="54" t="s">
        <v>25</v>
      </c>
      <c r="F177" s="129" t="s">
        <v>8</v>
      </c>
      <c r="G177" s="312"/>
      <c r="H177" s="22">
        <f>SUM(H178+H179)</f>
        <v>1562</v>
      </c>
      <c r="I177" s="22" t="e">
        <f>SUM(H177/#REF!*100)</f>
        <v>#REF!</v>
      </c>
    </row>
    <row r="178" spans="1:9" s="73" customFormat="1" ht="57" hidden="1">
      <c r="A178" s="100" t="s">
        <v>26</v>
      </c>
      <c r="B178" s="45"/>
      <c r="C178" s="54" t="s">
        <v>120</v>
      </c>
      <c r="D178" s="54" t="s">
        <v>419</v>
      </c>
      <c r="E178" s="54" t="s">
        <v>27</v>
      </c>
      <c r="F178" s="129"/>
      <c r="G178" s="312">
        <f>SUM(G179)</f>
        <v>0</v>
      </c>
      <c r="H178" s="22">
        <v>233.9</v>
      </c>
      <c r="I178" s="22" t="e">
        <f>SUM(H178/#REF!*100)</f>
        <v>#REF!</v>
      </c>
    </row>
    <row r="179" spans="1:9" s="73" customFormat="1" ht="15" hidden="1">
      <c r="A179" s="104" t="s">
        <v>123</v>
      </c>
      <c r="B179" s="45"/>
      <c r="C179" s="54" t="s">
        <v>120</v>
      </c>
      <c r="D179" s="54" t="s">
        <v>419</v>
      </c>
      <c r="E179" s="54" t="s">
        <v>27</v>
      </c>
      <c r="F179" s="129" t="s">
        <v>124</v>
      </c>
      <c r="G179" s="312"/>
      <c r="H179" s="22">
        <v>1328.1</v>
      </c>
      <c r="I179" s="22" t="e">
        <f>SUM(H179/G186*100)</f>
        <v>#DIV/0!</v>
      </c>
    </row>
    <row r="180" spans="1:9" s="73" customFormat="1" ht="71.25" hidden="1">
      <c r="A180" s="100" t="s">
        <v>241</v>
      </c>
      <c r="B180" s="45"/>
      <c r="C180" s="54" t="s">
        <v>120</v>
      </c>
      <c r="D180" s="54" t="s">
        <v>419</v>
      </c>
      <c r="E180" s="54" t="s">
        <v>129</v>
      </c>
      <c r="F180" s="129"/>
      <c r="G180" s="312">
        <f>SUM(G181)</f>
        <v>0</v>
      </c>
      <c r="H180" s="22">
        <f>SUM(H181)</f>
        <v>0</v>
      </c>
      <c r="I180" s="22" t="e">
        <f>SUM(H180/G187*100)</f>
        <v>#DIV/0!</v>
      </c>
    </row>
    <row r="181" spans="1:9" s="73" customFormat="1" ht="15" hidden="1">
      <c r="A181" s="104" t="s">
        <v>123</v>
      </c>
      <c r="B181" s="45"/>
      <c r="C181" s="54" t="s">
        <v>120</v>
      </c>
      <c r="D181" s="54" t="s">
        <v>419</v>
      </c>
      <c r="E181" s="54" t="s">
        <v>129</v>
      </c>
      <c r="F181" s="129" t="s">
        <v>124</v>
      </c>
      <c r="G181" s="312"/>
      <c r="H181" s="22">
        <f>SUM(H185)</f>
        <v>0</v>
      </c>
      <c r="I181" s="22" t="e">
        <f>SUM(H181/G188*100)</f>
        <v>#DIV/0!</v>
      </c>
    </row>
    <row r="182" spans="1:9" s="73" customFormat="1" ht="71.25">
      <c r="A182" s="325" t="s">
        <v>657</v>
      </c>
      <c r="B182" s="45"/>
      <c r="C182" s="54" t="s">
        <v>120</v>
      </c>
      <c r="D182" s="54" t="s">
        <v>419</v>
      </c>
      <c r="E182" s="54" t="s">
        <v>655</v>
      </c>
      <c r="F182" s="129"/>
      <c r="G182" s="312">
        <f>SUM(G183)</f>
        <v>46157.6</v>
      </c>
      <c r="H182" s="22"/>
      <c r="I182" s="22"/>
    </row>
    <row r="183" spans="1:9" s="73" customFormat="1" ht="28.5">
      <c r="A183" s="104" t="s">
        <v>654</v>
      </c>
      <c r="B183" s="45"/>
      <c r="C183" s="54" t="s">
        <v>120</v>
      </c>
      <c r="D183" s="54" t="s">
        <v>419</v>
      </c>
      <c r="E183" s="54" t="s">
        <v>656</v>
      </c>
      <c r="F183" s="129"/>
      <c r="G183" s="312">
        <f>SUM(G184)</f>
        <v>46157.6</v>
      </c>
      <c r="H183" s="22"/>
      <c r="I183" s="22"/>
    </row>
    <row r="184" spans="1:9" s="73" customFormat="1" ht="28.5">
      <c r="A184" s="280" t="s">
        <v>524</v>
      </c>
      <c r="B184" s="45"/>
      <c r="C184" s="54" t="s">
        <v>120</v>
      </c>
      <c r="D184" s="54" t="s">
        <v>419</v>
      </c>
      <c r="E184" s="54" t="s">
        <v>656</v>
      </c>
      <c r="F184" s="129" t="s">
        <v>518</v>
      </c>
      <c r="G184" s="312">
        <v>46157.6</v>
      </c>
      <c r="H184" s="22"/>
      <c r="I184" s="22"/>
    </row>
    <row r="185" spans="1:9" s="73" customFormat="1" ht="57">
      <c r="A185" s="100" t="s">
        <v>641</v>
      </c>
      <c r="B185" s="45"/>
      <c r="C185" s="54" t="s">
        <v>120</v>
      </c>
      <c r="D185" s="54" t="s">
        <v>419</v>
      </c>
      <c r="E185" s="54" t="s">
        <v>643</v>
      </c>
      <c r="F185" s="129"/>
      <c r="G185" s="312">
        <f>SUM(G227+G229)</f>
        <v>42350.1</v>
      </c>
      <c r="H185" s="22"/>
      <c r="I185" s="22" t="e">
        <f>SUM(H185/G189*100)</f>
        <v>#DIV/0!</v>
      </c>
    </row>
    <row r="186" spans="1:9" s="73" customFormat="1" ht="28.5" hidden="1">
      <c r="A186" s="100" t="s">
        <v>394</v>
      </c>
      <c r="B186" s="45"/>
      <c r="C186" s="54" t="s">
        <v>120</v>
      </c>
      <c r="D186" s="54" t="s">
        <v>419</v>
      </c>
      <c r="E186" s="54" t="s">
        <v>393</v>
      </c>
      <c r="F186" s="129" t="s">
        <v>395</v>
      </c>
      <c r="G186" s="312"/>
      <c r="H186" s="22">
        <v>1821.9</v>
      </c>
      <c r="I186" s="22" t="e">
        <f t="shared" si="4"/>
        <v>#DIV/0!</v>
      </c>
    </row>
    <row r="187" spans="1:9" s="73" customFormat="1" ht="28.5" hidden="1">
      <c r="A187" s="100" t="s">
        <v>235</v>
      </c>
      <c r="B187" s="45"/>
      <c r="C187" s="54" t="s">
        <v>120</v>
      </c>
      <c r="D187" s="54" t="s">
        <v>419</v>
      </c>
      <c r="E187" s="54" t="s">
        <v>383</v>
      </c>
      <c r="F187" s="129"/>
      <c r="G187" s="312">
        <f>SUM(G188)</f>
        <v>0</v>
      </c>
      <c r="H187" s="22">
        <f>SUM(H188)</f>
        <v>1821.9</v>
      </c>
      <c r="I187" s="22" t="e">
        <f t="shared" si="4"/>
        <v>#DIV/0!</v>
      </c>
    </row>
    <row r="188" spans="1:9" s="73" customFormat="1" ht="28.5" hidden="1">
      <c r="A188" s="100" t="s">
        <v>121</v>
      </c>
      <c r="B188" s="45"/>
      <c r="C188" s="54" t="s">
        <v>120</v>
      </c>
      <c r="D188" s="54" t="s">
        <v>419</v>
      </c>
      <c r="E188" s="54" t="s">
        <v>122</v>
      </c>
      <c r="F188" s="129"/>
      <c r="G188" s="312">
        <f>SUM(G189)</f>
        <v>0</v>
      </c>
      <c r="H188" s="22">
        <v>1821.9</v>
      </c>
      <c r="I188" s="22" t="e">
        <f t="shared" si="4"/>
        <v>#DIV/0!</v>
      </c>
    </row>
    <row r="189" spans="1:9" s="73" customFormat="1" ht="15" hidden="1">
      <c r="A189" s="100" t="s">
        <v>123</v>
      </c>
      <c r="B189" s="45"/>
      <c r="C189" s="54" t="s">
        <v>120</v>
      </c>
      <c r="D189" s="54" t="s">
        <v>419</v>
      </c>
      <c r="E189" s="54" t="s">
        <v>122</v>
      </c>
      <c r="F189" s="129" t="s">
        <v>124</v>
      </c>
      <c r="G189" s="312"/>
      <c r="H189" s="22">
        <f>SUM(H190+H192)</f>
        <v>0</v>
      </c>
      <c r="I189" s="22" t="e">
        <f t="shared" si="4"/>
        <v>#DIV/0!</v>
      </c>
    </row>
    <row r="190" spans="1:9" s="73" customFormat="1" ht="28.5" hidden="1">
      <c r="A190" s="100" t="s">
        <v>396</v>
      </c>
      <c r="B190" s="45"/>
      <c r="C190" s="54" t="s">
        <v>120</v>
      </c>
      <c r="D190" s="54" t="s">
        <v>419</v>
      </c>
      <c r="E190" s="54" t="s">
        <v>397</v>
      </c>
      <c r="F190" s="129"/>
      <c r="G190" s="312">
        <f>SUM(G191+G192)</f>
        <v>0</v>
      </c>
      <c r="H190" s="22">
        <f>SUM(H191)</f>
        <v>0</v>
      </c>
      <c r="I190" s="22" t="e">
        <f t="shared" si="4"/>
        <v>#DIV/0!</v>
      </c>
    </row>
    <row r="191" spans="1:9" s="73" customFormat="1" ht="42.75" hidden="1">
      <c r="A191" s="96" t="s">
        <v>12</v>
      </c>
      <c r="B191" s="45"/>
      <c r="C191" s="54" t="s">
        <v>120</v>
      </c>
      <c r="D191" s="54" t="s">
        <v>419</v>
      </c>
      <c r="E191" s="54" t="s">
        <v>397</v>
      </c>
      <c r="F191" s="129" t="s">
        <v>48</v>
      </c>
      <c r="G191" s="312"/>
      <c r="H191" s="22"/>
      <c r="I191" s="22" t="e">
        <f t="shared" si="4"/>
        <v>#DIV/0!</v>
      </c>
    </row>
    <row r="192" spans="1:9" s="73" customFormat="1" ht="15" hidden="1">
      <c r="A192" s="104" t="s">
        <v>123</v>
      </c>
      <c r="B192" s="45"/>
      <c r="C192" s="54" t="s">
        <v>120</v>
      </c>
      <c r="D192" s="54" t="s">
        <v>419</v>
      </c>
      <c r="E192" s="54" t="s">
        <v>397</v>
      </c>
      <c r="F192" s="129" t="s">
        <v>124</v>
      </c>
      <c r="G192" s="312"/>
      <c r="H192" s="22">
        <f>SUM(H193)</f>
        <v>0</v>
      </c>
      <c r="I192" s="22" t="e">
        <f t="shared" si="4"/>
        <v>#DIV/0!</v>
      </c>
    </row>
    <row r="193" spans="1:9" s="73" customFormat="1" ht="42.75" hidden="1">
      <c r="A193" s="100" t="s">
        <v>398</v>
      </c>
      <c r="B193" s="45"/>
      <c r="C193" s="54" t="s">
        <v>120</v>
      </c>
      <c r="D193" s="54" t="s">
        <v>419</v>
      </c>
      <c r="E193" s="54" t="s">
        <v>399</v>
      </c>
      <c r="F193" s="129"/>
      <c r="G193" s="312">
        <f>SUM(G194)</f>
        <v>0</v>
      </c>
      <c r="H193" s="22"/>
      <c r="I193" s="22" t="e">
        <f t="shared" si="4"/>
        <v>#DIV/0!</v>
      </c>
    </row>
    <row r="194" spans="1:9" s="73" customFormat="1" ht="15" hidden="1">
      <c r="A194" s="104" t="s">
        <v>123</v>
      </c>
      <c r="B194" s="45"/>
      <c r="C194" s="54" t="s">
        <v>120</v>
      </c>
      <c r="D194" s="54" t="s">
        <v>419</v>
      </c>
      <c r="E194" s="54" t="s">
        <v>399</v>
      </c>
      <c r="F194" s="129" t="s">
        <v>124</v>
      </c>
      <c r="G194" s="312"/>
      <c r="H194" s="55">
        <f>SUM(H198)+H203+H195</f>
        <v>0</v>
      </c>
      <c r="I194" s="22" t="e">
        <f t="shared" si="4"/>
        <v>#DIV/0!</v>
      </c>
    </row>
    <row r="195" spans="1:9" s="73" customFormat="1" ht="15" hidden="1">
      <c r="A195" s="96" t="s">
        <v>400</v>
      </c>
      <c r="B195" s="45"/>
      <c r="C195" s="54" t="s">
        <v>120</v>
      </c>
      <c r="D195" s="54" t="s">
        <v>419</v>
      </c>
      <c r="E195" s="54" t="s">
        <v>401</v>
      </c>
      <c r="F195" s="129"/>
      <c r="G195" s="312">
        <f>SUM(G196+G198)</f>
        <v>0</v>
      </c>
      <c r="H195" s="55">
        <f>SUM(H196)</f>
        <v>0</v>
      </c>
      <c r="I195" s="22" t="e">
        <f t="shared" si="4"/>
        <v>#DIV/0!</v>
      </c>
    </row>
    <row r="196" spans="1:9" s="73" customFormat="1" ht="42.75" hidden="1">
      <c r="A196" s="97" t="s">
        <v>402</v>
      </c>
      <c r="B196" s="45"/>
      <c r="C196" s="54" t="s">
        <v>120</v>
      </c>
      <c r="D196" s="54" t="s">
        <v>419</v>
      </c>
      <c r="E196" s="54" t="s">
        <v>403</v>
      </c>
      <c r="F196" s="129"/>
      <c r="G196" s="312">
        <f>SUM(G197)</f>
        <v>0</v>
      </c>
      <c r="H196" s="55"/>
      <c r="I196" s="22" t="e">
        <f t="shared" si="4"/>
        <v>#DIV/0!</v>
      </c>
    </row>
    <row r="197" spans="1:9" s="73" customFormat="1" ht="15" hidden="1">
      <c r="A197" s="96" t="s">
        <v>7</v>
      </c>
      <c r="B197" s="45"/>
      <c r="C197" s="54" t="s">
        <v>120</v>
      </c>
      <c r="D197" s="54" t="s">
        <v>419</v>
      </c>
      <c r="E197" s="54" t="s">
        <v>403</v>
      </c>
      <c r="F197" s="129" t="s">
        <v>8</v>
      </c>
      <c r="G197" s="312"/>
      <c r="H197" s="55"/>
      <c r="I197" s="22" t="e">
        <f t="shared" si="4"/>
        <v>#DIV/0!</v>
      </c>
    </row>
    <row r="198" spans="1:9" s="73" customFormat="1" ht="28.5" hidden="1">
      <c r="A198" s="97" t="s">
        <v>404</v>
      </c>
      <c r="B198" s="53"/>
      <c r="C198" s="54" t="s">
        <v>120</v>
      </c>
      <c r="D198" s="54" t="s">
        <v>419</v>
      </c>
      <c r="E198" s="54" t="s">
        <v>405</v>
      </c>
      <c r="F198" s="130"/>
      <c r="G198" s="312">
        <f>SUM(G199)</f>
        <v>0</v>
      </c>
      <c r="H198" s="55">
        <f>SUM(H199+H201)</f>
        <v>0</v>
      </c>
      <c r="I198" s="22" t="e">
        <f t="shared" si="4"/>
        <v>#DIV/0!</v>
      </c>
    </row>
    <row r="199" spans="1:9" s="73" customFormat="1" ht="15" hidden="1">
      <c r="A199" s="96" t="s">
        <v>92</v>
      </c>
      <c r="B199" s="138"/>
      <c r="C199" s="54" t="s">
        <v>120</v>
      </c>
      <c r="D199" s="54" t="s">
        <v>419</v>
      </c>
      <c r="E199" s="54" t="s">
        <v>405</v>
      </c>
      <c r="F199" s="129" t="s">
        <v>93</v>
      </c>
      <c r="G199" s="312"/>
      <c r="H199" s="55">
        <f>SUM(H200)</f>
        <v>0</v>
      </c>
      <c r="I199" s="22" t="e">
        <f t="shared" si="4"/>
        <v>#DIV/0!</v>
      </c>
    </row>
    <row r="200" spans="1:9" s="73" customFormat="1" ht="15" hidden="1">
      <c r="A200" s="97" t="s">
        <v>3</v>
      </c>
      <c r="B200" s="45"/>
      <c r="C200" s="54" t="s">
        <v>120</v>
      </c>
      <c r="D200" s="54" t="s">
        <v>419</v>
      </c>
      <c r="E200" s="54" t="s">
        <v>4</v>
      </c>
      <c r="F200" s="129"/>
      <c r="G200" s="312">
        <f>SUM(G204)+G209+G201</f>
        <v>0</v>
      </c>
      <c r="H200" s="22"/>
      <c r="I200" s="22" t="e">
        <f t="shared" si="4"/>
        <v>#DIV/0!</v>
      </c>
    </row>
    <row r="201" spans="1:9" s="73" customFormat="1" ht="28.5" hidden="1">
      <c r="A201" s="97" t="s">
        <v>406</v>
      </c>
      <c r="B201" s="45"/>
      <c r="C201" s="54" t="s">
        <v>120</v>
      </c>
      <c r="D201" s="54" t="s">
        <v>419</v>
      </c>
      <c r="E201" s="54" t="s">
        <v>407</v>
      </c>
      <c r="F201" s="129"/>
      <c r="G201" s="312">
        <f>SUM(G202)</f>
        <v>0</v>
      </c>
      <c r="H201" s="22">
        <f>SUM(H202)</f>
        <v>0</v>
      </c>
      <c r="I201" s="22" t="e">
        <f t="shared" si="4"/>
        <v>#DIV/0!</v>
      </c>
    </row>
    <row r="202" spans="1:9" s="73" customFormat="1" ht="15" hidden="1">
      <c r="A202" s="97" t="s">
        <v>123</v>
      </c>
      <c r="B202" s="45"/>
      <c r="C202" s="54" t="s">
        <v>120</v>
      </c>
      <c r="D202" s="54" t="s">
        <v>419</v>
      </c>
      <c r="E202" s="54" t="s">
        <v>407</v>
      </c>
      <c r="F202" s="129" t="s">
        <v>124</v>
      </c>
      <c r="G202" s="312"/>
      <c r="H202" s="22"/>
      <c r="I202" s="22" t="e">
        <f t="shared" si="4"/>
        <v>#DIV/0!</v>
      </c>
    </row>
    <row r="203" spans="1:9" s="73" customFormat="1" ht="15" hidden="1">
      <c r="A203" s="97"/>
      <c r="B203" s="45"/>
      <c r="C203" s="54"/>
      <c r="D203" s="54"/>
      <c r="E203" s="54"/>
      <c r="F203" s="129"/>
      <c r="G203" s="312"/>
      <c r="H203" s="22"/>
      <c r="I203" s="22" t="e">
        <f t="shared" si="4"/>
        <v>#DIV/0!</v>
      </c>
    </row>
    <row r="204" spans="1:9" s="73" customFormat="1" ht="28.5" hidden="1">
      <c r="A204" s="96" t="s">
        <v>408</v>
      </c>
      <c r="B204" s="45"/>
      <c r="C204" s="54" t="s">
        <v>120</v>
      </c>
      <c r="D204" s="54" t="s">
        <v>419</v>
      </c>
      <c r="E204" s="54" t="s">
        <v>409</v>
      </c>
      <c r="F204" s="129"/>
      <c r="G204" s="312">
        <f>SUM(G205+G207)</f>
        <v>0</v>
      </c>
      <c r="H204" s="22">
        <f>SUM(H205)</f>
        <v>0</v>
      </c>
      <c r="I204" s="22" t="e">
        <f t="shared" si="4"/>
        <v>#DIV/0!</v>
      </c>
    </row>
    <row r="205" spans="1:9" s="73" customFormat="1" ht="28.5" hidden="1">
      <c r="A205" s="97" t="s">
        <v>410</v>
      </c>
      <c r="B205" s="45"/>
      <c r="C205" s="54" t="s">
        <v>120</v>
      </c>
      <c r="D205" s="54" t="s">
        <v>419</v>
      </c>
      <c r="E205" s="54" t="s">
        <v>411</v>
      </c>
      <c r="F205" s="129"/>
      <c r="G205" s="312">
        <f>SUM(G206)</f>
        <v>0</v>
      </c>
      <c r="H205" s="22"/>
      <c r="I205" s="22" t="e">
        <f t="shared" si="4"/>
        <v>#DIV/0!</v>
      </c>
    </row>
    <row r="206" spans="1:9" s="73" customFormat="1" ht="15" hidden="1">
      <c r="A206" s="100" t="s">
        <v>123</v>
      </c>
      <c r="B206" s="45"/>
      <c r="C206" s="54" t="s">
        <v>120</v>
      </c>
      <c r="D206" s="54" t="s">
        <v>419</v>
      </c>
      <c r="E206" s="54" t="s">
        <v>411</v>
      </c>
      <c r="F206" s="129" t="s">
        <v>124</v>
      </c>
      <c r="G206" s="312"/>
      <c r="H206" s="22">
        <f>SUM(H207)</f>
        <v>0</v>
      </c>
      <c r="I206" s="22" t="e">
        <f t="shared" si="4"/>
        <v>#DIV/0!</v>
      </c>
    </row>
    <row r="207" spans="1:9" s="73" customFormat="1" ht="15" hidden="1">
      <c r="A207" s="100" t="s">
        <v>412</v>
      </c>
      <c r="B207" s="45"/>
      <c r="C207" s="54" t="s">
        <v>120</v>
      </c>
      <c r="D207" s="54" t="s">
        <v>419</v>
      </c>
      <c r="E207" s="54" t="s">
        <v>413</v>
      </c>
      <c r="F207" s="129"/>
      <c r="G207" s="312">
        <f>SUM(G208)</f>
        <v>0</v>
      </c>
      <c r="H207" s="22"/>
      <c r="I207" s="22" t="e">
        <f t="shared" si="4"/>
        <v>#DIV/0!</v>
      </c>
    </row>
    <row r="208" spans="1:9" s="73" customFormat="1" ht="15" hidden="1">
      <c r="A208" s="96" t="s">
        <v>92</v>
      </c>
      <c r="B208" s="138"/>
      <c r="C208" s="54" t="s">
        <v>120</v>
      </c>
      <c r="D208" s="54" t="s">
        <v>419</v>
      </c>
      <c r="E208" s="54" t="s">
        <v>413</v>
      </c>
      <c r="F208" s="129" t="s">
        <v>93</v>
      </c>
      <c r="G208" s="312"/>
      <c r="H208" s="22"/>
      <c r="I208" s="22"/>
    </row>
    <row r="209" spans="1:9" s="73" customFormat="1" ht="28.5" hidden="1">
      <c r="A209" s="96" t="s">
        <v>414</v>
      </c>
      <c r="B209" s="138"/>
      <c r="C209" s="54" t="s">
        <v>120</v>
      </c>
      <c r="D209" s="54" t="s">
        <v>419</v>
      </c>
      <c r="E209" s="54" t="s">
        <v>415</v>
      </c>
      <c r="F209" s="129"/>
      <c r="G209" s="312"/>
      <c r="H209" s="22"/>
      <c r="I209" s="22"/>
    </row>
    <row r="210" spans="1:9" s="73" customFormat="1" ht="28.5" hidden="1">
      <c r="A210" s="96" t="s">
        <v>34</v>
      </c>
      <c r="B210" s="138"/>
      <c r="C210" s="54" t="s">
        <v>120</v>
      </c>
      <c r="D210" s="54" t="s">
        <v>419</v>
      </c>
      <c r="E210" s="54" t="s">
        <v>35</v>
      </c>
      <c r="F210" s="129"/>
      <c r="G210" s="312">
        <f>SUM(G211)</f>
        <v>0</v>
      </c>
      <c r="H210" s="22"/>
      <c r="I210" s="22"/>
    </row>
    <row r="211" spans="1:9" s="73" customFormat="1" ht="15" hidden="1">
      <c r="A211" s="96" t="s">
        <v>7</v>
      </c>
      <c r="B211" s="138"/>
      <c r="C211" s="54" t="s">
        <v>120</v>
      </c>
      <c r="D211" s="54" t="s">
        <v>419</v>
      </c>
      <c r="E211" s="54" t="s">
        <v>35</v>
      </c>
      <c r="F211" s="129" t="s">
        <v>8</v>
      </c>
      <c r="G211" s="312"/>
      <c r="H211" s="22">
        <f>SUM(H212+H215)+H219</f>
        <v>278.1</v>
      </c>
      <c r="I211" s="22" t="e">
        <f aca="true" t="shared" si="5" ref="I211:I216">SUM(H211/G217*100)</f>
        <v>#DIV/0!</v>
      </c>
    </row>
    <row r="212" spans="1:9" s="73" customFormat="1" ht="28.5" hidden="1">
      <c r="A212" s="96" t="s">
        <v>36</v>
      </c>
      <c r="B212" s="138"/>
      <c r="C212" s="54" t="s">
        <v>120</v>
      </c>
      <c r="D212" s="54" t="s">
        <v>419</v>
      </c>
      <c r="E212" s="54" t="s">
        <v>37</v>
      </c>
      <c r="F212" s="129"/>
      <c r="G212" s="312">
        <f>SUM(G213)</f>
        <v>0</v>
      </c>
      <c r="H212" s="22">
        <f>SUM(H213:H214)</f>
        <v>0</v>
      </c>
      <c r="I212" s="22" t="e">
        <f t="shared" si="5"/>
        <v>#DIV/0!</v>
      </c>
    </row>
    <row r="213" spans="1:9" s="73" customFormat="1" ht="15" hidden="1">
      <c r="A213" s="96" t="s">
        <v>7</v>
      </c>
      <c r="B213" s="138"/>
      <c r="C213" s="54" t="s">
        <v>120</v>
      </c>
      <c r="D213" s="54" t="s">
        <v>419</v>
      </c>
      <c r="E213" s="54" t="s">
        <v>37</v>
      </c>
      <c r="F213" s="129" t="s">
        <v>8</v>
      </c>
      <c r="G213" s="312"/>
      <c r="H213" s="22"/>
      <c r="I213" s="22" t="e">
        <f t="shared" si="5"/>
        <v>#DIV/0!</v>
      </c>
    </row>
    <row r="214" spans="1:9" s="81" customFormat="1" ht="15" hidden="1">
      <c r="A214" s="96" t="s">
        <v>400</v>
      </c>
      <c r="B214" s="138"/>
      <c r="C214" s="54" t="s">
        <v>120</v>
      </c>
      <c r="D214" s="54" t="s">
        <v>419</v>
      </c>
      <c r="E214" s="54" t="s">
        <v>401</v>
      </c>
      <c r="F214" s="129"/>
      <c r="G214" s="312">
        <f>SUM(G215)</f>
        <v>0</v>
      </c>
      <c r="H214" s="22"/>
      <c r="I214" s="22" t="e">
        <f t="shared" si="5"/>
        <v>#DIV/0!</v>
      </c>
    </row>
    <row r="215" spans="1:9" s="81" customFormat="1" ht="28.5" hidden="1">
      <c r="A215" s="96" t="s">
        <v>273</v>
      </c>
      <c r="B215" s="138"/>
      <c r="C215" s="54" t="s">
        <v>120</v>
      </c>
      <c r="D215" s="54" t="s">
        <v>419</v>
      </c>
      <c r="E215" s="54" t="s">
        <v>405</v>
      </c>
      <c r="F215" s="129"/>
      <c r="G215" s="312">
        <f>SUM(G216)</f>
        <v>0</v>
      </c>
      <c r="H215" s="22">
        <f>SUM(H216)</f>
        <v>167.7</v>
      </c>
      <c r="I215" s="22" t="e">
        <f t="shared" si="5"/>
        <v>#DIV/0!</v>
      </c>
    </row>
    <row r="216" spans="1:9" ht="15" hidden="1">
      <c r="A216" s="96" t="s">
        <v>92</v>
      </c>
      <c r="B216" s="138"/>
      <c r="C216" s="54" t="s">
        <v>120</v>
      </c>
      <c r="D216" s="54" t="s">
        <v>419</v>
      </c>
      <c r="E216" s="54" t="s">
        <v>405</v>
      </c>
      <c r="F216" s="129" t="s">
        <v>93</v>
      </c>
      <c r="G216" s="312"/>
      <c r="H216" s="22">
        <f>SUM(H218)</f>
        <v>167.7</v>
      </c>
      <c r="I216" s="22" t="e">
        <f t="shared" si="5"/>
        <v>#DIV/0!</v>
      </c>
    </row>
    <row r="217" spans="1:9" ht="15" hidden="1">
      <c r="A217" s="104" t="s">
        <v>117</v>
      </c>
      <c r="B217" s="45"/>
      <c r="C217" s="54" t="s">
        <v>120</v>
      </c>
      <c r="D217" s="54" t="s">
        <v>419</v>
      </c>
      <c r="E217" s="54" t="s">
        <v>118</v>
      </c>
      <c r="F217" s="129"/>
      <c r="G217" s="312">
        <f>SUM(G218+G221)+G225</f>
        <v>0</v>
      </c>
      <c r="H217" s="22"/>
      <c r="I217" s="22"/>
    </row>
    <row r="218" spans="1:9" s="73" customFormat="1" ht="42.75" hidden="1">
      <c r="A218" s="104" t="s">
        <v>450</v>
      </c>
      <c r="B218" s="45"/>
      <c r="C218" s="54" t="s">
        <v>120</v>
      </c>
      <c r="D218" s="54" t="s">
        <v>419</v>
      </c>
      <c r="E218" s="54" t="s">
        <v>283</v>
      </c>
      <c r="F218" s="129"/>
      <c r="G218" s="313">
        <f>SUM(G219)</f>
        <v>0</v>
      </c>
      <c r="H218" s="22">
        <v>167.7</v>
      </c>
      <c r="I218" s="22" t="e">
        <f>SUM(H218/G224*100)</f>
        <v>#DIV/0!</v>
      </c>
    </row>
    <row r="219" spans="1:9" s="73" customFormat="1" ht="15" hidden="1">
      <c r="A219" s="100" t="s">
        <v>7</v>
      </c>
      <c r="B219" s="45"/>
      <c r="C219" s="54" t="s">
        <v>120</v>
      </c>
      <c r="D219" s="54" t="s">
        <v>419</v>
      </c>
      <c r="E219" s="54" t="s">
        <v>283</v>
      </c>
      <c r="F219" s="129" t="s">
        <v>8</v>
      </c>
      <c r="G219" s="313"/>
      <c r="H219" s="22">
        <f>SUM(H220)</f>
        <v>110.4</v>
      </c>
      <c r="I219" s="22" t="e">
        <f>SUM(H219/G225*100)</f>
        <v>#DIV/0!</v>
      </c>
    </row>
    <row r="220" spans="1:9" s="73" customFormat="1" ht="15" hidden="1">
      <c r="A220" s="104" t="s">
        <v>38</v>
      </c>
      <c r="B220" s="45"/>
      <c r="C220" s="54" t="s">
        <v>120</v>
      </c>
      <c r="D220" s="54" t="s">
        <v>419</v>
      </c>
      <c r="E220" s="54" t="s">
        <v>39</v>
      </c>
      <c r="F220" s="129" t="s">
        <v>93</v>
      </c>
      <c r="G220" s="312"/>
      <c r="H220" s="22">
        <v>110.4</v>
      </c>
      <c r="I220" s="22" t="e">
        <f>SUM(H220/G226*100)</f>
        <v>#DIV/0!</v>
      </c>
    </row>
    <row r="221" spans="1:9" ht="15" hidden="1">
      <c r="A221" s="104" t="s">
        <v>123</v>
      </c>
      <c r="B221" s="45"/>
      <c r="C221" s="54" t="s">
        <v>120</v>
      </c>
      <c r="D221" s="54" t="s">
        <v>419</v>
      </c>
      <c r="E221" s="54" t="s">
        <v>118</v>
      </c>
      <c r="F221" s="129" t="s">
        <v>124</v>
      </c>
      <c r="G221" s="312">
        <f>SUM(G222)</f>
        <v>0</v>
      </c>
      <c r="H221" s="22" t="e">
        <f>SUM(H232+#REF!)+H222+#REF!+H225</f>
        <v>#REF!</v>
      </c>
      <c r="I221" s="22" t="e">
        <f>SUM(H221/G231*100)</f>
        <v>#REF!</v>
      </c>
    </row>
    <row r="222" spans="1:9" ht="28.5" hidden="1">
      <c r="A222" s="100" t="s">
        <v>40</v>
      </c>
      <c r="B222" s="45"/>
      <c r="C222" s="54" t="s">
        <v>120</v>
      </c>
      <c r="D222" s="54" t="s">
        <v>419</v>
      </c>
      <c r="E222" s="54" t="s">
        <v>41</v>
      </c>
      <c r="F222" s="129" t="s">
        <v>124</v>
      </c>
      <c r="G222" s="312">
        <f>SUM(G224)</f>
        <v>0</v>
      </c>
      <c r="H222" s="22">
        <f>SUM(H223)</f>
        <v>0</v>
      </c>
      <c r="I222" s="22">
        <f>SUM(H222/G232*100)</f>
        <v>0</v>
      </c>
    </row>
    <row r="223" spans="1:9" ht="28.5" hidden="1">
      <c r="A223" s="100" t="s">
        <v>55</v>
      </c>
      <c r="B223" s="45"/>
      <c r="C223" s="54"/>
      <c r="D223" s="54"/>
      <c r="E223" s="54"/>
      <c r="F223" s="129"/>
      <c r="G223" s="312"/>
      <c r="H223" s="22">
        <f>SUM(H224)</f>
        <v>0</v>
      </c>
      <c r="I223" s="22">
        <f>SUM(H223/G233*100)</f>
        <v>0</v>
      </c>
    </row>
    <row r="224" spans="1:9" ht="28.5" hidden="1">
      <c r="A224" s="97" t="s">
        <v>410</v>
      </c>
      <c r="B224" s="45"/>
      <c r="C224" s="54" t="s">
        <v>120</v>
      </c>
      <c r="D224" s="54" t="s">
        <v>419</v>
      </c>
      <c r="E224" s="54" t="s">
        <v>42</v>
      </c>
      <c r="F224" s="129" t="s">
        <v>124</v>
      </c>
      <c r="G224" s="312"/>
      <c r="H224" s="22"/>
      <c r="I224" s="22">
        <f>SUM(H224/G234*100)</f>
        <v>0</v>
      </c>
    </row>
    <row r="225" spans="1:9" ht="28.5" hidden="1">
      <c r="A225" s="96" t="s">
        <v>43</v>
      </c>
      <c r="B225" s="45"/>
      <c r="C225" s="54" t="s">
        <v>120</v>
      </c>
      <c r="D225" s="54" t="s">
        <v>419</v>
      </c>
      <c r="E225" s="54" t="s">
        <v>44</v>
      </c>
      <c r="F225" s="129"/>
      <c r="G225" s="312">
        <f>SUM(G226)</f>
        <v>0</v>
      </c>
      <c r="H225" s="22">
        <f>SUM(H226)</f>
        <v>9483.6</v>
      </c>
      <c r="I225" s="22">
        <f>SUM(H225/G236*100)</f>
        <v>13098.895027624309</v>
      </c>
    </row>
    <row r="226" spans="1:9" ht="15" hidden="1">
      <c r="A226" s="104" t="s">
        <v>123</v>
      </c>
      <c r="B226" s="45"/>
      <c r="C226" s="54" t="s">
        <v>120</v>
      </c>
      <c r="D226" s="54" t="s">
        <v>419</v>
      </c>
      <c r="E226" s="54" t="s">
        <v>44</v>
      </c>
      <c r="F226" s="129" t="s">
        <v>124</v>
      </c>
      <c r="G226" s="312"/>
      <c r="H226" s="22">
        <f>SUM(H231)</f>
        <v>9483.6</v>
      </c>
      <c r="I226" s="22" t="e">
        <f>SUM(H226/#REF!*100)</f>
        <v>#REF!</v>
      </c>
    </row>
    <row r="227" spans="1:9" ht="28.5">
      <c r="A227" s="104" t="s">
        <v>652</v>
      </c>
      <c r="B227" s="45"/>
      <c r="C227" s="54" t="s">
        <v>120</v>
      </c>
      <c r="D227" s="54" t="s">
        <v>419</v>
      </c>
      <c r="E227" s="54" t="s">
        <v>651</v>
      </c>
      <c r="F227" s="129"/>
      <c r="G227" s="312">
        <f>SUM(G228)</f>
        <v>1500</v>
      </c>
      <c r="H227" s="22"/>
      <c r="I227" s="22"/>
    </row>
    <row r="228" spans="1:9" ht="15">
      <c r="A228" s="100" t="s">
        <v>459</v>
      </c>
      <c r="B228" s="45"/>
      <c r="C228" s="54" t="s">
        <v>120</v>
      </c>
      <c r="D228" s="54" t="s">
        <v>419</v>
      </c>
      <c r="E228" s="54" t="s">
        <v>651</v>
      </c>
      <c r="F228" s="129" t="s">
        <v>163</v>
      </c>
      <c r="G228" s="312">
        <v>1500</v>
      </c>
      <c r="H228" s="22"/>
      <c r="I228" s="22"/>
    </row>
    <row r="229" spans="1:9" ht="28.5">
      <c r="A229" s="104" t="s">
        <v>654</v>
      </c>
      <c r="B229" s="45"/>
      <c r="C229" s="54" t="s">
        <v>120</v>
      </c>
      <c r="D229" s="54" t="s">
        <v>419</v>
      </c>
      <c r="E229" s="54" t="s">
        <v>653</v>
      </c>
      <c r="F229" s="129"/>
      <c r="G229" s="312">
        <f>SUM(G230)</f>
        <v>40850.1</v>
      </c>
      <c r="H229" s="22"/>
      <c r="I229" s="22"/>
    </row>
    <row r="230" spans="1:9" ht="28.5">
      <c r="A230" s="280" t="s">
        <v>524</v>
      </c>
      <c r="B230" s="45"/>
      <c r="C230" s="54" t="s">
        <v>120</v>
      </c>
      <c r="D230" s="54" t="s">
        <v>419</v>
      </c>
      <c r="E230" s="54" t="s">
        <v>653</v>
      </c>
      <c r="F230" s="129" t="s">
        <v>518</v>
      </c>
      <c r="G230" s="312">
        <v>40850.1</v>
      </c>
      <c r="H230" s="22"/>
      <c r="I230" s="22"/>
    </row>
    <row r="231" spans="1:9" ht="15">
      <c r="A231" s="100" t="s">
        <v>45</v>
      </c>
      <c r="B231" s="166"/>
      <c r="C231" s="117" t="s">
        <v>120</v>
      </c>
      <c r="D231" s="117" t="s">
        <v>421</v>
      </c>
      <c r="E231" s="117"/>
      <c r="F231" s="134"/>
      <c r="G231" s="315">
        <f>G232+G236</f>
        <v>18683.600000000002</v>
      </c>
      <c r="H231" s="22">
        <v>9483.6</v>
      </c>
      <c r="I231" s="22">
        <f>SUM(H231/G241*100)</f>
        <v>20.294891823064905</v>
      </c>
    </row>
    <row r="232" spans="1:9" ht="15">
      <c r="A232" s="100" t="s">
        <v>280</v>
      </c>
      <c r="B232" s="166"/>
      <c r="C232" s="117" t="s">
        <v>120</v>
      </c>
      <c r="D232" s="117" t="s">
        <v>421</v>
      </c>
      <c r="E232" s="117" t="s">
        <v>512</v>
      </c>
      <c r="F232" s="134"/>
      <c r="G232" s="315">
        <f>G233</f>
        <v>18611.2</v>
      </c>
      <c r="H232" s="22" t="e">
        <f>SUM(H233+H236+H241)</f>
        <v>#REF!</v>
      </c>
      <c r="I232" s="22" t="e">
        <f>SUM(H232/#REF!*100)</f>
        <v>#REF!</v>
      </c>
    </row>
    <row r="233" spans="1:9" ht="15">
      <c r="A233" s="100" t="s">
        <v>31</v>
      </c>
      <c r="B233" s="166"/>
      <c r="C233" s="117" t="s">
        <v>120</v>
      </c>
      <c r="D233" s="117" t="s">
        <v>421</v>
      </c>
      <c r="E233" s="117" t="s">
        <v>513</v>
      </c>
      <c r="F233" s="134"/>
      <c r="G233" s="315">
        <f>SUM(G234)+G235</f>
        <v>18611.2</v>
      </c>
      <c r="H233" s="22">
        <f>SUM(H234)</f>
        <v>0</v>
      </c>
      <c r="I233" s="22" t="e">
        <f>SUM(H233/#REF!*100)</f>
        <v>#REF!</v>
      </c>
    </row>
    <row r="234" spans="1:9" ht="15">
      <c r="A234" s="100" t="s">
        <v>458</v>
      </c>
      <c r="B234" s="166"/>
      <c r="C234" s="117" t="s">
        <v>120</v>
      </c>
      <c r="D234" s="117" t="s">
        <v>421</v>
      </c>
      <c r="E234" s="117" t="s">
        <v>513</v>
      </c>
      <c r="F234" s="134" t="s">
        <v>109</v>
      </c>
      <c r="G234" s="315">
        <f>5402.9+3397.3</f>
        <v>8800.2</v>
      </c>
      <c r="H234" s="22"/>
      <c r="I234" s="22" t="e">
        <f>SUM(H234/#REF!*100)</f>
        <v>#REF!</v>
      </c>
    </row>
    <row r="235" spans="1:9" ht="28.5">
      <c r="A235" s="104" t="s">
        <v>611</v>
      </c>
      <c r="B235" s="170"/>
      <c r="C235" s="117" t="s">
        <v>120</v>
      </c>
      <c r="D235" s="117" t="s">
        <v>421</v>
      </c>
      <c r="E235" s="117" t="s">
        <v>513</v>
      </c>
      <c r="F235" s="174" t="s">
        <v>518</v>
      </c>
      <c r="G235" s="315">
        <v>9811</v>
      </c>
      <c r="H235" s="22"/>
      <c r="I235" s="22"/>
    </row>
    <row r="236" spans="1:9" ht="15">
      <c r="A236" s="104" t="s">
        <v>117</v>
      </c>
      <c r="B236" s="222"/>
      <c r="C236" s="199" t="s">
        <v>120</v>
      </c>
      <c r="D236" s="199" t="s">
        <v>421</v>
      </c>
      <c r="E236" s="199" t="s">
        <v>118</v>
      </c>
      <c r="F236" s="223"/>
      <c r="G236" s="213">
        <f>SUM(G237)+G239</f>
        <v>72.4</v>
      </c>
      <c r="H236" s="22" t="e">
        <f>SUM(#REF!)</f>
        <v>#REF!</v>
      </c>
      <c r="I236" s="22" t="e">
        <f>SUM(H236/#REF!*100)</f>
        <v>#REF!</v>
      </c>
    </row>
    <row r="237" spans="1:9" ht="42.75">
      <c r="A237" s="208" t="s">
        <v>626</v>
      </c>
      <c r="B237" s="224"/>
      <c r="C237" s="199" t="s">
        <v>120</v>
      </c>
      <c r="D237" s="199" t="s">
        <v>421</v>
      </c>
      <c r="E237" s="199" t="s">
        <v>605</v>
      </c>
      <c r="F237" s="225"/>
      <c r="G237" s="213">
        <f>SUM(G238:G238)</f>
        <v>16.4</v>
      </c>
      <c r="H237" s="22"/>
      <c r="I237" s="22"/>
    </row>
    <row r="238" spans="1:9" ht="15">
      <c r="A238" s="100" t="s">
        <v>458</v>
      </c>
      <c r="B238" s="224"/>
      <c r="C238" s="199" t="s">
        <v>120</v>
      </c>
      <c r="D238" s="199" t="s">
        <v>421</v>
      </c>
      <c r="E238" s="199" t="s">
        <v>605</v>
      </c>
      <c r="F238" s="225" t="s">
        <v>109</v>
      </c>
      <c r="G238" s="213">
        <v>16.4</v>
      </c>
      <c r="H238" s="22"/>
      <c r="I238" s="22"/>
    </row>
    <row r="239" spans="1:9" ht="42.75">
      <c r="A239" s="100" t="s">
        <v>629</v>
      </c>
      <c r="B239" s="170"/>
      <c r="C239" s="199" t="s">
        <v>120</v>
      </c>
      <c r="D239" s="199" t="s">
        <v>421</v>
      </c>
      <c r="E239" s="173" t="s">
        <v>32</v>
      </c>
      <c r="F239" s="174"/>
      <c r="G239" s="315">
        <f>G240</f>
        <v>56</v>
      </c>
      <c r="H239" s="22"/>
      <c r="I239" s="22"/>
    </row>
    <row r="240" spans="1:9" ht="28.5">
      <c r="A240" s="100" t="s">
        <v>517</v>
      </c>
      <c r="B240" s="170"/>
      <c r="C240" s="199" t="s">
        <v>120</v>
      </c>
      <c r="D240" s="199" t="s">
        <v>421</v>
      </c>
      <c r="E240" s="173" t="s">
        <v>32</v>
      </c>
      <c r="F240" s="174" t="s">
        <v>518</v>
      </c>
      <c r="G240" s="315">
        <v>56</v>
      </c>
      <c r="H240" s="22"/>
      <c r="I240" s="22"/>
    </row>
    <row r="241" spans="1:9" ht="15">
      <c r="A241" s="100" t="s">
        <v>33</v>
      </c>
      <c r="B241" s="166"/>
      <c r="C241" s="117" t="s">
        <v>120</v>
      </c>
      <c r="D241" s="117" t="s">
        <v>95</v>
      </c>
      <c r="E241" s="117"/>
      <c r="F241" s="134"/>
      <c r="G241" s="315">
        <f>G242+G253</f>
        <v>46729.00000000001</v>
      </c>
      <c r="H241" s="22" t="e">
        <f>SUM(#REF!)</f>
        <v>#REF!</v>
      </c>
      <c r="I241" s="22" t="e">
        <f>SUM(H241/G242*100)</f>
        <v>#REF!</v>
      </c>
    </row>
    <row r="242" spans="1:9" s="86" customFormat="1" ht="15">
      <c r="A242" s="100" t="s">
        <v>33</v>
      </c>
      <c r="B242" s="170"/>
      <c r="C242" s="117" t="s">
        <v>120</v>
      </c>
      <c r="D242" s="117" t="s">
        <v>95</v>
      </c>
      <c r="E242" s="173" t="s">
        <v>60</v>
      </c>
      <c r="F242" s="174"/>
      <c r="G242" s="315">
        <f>G243+G247+G251+G245</f>
        <v>46556.200000000004</v>
      </c>
      <c r="H242" s="22" t="e">
        <f>SUM(H245+#REF!)+H243</f>
        <v>#REF!</v>
      </c>
      <c r="I242" s="22" t="e">
        <f>SUM(H242/G248*100)</f>
        <v>#REF!</v>
      </c>
    </row>
    <row r="243" spans="1:9" s="87" customFormat="1" ht="15.75">
      <c r="A243" s="102" t="s">
        <v>61</v>
      </c>
      <c r="B243" s="170"/>
      <c r="C243" s="117" t="s">
        <v>120</v>
      </c>
      <c r="D243" s="117" t="s">
        <v>95</v>
      </c>
      <c r="E243" s="173" t="s">
        <v>62</v>
      </c>
      <c r="F243" s="174"/>
      <c r="G243" s="315">
        <f>SUM(G244)</f>
        <v>32642.1</v>
      </c>
      <c r="H243" s="22">
        <f>SUM(H244)</f>
        <v>0</v>
      </c>
      <c r="I243" s="22" t="e">
        <f>SUM(H243/G249*100)</f>
        <v>#DIV/0!</v>
      </c>
    </row>
    <row r="244" spans="1:9" s="87" customFormat="1" ht="15.75">
      <c r="A244" s="100" t="s">
        <v>458</v>
      </c>
      <c r="B244" s="170"/>
      <c r="C244" s="117" t="s">
        <v>120</v>
      </c>
      <c r="D244" s="117" t="s">
        <v>95</v>
      </c>
      <c r="E244" s="173" t="s">
        <v>62</v>
      </c>
      <c r="F244" s="174" t="s">
        <v>109</v>
      </c>
      <c r="G244" s="315">
        <v>32642.1</v>
      </c>
      <c r="H244" s="22"/>
      <c r="I244" s="22" t="e">
        <f>SUM(H244/G250*100)</f>
        <v>#DIV/0!</v>
      </c>
    </row>
    <row r="245" spans="1:9" s="87" customFormat="1" ht="15.75">
      <c r="A245" s="104" t="s">
        <v>606</v>
      </c>
      <c r="B245" s="45"/>
      <c r="C245" s="196" t="s">
        <v>120</v>
      </c>
      <c r="D245" s="196" t="s">
        <v>95</v>
      </c>
      <c r="E245" s="54" t="s">
        <v>607</v>
      </c>
      <c r="F245" s="174"/>
      <c r="G245" s="315">
        <f>SUM(G246)</f>
        <v>240.8</v>
      </c>
      <c r="H245" s="22" t="e">
        <f>SUM(H246+H259+H266+H269)+H264</f>
        <v>#REF!</v>
      </c>
      <c r="I245" s="22" t="e">
        <f>SUM(H245/G259*100)</f>
        <v>#REF!</v>
      </c>
    </row>
    <row r="246" spans="1:9" s="87" customFormat="1" ht="15.75">
      <c r="A246" s="100" t="s">
        <v>458</v>
      </c>
      <c r="B246" s="170"/>
      <c r="C246" s="117" t="s">
        <v>120</v>
      </c>
      <c r="D246" s="117" t="s">
        <v>95</v>
      </c>
      <c r="E246" s="54" t="s">
        <v>607</v>
      </c>
      <c r="F246" s="174" t="s">
        <v>109</v>
      </c>
      <c r="G246" s="315">
        <v>240.8</v>
      </c>
      <c r="H246" s="22">
        <f>SUM(H248:H249)</f>
        <v>20816.7</v>
      </c>
      <c r="I246" s="22">
        <f>SUM(H246/G260*100)</f>
        <v>226.31767775603393</v>
      </c>
    </row>
    <row r="247" spans="1:9" s="87" customFormat="1" ht="28.5">
      <c r="A247" s="100" t="s">
        <v>563</v>
      </c>
      <c r="B247" s="170"/>
      <c r="C247" s="117" t="s">
        <v>120</v>
      </c>
      <c r="D247" s="117" t="s">
        <v>95</v>
      </c>
      <c r="E247" s="173" t="s">
        <v>30</v>
      </c>
      <c r="F247" s="174"/>
      <c r="G247" s="315">
        <f>G248</f>
        <v>13474.9</v>
      </c>
      <c r="H247" s="22"/>
      <c r="I247" s="22"/>
    </row>
    <row r="248" spans="1:9" s="87" customFormat="1" ht="15.75">
      <c r="A248" s="100" t="s">
        <v>458</v>
      </c>
      <c r="B248" s="170"/>
      <c r="C248" s="117" t="s">
        <v>120</v>
      </c>
      <c r="D248" s="117" t="s">
        <v>95</v>
      </c>
      <c r="E248" s="173" t="s">
        <v>30</v>
      </c>
      <c r="F248" s="174" t="s">
        <v>109</v>
      </c>
      <c r="G248" s="315">
        <v>13474.9</v>
      </c>
      <c r="H248" s="22">
        <v>20816.7</v>
      </c>
      <c r="I248" s="22" t="e">
        <f>SUM(H248/G264*100)</f>
        <v>#DIV/0!</v>
      </c>
    </row>
    <row r="249" spans="1:9" s="87" customFormat="1" ht="15.75" hidden="1">
      <c r="A249" s="100" t="s">
        <v>476</v>
      </c>
      <c r="B249" s="170"/>
      <c r="C249" s="117" t="s">
        <v>120</v>
      </c>
      <c r="D249" s="117" t="s">
        <v>95</v>
      </c>
      <c r="E249" s="173" t="s">
        <v>30</v>
      </c>
      <c r="F249" s="174" t="s">
        <v>477</v>
      </c>
      <c r="G249" s="315"/>
      <c r="H249" s="22">
        <f>SUM(H250)</f>
        <v>0</v>
      </c>
      <c r="I249" s="22" t="e">
        <f>SUM(H249/G265*100)</f>
        <v>#DIV/0!</v>
      </c>
    </row>
    <row r="250" spans="1:9" s="87" customFormat="1" ht="28.5" hidden="1">
      <c r="A250" s="100" t="s">
        <v>478</v>
      </c>
      <c r="B250" s="170"/>
      <c r="C250" s="117" t="s">
        <v>120</v>
      </c>
      <c r="D250" s="117" t="s">
        <v>95</v>
      </c>
      <c r="E250" s="173" t="s">
        <v>30</v>
      </c>
      <c r="F250" s="174" t="s">
        <v>479</v>
      </c>
      <c r="G250" s="315"/>
      <c r="H250" s="22"/>
      <c r="I250" s="22" t="e">
        <f>SUM(H250/G266*100)</f>
        <v>#DIV/0!</v>
      </c>
    </row>
    <row r="251" spans="1:9" s="87" customFormat="1" ht="42.75">
      <c r="A251" s="101" t="s">
        <v>561</v>
      </c>
      <c r="B251" s="141"/>
      <c r="C251" s="120" t="s">
        <v>120</v>
      </c>
      <c r="D251" s="120" t="s">
        <v>95</v>
      </c>
      <c r="E251" s="176" t="s">
        <v>562</v>
      </c>
      <c r="F251" s="168"/>
      <c r="G251" s="316">
        <f>SUM(G252)</f>
        <v>198.4</v>
      </c>
      <c r="H251" s="22"/>
      <c r="I251" s="22"/>
    </row>
    <row r="252" spans="1:9" s="87" customFormat="1" ht="15.75">
      <c r="A252" s="100" t="s">
        <v>458</v>
      </c>
      <c r="B252" s="170"/>
      <c r="C252" s="117" t="s">
        <v>120</v>
      </c>
      <c r="D252" s="117" t="s">
        <v>95</v>
      </c>
      <c r="E252" s="176" t="s">
        <v>562</v>
      </c>
      <c r="F252" s="174" t="s">
        <v>109</v>
      </c>
      <c r="G252" s="315">
        <v>198.4</v>
      </c>
      <c r="H252" s="22"/>
      <c r="I252" s="22"/>
    </row>
    <row r="253" spans="1:9" s="87" customFormat="1" ht="15.75">
      <c r="A253" s="104" t="s">
        <v>117</v>
      </c>
      <c r="B253" s="45"/>
      <c r="C253" s="196" t="s">
        <v>120</v>
      </c>
      <c r="D253" s="196" t="s">
        <v>95</v>
      </c>
      <c r="E253" s="54" t="s">
        <v>118</v>
      </c>
      <c r="F253" s="174"/>
      <c r="G253" s="315">
        <f>SUM(G254)</f>
        <v>172.8</v>
      </c>
      <c r="H253" s="22"/>
      <c r="I253" s="22"/>
    </row>
    <row r="254" spans="1:9" s="87" customFormat="1" ht="42.75">
      <c r="A254" s="205" t="s">
        <v>627</v>
      </c>
      <c r="B254" s="226"/>
      <c r="C254" s="198" t="s">
        <v>120</v>
      </c>
      <c r="D254" s="198" t="s">
        <v>95</v>
      </c>
      <c r="E254" s="54" t="s">
        <v>608</v>
      </c>
      <c r="F254" s="174"/>
      <c r="G254" s="315">
        <f>SUM(G255)</f>
        <v>172.8</v>
      </c>
      <c r="H254" s="22"/>
      <c r="I254" s="22"/>
    </row>
    <row r="255" spans="1:9" s="87" customFormat="1" ht="15" customHeight="1">
      <c r="A255" s="100" t="s">
        <v>458</v>
      </c>
      <c r="B255" s="170"/>
      <c r="C255" s="198" t="s">
        <v>120</v>
      </c>
      <c r="D255" s="198" t="s">
        <v>95</v>
      </c>
      <c r="E255" s="54" t="s">
        <v>608</v>
      </c>
      <c r="F255" s="174" t="s">
        <v>109</v>
      </c>
      <c r="G255" s="315">
        <v>172.8</v>
      </c>
      <c r="H255" s="22"/>
      <c r="I255" s="22"/>
    </row>
    <row r="256" spans="1:9" s="87" customFormat="1" ht="28.5" hidden="1">
      <c r="A256" s="205" t="s">
        <v>609</v>
      </c>
      <c r="B256" s="220"/>
      <c r="C256" s="199" t="s">
        <v>120</v>
      </c>
      <c r="D256" s="199" t="s">
        <v>421</v>
      </c>
      <c r="E256" s="200" t="s">
        <v>597</v>
      </c>
      <c r="F256" s="221"/>
      <c r="G256" s="213">
        <f>SUM(G257)</f>
        <v>0</v>
      </c>
      <c r="H256" s="22"/>
      <c r="I256" s="22"/>
    </row>
    <row r="257" spans="1:9" s="87" customFormat="1" ht="15.75" hidden="1">
      <c r="A257" s="100" t="s">
        <v>610</v>
      </c>
      <c r="B257" s="53"/>
      <c r="C257" s="199" t="s">
        <v>120</v>
      </c>
      <c r="D257" s="199" t="s">
        <v>421</v>
      </c>
      <c r="E257" s="200" t="s">
        <v>32</v>
      </c>
      <c r="F257" s="221"/>
      <c r="G257" s="213">
        <f>SUM(G258)</f>
        <v>0</v>
      </c>
      <c r="H257" s="22"/>
      <c r="I257" s="22"/>
    </row>
    <row r="258" spans="1:9" s="87" customFormat="1" ht="28.5" hidden="1">
      <c r="A258" s="104" t="s">
        <v>611</v>
      </c>
      <c r="B258" s="220"/>
      <c r="C258" s="54" t="s">
        <v>120</v>
      </c>
      <c r="D258" s="54" t="s">
        <v>421</v>
      </c>
      <c r="E258" s="196" t="s">
        <v>32</v>
      </c>
      <c r="F258" s="221" t="s">
        <v>518</v>
      </c>
      <c r="G258" s="213"/>
      <c r="H258" s="22"/>
      <c r="I258" s="22"/>
    </row>
    <row r="259" spans="1:9" s="87" customFormat="1" ht="15.75">
      <c r="A259" s="100" t="s">
        <v>53</v>
      </c>
      <c r="B259" s="170"/>
      <c r="C259" s="117" t="s">
        <v>120</v>
      </c>
      <c r="D259" s="117" t="s">
        <v>120</v>
      </c>
      <c r="E259" s="173"/>
      <c r="F259" s="174"/>
      <c r="G259" s="315">
        <f>G260</f>
        <v>9198</v>
      </c>
      <c r="H259" s="22">
        <f>SUM(H263)</f>
        <v>43097.5</v>
      </c>
      <c r="I259" s="22">
        <f>SUM(H259/G267*100)</f>
        <v>5975.804215196894</v>
      </c>
    </row>
    <row r="260" spans="1:9" s="73" customFormat="1" ht="15">
      <c r="A260" s="100" t="s">
        <v>509</v>
      </c>
      <c r="B260" s="170"/>
      <c r="C260" s="117" t="s">
        <v>120</v>
      </c>
      <c r="D260" s="117" t="s">
        <v>120</v>
      </c>
      <c r="E260" s="173" t="s">
        <v>118</v>
      </c>
      <c r="F260" s="174"/>
      <c r="G260" s="315">
        <f>G263+G265+G267+G269+G261</f>
        <v>9198</v>
      </c>
      <c r="H260" s="22"/>
      <c r="I260" s="22"/>
    </row>
    <row r="261" spans="1:9" s="73" customFormat="1" ht="28.5">
      <c r="A261" s="96" t="s">
        <v>628</v>
      </c>
      <c r="B261" s="45"/>
      <c r="C261" s="116" t="s">
        <v>120</v>
      </c>
      <c r="D261" s="116" t="s">
        <v>120</v>
      </c>
      <c r="E261" s="54" t="s">
        <v>612</v>
      </c>
      <c r="F261" s="174"/>
      <c r="G261" s="315">
        <f>SUM(G262)</f>
        <v>995.3</v>
      </c>
      <c r="H261" s="22"/>
      <c r="I261" s="22"/>
    </row>
    <row r="262" spans="1:9" s="73" customFormat="1" ht="28.5">
      <c r="A262" s="104" t="s">
        <v>611</v>
      </c>
      <c r="B262" s="170"/>
      <c r="C262" s="116" t="s">
        <v>120</v>
      </c>
      <c r="D262" s="116" t="s">
        <v>120</v>
      </c>
      <c r="E262" s="54" t="s">
        <v>612</v>
      </c>
      <c r="F262" s="174" t="s">
        <v>518</v>
      </c>
      <c r="G262" s="315">
        <v>995.3</v>
      </c>
      <c r="H262" s="22"/>
      <c r="I262" s="22"/>
    </row>
    <row r="263" spans="1:9" s="87" customFormat="1" ht="28.5" hidden="1">
      <c r="A263" s="102" t="s">
        <v>514</v>
      </c>
      <c r="B263" s="170"/>
      <c r="C263" s="117" t="s">
        <v>120</v>
      </c>
      <c r="D263" s="117" t="s">
        <v>120</v>
      </c>
      <c r="E263" s="173" t="s">
        <v>9</v>
      </c>
      <c r="F263" s="174"/>
      <c r="G263" s="315">
        <f>G264</f>
        <v>0</v>
      </c>
      <c r="H263" s="22">
        <v>43097.5</v>
      </c>
      <c r="I263" s="22">
        <f>SUM(H263/G269*100)</f>
        <v>576.0542671924079</v>
      </c>
    </row>
    <row r="264" spans="1:9" ht="28.5" hidden="1">
      <c r="A264" s="100" t="s">
        <v>482</v>
      </c>
      <c r="B264" s="170"/>
      <c r="C264" s="117" t="s">
        <v>120</v>
      </c>
      <c r="D264" s="117" t="s">
        <v>120</v>
      </c>
      <c r="E264" s="173" t="s">
        <v>9</v>
      </c>
      <c r="F264" s="174" t="s">
        <v>471</v>
      </c>
      <c r="G264" s="315"/>
      <c r="H264" s="22">
        <f>SUM(H265)</f>
        <v>482.9</v>
      </c>
      <c r="I264" s="22">
        <f>SUM(H264/G270*100)</f>
        <v>9.1432358231563</v>
      </c>
    </row>
    <row r="265" spans="1:9" ht="28.5" hidden="1">
      <c r="A265" s="102" t="s">
        <v>515</v>
      </c>
      <c r="B265" s="170"/>
      <c r="C265" s="117" t="s">
        <v>516</v>
      </c>
      <c r="D265" s="117" t="s">
        <v>120</v>
      </c>
      <c r="E265" s="173" t="s">
        <v>10</v>
      </c>
      <c r="F265" s="174"/>
      <c r="G265" s="315">
        <f>G266</f>
        <v>0</v>
      </c>
      <c r="H265" s="22">
        <v>482.9</v>
      </c>
      <c r="I265" s="22" t="e">
        <f>SUM(H265/#REF!*100)</f>
        <v>#REF!</v>
      </c>
    </row>
    <row r="266" spans="1:9" ht="28.5" hidden="1">
      <c r="A266" s="100" t="s">
        <v>517</v>
      </c>
      <c r="B266" s="170"/>
      <c r="C266" s="117" t="s">
        <v>516</v>
      </c>
      <c r="D266" s="117" t="s">
        <v>120</v>
      </c>
      <c r="E266" s="173" t="s">
        <v>10</v>
      </c>
      <c r="F266" s="174" t="s">
        <v>518</v>
      </c>
      <c r="G266" s="315"/>
      <c r="H266" s="22">
        <f>SUM(H268)</f>
        <v>489.8</v>
      </c>
      <c r="I266" s="22" t="e">
        <f>SUM(H266/#REF!*100)</f>
        <v>#REF!</v>
      </c>
    </row>
    <row r="267" spans="1:9" ht="42.75">
      <c r="A267" s="100" t="s">
        <v>629</v>
      </c>
      <c r="B267" s="170"/>
      <c r="C267" s="117" t="s">
        <v>120</v>
      </c>
      <c r="D267" s="117" t="s">
        <v>120</v>
      </c>
      <c r="E267" s="173" t="s">
        <v>32</v>
      </c>
      <c r="F267" s="174"/>
      <c r="G267" s="315">
        <f>G268</f>
        <v>721.2</v>
      </c>
      <c r="H267" s="22"/>
      <c r="I267" s="22"/>
    </row>
    <row r="268" spans="1:9" s="86" customFormat="1" ht="28.5">
      <c r="A268" s="100" t="s">
        <v>517</v>
      </c>
      <c r="B268" s="170"/>
      <c r="C268" s="117" t="s">
        <v>120</v>
      </c>
      <c r="D268" s="117" t="s">
        <v>120</v>
      </c>
      <c r="E268" s="173" t="s">
        <v>32</v>
      </c>
      <c r="F268" s="174" t="s">
        <v>518</v>
      </c>
      <c r="G268" s="315">
        <v>721.2</v>
      </c>
      <c r="H268" s="22">
        <v>489.8</v>
      </c>
      <c r="I268" s="22" t="e">
        <f>SUM(H268/#REF!*100)</f>
        <v>#REF!</v>
      </c>
    </row>
    <row r="269" spans="1:9" s="86" customFormat="1" ht="28.5">
      <c r="A269" s="102" t="s">
        <v>624</v>
      </c>
      <c r="B269" s="170"/>
      <c r="C269" s="117" t="s">
        <v>120</v>
      </c>
      <c r="D269" s="117" t="s">
        <v>120</v>
      </c>
      <c r="E269" s="173" t="s">
        <v>44</v>
      </c>
      <c r="F269" s="174"/>
      <c r="G269" s="315">
        <f>G270+G271</f>
        <v>7481.5</v>
      </c>
      <c r="H269" s="22" t="e">
        <f>SUM(#REF!)</f>
        <v>#REF!</v>
      </c>
      <c r="I269" s="22" t="e">
        <f>SUM(H269/#REF!*100)</f>
        <v>#REF!</v>
      </c>
    </row>
    <row r="270" spans="1:9" s="86" customFormat="1" ht="27.75" customHeight="1">
      <c r="A270" s="100" t="s">
        <v>517</v>
      </c>
      <c r="B270" s="170"/>
      <c r="C270" s="117" t="s">
        <v>120</v>
      </c>
      <c r="D270" s="117" t="s">
        <v>120</v>
      </c>
      <c r="E270" s="173" t="s">
        <v>44</v>
      </c>
      <c r="F270" s="174" t="s">
        <v>518</v>
      </c>
      <c r="G270" s="315">
        <v>5281.5</v>
      </c>
      <c r="H270" s="22"/>
      <c r="I270" s="22"/>
    </row>
    <row r="271" spans="1:9" ht="28.5">
      <c r="A271" s="100" t="s">
        <v>482</v>
      </c>
      <c r="B271" s="45"/>
      <c r="C271" s="116" t="s">
        <v>120</v>
      </c>
      <c r="D271" s="116" t="s">
        <v>120</v>
      </c>
      <c r="E271" s="54" t="s">
        <v>44</v>
      </c>
      <c r="F271" s="130" t="s">
        <v>471</v>
      </c>
      <c r="G271" s="312">
        <v>2200</v>
      </c>
      <c r="H271" s="22" t="e">
        <f>SUM(H272+H276)</f>
        <v>#REF!</v>
      </c>
      <c r="I271" s="22" t="e">
        <f>SUM(H271/G278*100)</f>
        <v>#REF!</v>
      </c>
    </row>
    <row r="272" spans="1:9" ht="15">
      <c r="A272" s="96" t="s">
        <v>56</v>
      </c>
      <c r="B272" s="45"/>
      <c r="C272" s="54" t="s">
        <v>352</v>
      </c>
      <c r="D272" s="54"/>
      <c r="E272" s="54"/>
      <c r="F272" s="129"/>
      <c r="G272" s="312">
        <f>SUM(G274)+G279</f>
        <v>5832.400000000001</v>
      </c>
      <c r="H272" s="22">
        <f>SUM(H274)</f>
        <v>0</v>
      </c>
      <c r="I272" s="22">
        <f>SUM(H272/G279*100)</f>
        <v>0</v>
      </c>
    </row>
    <row r="273" spans="1:9" ht="15">
      <c r="A273" s="207" t="s">
        <v>586</v>
      </c>
      <c r="B273" s="45"/>
      <c r="C273" s="117" t="s">
        <v>352</v>
      </c>
      <c r="D273" s="117" t="s">
        <v>95</v>
      </c>
      <c r="E273" s="54"/>
      <c r="F273" s="129"/>
      <c r="G273" s="312">
        <f>SUM(G274)</f>
        <v>5287.3</v>
      </c>
      <c r="H273" s="22"/>
      <c r="I273" s="22"/>
    </row>
    <row r="274" spans="1:9" ht="15">
      <c r="A274" s="100" t="s">
        <v>57</v>
      </c>
      <c r="B274" s="166"/>
      <c r="C274" s="117" t="s">
        <v>352</v>
      </c>
      <c r="D274" s="117" t="s">
        <v>95</v>
      </c>
      <c r="E274" s="117" t="s">
        <v>519</v>
      </c>
      <c r="F274" s="134"/>
      <c r="G274" s="315">
        <f>SUM(G275)</f>
        <v>5287.3</v>
      </c>
      <c r="H274" s="22">
        <f>SUM(H275)</f>
        <v>0</v>
      </c>
      <c r="I274" s="22">
        <f>SUM(H274/G280*100)</f>
        <v>0</v>
      </c>
    </row>
    <row r="275" spans="1:9" ht="28.5">
      <c r="A275" s="100" t="s">
        <v>46</v>
      </c>
      <c r="B275" s="166"/>
      <c r="C275" s="117" t="s">
        <v>352</v>
      </c>
      <c r="D275" s="117" t="s">
        <v>95</v>
      </c>
      <c r="E275" s="117" t="s">
        <v>520</v>
      </c>
      <c r="F275" s="134"/>
      <c r="G275" s="315">
        <f>SUM(G276:G278)</f>
        <v>5287.3</v>
      </c>
      <c r="H275" s="22"/>
      <c r="I275" s="22">
        <f>SUM(H275/G281*100)</f>
        <v>0</v>
      </c>
    </row>
    <row r="276" spans="1:9" ht="28.5">
      <c r="A276" s="100" t="s">
        <v>453</v>
      </c>
      <c r="B276" s="166"/>
      <c r="C276" s="117" t="s">
        <v>352</v>
      </c>
      <c r="D276" s="117" t="s">
        <v>95</v>
      </c>
      <c r="E276" s="117" t="s">
        <v>520</v>
      </c>
      <c r="F276" s="134" t="s">
        <v>454</v>
      </c>
      <c r="G276" s="315">
        <v>4446.9</v>
      </c>
      <c r="H276" s="22" t="e">
        <f>SUM(H280+#REF!)</f>
        <v>#REF!</v>
      </c>
      <c r="I276" s="22" t="e">
        <f>SUM(H276/G282*100)</f>
        <v>#REF!</v>
      </c>
    </row>
    <row r="277" spans="1:9" ht="15">
      <c r="A277" s="100" t="s">
        <v>458</v>
      </c>
      <c r="B277" s="166"/>
      <c r="C277" s="117" t="s">
        <v>352</v>
      </c>
      <c r="D277" s="117" t="s">
        <v>95</v>
      </c>
      <c r="E277" s="117" t="s">
        <v>520</v>
      </c>
      <c r="F277" s="134" t="s">
        <v>109</v>
      </c>
      <c r="G277" s="315">
        <v>760.3</v>
      </c>
      <c r="H277" s="22"/>
      <c r="I277" s="22" t="e">
        <f>SUM(H277/#REF!*100)</f>
        <v>#REF!</v>
      </c>
    </row>
    <row r="278" spans="1:9" ht="15">
      <c r="A278" s="100" t="s">
        <v>459</v>
      </c>
      <c r="B278" s="166"/>
      <c r="C278" s="117" t="s">
        <v>352</v>
      </c>
      <c r="D278" s="117" t="s">
        <v>95</v>
      </c>
      <c r="E278" s="117" t="s">
        <v>520</v>
      </c>
      <c r="F278" s="134" t="s">
        <v>163</v>
      </c>
      <c r="G278" s="315">
        <v>80.1</v>
      </c>
      <c r="H278" s="88"/>
      <c r="I278" s="22" t="e">
        <f>SUM(H278/#REF!*100)</f>
        <v>#REF!</v>
      </c>
    </row>
    <row r="279" spans="1:9" ht="15">
      <c r="A279" s="100" t="s">
        <v>58</v>
      </c>
      <c r="B279" s="166"/>
      <c r="C279" s="117" t="s">
        <v>352</v>
      </c>
      <c r="D279" s="117" t="s">
        <v>120</v>
      </c>
      <c r="E279" s="177"/>
      <c r="F279" s="134"/>
      <c r="G279" s="315">
        <f>G281</f>
        <v>545.1</v>
      </c>
      <c r="H279" s="22"/>
      <c r="I279" s="22" t="e">
        <f>SUM(H279/#REF!*100)</f>
        <v>#REF!</v>
      </c>
    </row>
    <row r="280" spans="1:9" ht="15">
      <c r="A280" s="100" t="s">
        <v>509</v>
      </c>
      <c r="B280" s="166"/>
      <c r="C280" s="117" t="s">
        <v>352</v>
      </c>
      <c r="D280" s="117" t="s">
        <v>120</v>
      </c>
      <c r="E280" s="173" t="s">
        <v>118</v>
      </c>
      <c r="F280" s="134"/>
      <c r="G280" s="315">
        <f>SUM(G281)</f>
        <v>545.1</v>
      </c>
      <c r="H280" s="22">
        <f>SUM(H281:H282)</f>
        <v>0</v>
      </c>
      <c r="I280" s="22" t="e">
        <f>SUM(H280/#REF!*100)</f>
        <v>#REF!</v>
      </c>
    </row>
    <row r="281" spans="1:9" ht="15.75">
      <c r="A281" s="100" t="s">
        <v>590</v>
      </c>
      <c r="B281" s="169"/>
      <c r="C281" s="117" t="s">
        <v>352</v>
      </c>
      <c r="D281" s="117" t="s">
        <v>120</v>
      </c>
      <c r="E281" s="117" t="s">
        <v>59</v>
      </c>
      <c r="F281" s="134"/>
      <c r="G281" s="315">
        <f>G282</f>
        <v>545.1</v>
      </c>
      <c r="H281" s="22"/>
      <c r="I281" s="22" t="e">
        <f>SUM(H281/#REF!*100)</f>
        <v>#REF!</v>
      </c>
    </row>
    <row r="282" spans="1:9" ht="15">
      <c r="A282" s="100" t="s">
        <v>458</v>
      </c>
      <c r="B282" s="166"/>
      <c r="C282" s="117" t="s">
        <v>352</v>
      </c>
      <c r="D282" s="117" t="s">
        <v>120</v>
      </c>
      <c r="E282" s="117" t="s">
        <v>59</v>
      </c>
      <c r="F282" s="134" t="s">
        <v>109</v>
      </c>
      <c r="G282" s="315">
        <v>545.1</v>
      </c>
      <c r="H282" s="22"/>
      <c r="I282" s="22"/>
    </row>
    <row r="283" spans="1:9" ht="15">
      <c r="A283" s="100" t="s">
        <v>105</v>
      </c>
      <c r="B283" s="166"/>
      <c r="C283" s="117" t="s">
        <v>106</v>
      </c>
      <c r="D283" s="117"/>
      <c r="E283" s="117"/>
      <c r="F283" s="134"/>
      <c r="G283" s="315">
        <f>G284</f>
        <v>40100</v>
      </c>
      <c r="H283" s="22">
        <f>SUM(H284)</f>
        <v>0</v>
      </c>
      <c r="I283" s="22" t="e">
        <f>SUM(H283/#REF!*100)</f>
        <v>#REF!</v>
      </c>
    </row>
    <row r="284" spans="1:9" ht="15">
      <c r="A284" s="100" t="s">
        <v>219</v>
      </c>
      <c r="B284" s="166"/>
      <c r="C284" s="117" t="s">
        <v>106</v>
      </c>
      <c r="D284" s="117" t="s">
        <v>285</v>
      </c>
      <c r="E284" s="117"/>
      <c r="F284" s="134"/>
      <c r="G284" s="315">
        <f>G286</f>
        <v>40100</v>
      </c>
      <c r="H284" s="22"/>
      <c r="I284" s="22" t="e">
        <f>SUM(H284/#REF!*100)</f>
        <v>#REF!</v>
      </c>
    </row>
    <row r="285" spans="1:9" ht="15">
      <c r="A285" s="100" t="s">
        <v>509</v>
      </c>
      <c r="B285" s="166"/>
      <c r="C285" s="117" t="s">
        <v>106</v>
      </c>
      <c r="D285" s="117" t="s">
        <v>285</v>
      </c>
      <c r="E285" s="173" t="s">
        <v>118</v>
      </c>
      <c r="F285" s="134"/>
      <c r="G285" s="315">
        <f>SUM(G286)</f>
        <v>40100</v>
      </c>
      <c r="H285" s="22"/>
      <c r="I285" s="22"/>
    </row>
    <row r="286" spans="1:9" ht="28.5">
      <c r="A286" s="102" t="s">
        <v>624</v>
      </c>
      <c r="B286" s="166"/>
      <c r="C286" s="117" t="s">
        <v>106</v>
      </c>
      <c r="D286" s="117" t="s">
        <v>285</v>
      </c>
      <c r="E286" s="117" t="s">
        <v>44</v>
      </c>
      <c r="F286" s="134"/>
      <c r="G286" s="315">
        <f>G287</f>
        <v>40100</v>
      </c>
      <c r="H286" s="22"/>
      <c r="I286" s="22"/>
    </row>
    <row r="287" spans="1:9" s="73" customFormat="1" ht="28.5">
      <c r="A287" s="100" t="s">
        <v>524</v>
      </c>
      <c r="B287" s="166"/>
      <c r="C287" s="117" t="s">
        <v>106</v>
      </c>
      <c r="D287" s="117" t="s">
        <v>285</v>
      </c>
      <c r="E287" s="117" t="s">
        <v>521</v>
      </c>
      <c r="F287" s="134" t="s">
        <v>518</v>
      </c>
      <c r="G287" s="315">
        <v>40100</v>
      </c>
      <c r="H287" s="22" t="e">
        <v>#REF!</v>
      </c>
      <c r="I287" s="22" t="e">
        <v>#REF!</v>
      </c>
    </row>
    <row r="288" spans="1:9" ht="15">
      <c r="A288" s="96" t="s">
        <v>174</v>
      </c>
      <c r="B288" s="45"/>
      <c r="C288" s="54" t="s">
        <v>5</v>
      </c>
      <c r="D288" s="54"/>
      <c r="E288" s="54"/>
      <c r="F288" s="129"/>
      <c r="G288" s="312">
        <f>SUM(G298)+G289</f>
        <v>49068.1</v>
      </c>
      <c r="H288" s="22" t="e">
        <f>SUM(#REF!)</f>
        <v>#REF!</v>
      </c>
      <c r="I288" s="22" t="e">
        <f>SUM(H288/G300*100)</f>
        <v>#REF!</v>
      </c>
    </row>
    <row r="289" spans="1:9" ht="15">
      <c r="A289" s="96" t="s">
        <v>21</v>
      </c>
      <c r="B289" s="45"/>
      <c r="C289" s="54" t="s">
        <v>5</v>
      </c>
      <c r="D289" s="54" t="s">
        <v>95</v>
      </c>
      <c r="E289" s="54"/>
      <c r="F289" s="129"/>
      <c r="G289" s="312">
        <f>SUM(G290+G294)</f>
        <v>2263.5</v>
      </c>
      <c r="H289" s="22"/>
      <c r="I289" s="22"/>
    </row>
    <row r="290" spans="1:9" ht="15">
      <c r="A290" s="207" t="s">
        <v>3</v>
      </c>
      <c r="B290" s="227"/>
      <c r="C290" s="196" t="s">
        <v>5</v>
      </c>
      <c r="D290" s="196" t="s">
        <v>95</v>
      </c>
      <c r="E290" s="196" t="s">
        <v>4</v>
      </c>
      <c r="F290" s="228"/>
      <c r="G290" s="212">
        <f>SUM(G291)</f>
        <v>263.5</v>
      </c>
      <c r="H290" s="22"/>
      <c r="I290" s="22"/>
    </row>
    <row r="291" spans="1:9" ht="42.75">
      <c r="A291" s="209" t="s">
        <v>600</v>
      </c>
      <c r="B291" s="229"/>
      <c r="C291" s="196" t="s">
        <v>5</v>
      </c>
      <c r="D291" s="196" t="s">
        <v>95</v>
      </c>
      <c r="E291" s="196" t="s">
        <v>409</v>
      </c>
      <c r="F291" s="228"/>
      <c r="G291" s="212">
        <f>SUM(G292)</f>
        <v>263.5</v>
      </c>
      <c r="H291" s="22"/>
      <c r="I291" s="22"/>
    </row>
    <row r="292" spans="1:9" ht="28.5">
      <c r="A292" s="207" t="s">
        <v>601</v>
      </c>
      <c r="B292" s="229"/>
      <c r="C292" s="196" t="s">
        <v>5</v>
      </c>
      <c r="D292" s="196" t="s">
        <v>95</v>
      </c>
      <c r="E292" s="196" t="s">
        <v>602</v>
      </c>
      <c r="F292" s="228"/>
      <c r="G292" s="212">
        <f>SUM(G293)</f>
        <v>263.5</v>
      </c>
      <c r="H292" s="22"/>
      <c r="I292" s="22"/>
    </row>
    <row r="293" spans="1:9" ht="15">
      <c r="A293" s="210" t="s">
        <v>463</v>
      </c>
      <c r="B293" s="229"/>
      <c r="C293" s="196" t="s">
        <v>5</v>
      </c>
      <c r="D293" s="196" t="s">
        <v>95</v>
      </c>
      <c r="E293" s="196" t="s">
        <v>602</v>
      </c>
      <c r="F293" s="228" t="s">
        <v>464</v>
      </c>
      <c r="G293" s="212">
        <v>263.5</v>
      </c>
      <c r="H293" s="22"/>
      <c r="I293" s="22"/>
    </row>
    <row r="294" spans="1:9" ht="15">
      <c r="A294" s="209" t="s">
        <v>117</v>
      </c>
      <c r="B294" s="220"/>
      <c r="C294" s="196" t="s">
        <v>5</v>
      </c>
      <c r="D294" s="196" t="s">
        <v>95</v>
      </c>
      <c r="E294" s="196" t="s">
        <v>118</v>
      </c>
      <c r="F294" s="221"/>
      <c r="G294" s="214">
        <f>SUM(G295)</f>
        <v>2000</v>
      </c>
      <c r="H294" s="22"/>
      <c r="I294" s="22"/>
    </row>
    <row r="295" spans="1:9" ht="35.25" customHeight="1">
      <c r="A295" s="211" t="s">
        <v>630</v>
      </c>
      <c r="B295" s="226"/>
      <c r="C295" s="196" t="s">
        <v>5</v>
      </c>
      <c r="D295" s="196" t="s">
        <v>95</v>
      </c>
      <c r="E295" s="198" t="s">
        <v>597</v>
      </c>
      <c r="F295" s="230"/>
      <c r="G295" s="214">
        <f>SUM(G296)</f>
        <v>2000</v>
      </c>
      <c r="H295" s="22"/>
      <c r="I295" s="22"/>
    </row>
    <row r="296" spans="1:9" ht="28.5">
      <c r="A296" s="189" t="s">
        <v>631</v>
      </c>
      <c r="B296" s="220"/>
      <c r="C296" s="196" t="s">
        <v>5</v>
      </c>
      <c r="D296" s="196" t="s">
        <v>95</v>
      </c>
      <c r="E296" s="198" t="s">
        <v>604</v>
      </c>
      <c r="F296" s="230"/>
      <c r="G296" s="215">
        <f>SUM(G297:G297)</f>
        <v>2000</v>
      </c>
      <c r="H296" s="22"/>
      <c r="I296" s="22"/>
    </row>
    <row r="297" spans="1:9" ht="15">
      <c r="A297" s="210" t="s">
        <v>463</v>
      </c>
      <c r="B297" s="229"/>
      <c r="C297" s="196" t="s">
        <v>5</v>
      </c>
      <c r="D297" s="196" t="s">
        <v>95</v>
      </c>
      <c r="E297" s="198" t="s">
        <v>604</v>
      </c>
      <c r="F297" s="228" t="s">
        <v>464</v>
      </c>
      <c r="G297" s="212">
        <v>2000</v>
      </c>
      <c r="H297" s="22"/>
      <c r="I297" s="22"/>
    </row>
    <row r="298" spans="1:9" s="73" customFormat="1" ht="15">
      <c r="A298" s="100" t="s">
        <v>147</v>
      </c>
      <c r="B298" s="166"/>
      <c r="C298" s="117" t="s">
        <v>5</v>
      </c>
      <c r="D298" s="117" t="s">
        <v>111</v>
      </c>
      <c r="E298" s="117"/>
      <c r="F298" s="134"/>
      <c r="G298" s="315">
        <f>G300</f>
        <v>46804.6</v>
      </c>
      <c r="H298" s="22"/>
      <c r="I298" s="22">
        <f>SUM(H298/G305*100)</f>
        <v>0</v>
      </c>
    </row>
    <row r="299" spans="1:9" s="73" customFormat="1" ht="15">
      <c r="A299" s="96" t="s">
        <v>22</v>
      </c>
      <c r="B299" s="45"/>
      <c r="C299" s="117" t="s">
        <v>5</v>
      </c>
      <c r="D299" s="117" t="s">
        <v>111</v>
      </c>
      <c r="E299" s="54" t="s">
        <v>23</v>
      </c>
      <c r="F299" s="129"/>
      <c r="G299" s="315">
        <f>SUM(G300)</f>
        <v>46804.6</v>
      </c>
      <c r="H299" s="22"/>
      <c r="I299" s="22"/>
    </row>
    <row r="300" spans="1:9" ht="42.75">
      <c r="A300" s="100" t="s">
        <v>522</v>
      </c>
      <c r="B300" s="166"/>
      <c r="C300" s="117" t="s">
        <v>5</v>
      </c>
      <c r="D300" s="117" t="s">
        <v>111</v>
      </c>
      <c r="E300" s="117" t="s">
        <v>193</v>
      </c>
      <c r="F300" s="134"/>
      <c r="G300" s="315">
        <f>G305+G301</f>
        <v>46804.6</v>
      </c>
      <c r="H300" s="22">
        <f>SUM(H301)</f>
        <v>5628.5</v>
      </c>
      <c r="I300" s="22">
        <f>SUM(H300/G306*100)</f>
        <v>23.65214102617977</v>
      </c>
    </row>
    <row r="301" spans="1:9" ht="57">
      <c r="A301" s="100" t="s">
        <v>587</v>
      </c>
      <c r="B301" s="166"/>
      <c r="C301" s="117" t="s">
        <v>5</v>
      </c>
      <c r="D301" s="117" t="s">
        <v>111</v>
      </c>
      <c r="E301" s="117" t="s">
        <v>523</v>
      </c>
      <c r="F301" s="134"/>
      <c r="G301" s="315">
        <f>SUM(G302)</f>
        <v>23007.6</v>
      </c>
      <c r="H301" s="22">
        <f>SUM(H302)</f>
        <v>5628.5</v>
      </c>
      <c r="I301" s="22" t="e">
        <f>SUM(H301/#REF!*100)</f>
        <v>#REF!</v>
      </c>
    </row>
    <row r="302" spans="1:9" ht="28.5">
      <c r="A302" s="100" t="s">
        <v>524</v>
      </c>
      <c r="B302" s="166"/>
      <c r="C302" s="117" t="s">
        <v>5</v>
      </c>
      <c r="D302" s="117" t="s">
        <v>111</v>
      </c>
      <c r="E302" s="117" t="s">
        <v>523</v>
      </c>
      <c r="F302" s="134" t="s">
        <v>518</v>
      </c>
      <c r="G302" s="315">
        <v>23007.6</v>
      </c>
      <c r="H302" s="22">
        <v>5628.5</v>
      </c>
      <c r="I302" s="22" t="e">
        <f>SUM(H302/#REF!*100)</f>
        <v>#REF!</v>
      </c>
    </row>
    <row r="303" spans="1:9" s="73" customFormat="1" ht="15" hidden="1">
      <c r="A303" s="100" t="s">
        <v>54</v>
      </c>
      <c r="B303" s="166"/>
      <c r="C303" s="117" t="s">
        <v>5</v>
      </c>
      <c r="D303" s="117" t="s">
        <v>111</v>
      </c>
      <c r="E303" s="117" t="s">
        <v>523</v>
      </c>
      <c r="F303" s="134" t="s">
        <v>525</v>
      </c>
      <c r="G303" s="315"/>
      <c r="H303" s="22">
        <f>SUM(H304)</f>
        <v>0</v>
      </c>
      <c r="I303" s="22" t="e">
        <f>SUM(H303/#REF!*100)</f>
        <v>#REF!</v>
      </c>
    </row>
    <row r="304" spans="1:9" ht="28.5" hidden="1">
      <c r="A304" s="100" t="s">
        <v>526</v>
      </c>
      <c r="B304" s="166"/>
      <c r="C304" s="117" t="s">
        <v>5</v>
      </c>
      <c r="D304" s="117" t="s">
        <v>111</v>
      </c>
      <c r="E304" s="117" t="s">
        <v>523</v>
      </c>
      <c r="F304" s="134" t="s">
        <v>527</v>
      </c>
      <c r="G304" s="315"/>
      <c r="H304" s="22"/>
      <c r="I304" s="22" t="e">
        <f>SUM(H304/#REF!*100)</f>
        <v>#REF!</v>
      </c>
    </row>
    <row r="305" spans="1:9" ht="42.75">
      <c r="A305" s="100" t="s">
        <v>588</v>
      </c>
      <c r="B305" s="166"/>
      <c r="C305" s="117" t="s">
        <v>5</v>
      </c>
      <c r="D305" s="117" t="s">
        <v>111</v>
      </c>
      <c r="E305" s="117" t="s">
        <v>425</v>
      </c>
      <c r="F305" s="134"/>
      <c r="G305" s="315">
        <f>SUM(G306)</f>
        <v>23797</v>
      </c>
      <c r="H305" s="22" t="e">
        <f>SUM(H306)</f>
        <v>#REF!</v>
      </c>
      <c r="I305" s="22" t="e">
        <f>SUM(H305/#REF!*100)</f>
        <v>#REF!</v>
      </c>
    </row>
    <row r="306" spans="1:9" ht="28.5">
      <c r="A306" s="100" t="s">
        <v>524</v>
      </c>
      <c r="B306" s="166"/>
      <c r="C306" s="117" t="s">
        <v>5</v>
      </c>
      <c r="D306" s="117" t="s">
        <v>111</v>
      </c>
      <c r="E306" s="117" t="s">
        <v>425</v>
      </c>
      <c r="F306" s="134" t="s">
        <v>518</v>
      </c>
      <c r="G306" s="315">
        <v>23797</v>
      </c>
      <c r="H306" s="22" t="e">
        <f>SUM(#REF!)+#REF!</f>
        <v>#REF!</v>
      </c>
      <c r="I306" s="22" t="e">
        <f>SUM(H306/#REF!*100)</f>
        <v>#REF!</v>
      </c>
    </row>
    <row r="307" spans="1:9" ht="15" hidden="1">
      <c r="A307" s="96" t="s">
        <v>231</v>
      </c>
      <c r="B307" s="45"/>
      <c r="C307" s="116" t="s">
        <v>380</v>
      </c>
      <c r="D307" s="116"/>
      <c r="E307" s="116"/>
      <c r="F307" s="130"/>
      <c r="G307" s="313">
        <f>SUM(G308)</f>
        <v>0</v>
      </c>
      <c r="H307" s="22" t="e">
        <f>SUM(H308+H315+H326+#REF!)</f>
        <v>#REF!</v>
      </c>
      <c r="I307" s="22" t="e">
        <f>SUM(H307/G313*100)</f>
        <v>#REF!</v>
      </c>
    </row>
    <row r="308" spans="1:9" ht="15" hidden="1">
      <c r="A308" s="96" t="s">
        <v>225</v>
      </c>
      <c r="B308" s="45"/>
      <c r="C308" s="54" t="s">
        <v>380</v>
      </c>
      <c r="D308" s="54" t="s">
        <v>120</v>
      </c>
      <c r="E308" s="116"/>
      <c r="F308" s="130"/>
      <c r="G308" s="312">
        <f>SUM(G309)</f>
        <v>0</v>
      </c>
      <c r="H308" s="22">
        <f>SUM(H309)</f>
        <v>9708.8</v>
      </c>
      <c r="I308" s="22">
        <f>SUM(H308/G314*100)</f>
        <v>51.98710603253477</v>
      </c>
    </row>
    <row r="309" spans="1:9" ht="15" hidden="1">
      <c r="A309" s="101" t="s">
        <v>117</v>
      </c>
      <c r="B309" s="53"/>
      <c r="C309" s="54" t="s">
        <v>380</v>
      </c>
      <c r="D309" s="54" t="s">
        <v>120</v>
      </c>
      <c r="E309" s="116" t="s">
        <v>118</v>
      </c>
      <c r="F309" s="130"/>
      <c r="G309" s="312">
        <f>SUM(G310)</f>
        <v>0</v>
      </c>
      <c r="H309" s="22">
        <f>SUM(H310)</f>
        <v>9708.8</v>
      </c>
      <c r="I309" s="22">
        <f>SUM(H309/G315*100)</f>
        <v>51.98710603253477</v>
      </c>
    </row>
    <row r="310" spans="1:9" ht="28.5" hidden="1">
      <c r="A310" s="104" t="s">
        <v>135</v>
      </c>
      <c r="B310" s="45"/>
      <c r="C310" s="54" t="s">
        <v>380</v>
      </c>
      <c r="D310" s="54" t="s">
        <v>120</v>
      </c>
      <c r="E310" s="116" t="s">
        <v>44</v>
      </c>
      <c r="F310" s="130"/>
      <c r="G310" s="312">
        <f>SUM(G311)</f>
        <v>0</v>
      </c>
      <c r="H310" s="22">
        <f>SUM(H311+H313)</f>
        <v>9708.8</v>
      </c>
      <c r="I310" s="22">
        <f>SUM(H310/G316*100)</f>
        <v>361.3786942604034</v>
      </c>
    </row>
    <row r="311" spans="1:9" s="89" customFormat="1" ht="15" hidden="1">
      <c r="A311" s="104" t="s">
        <v>123</v>
      </c>
      <c r="B311" s="45"/>
      <c r="C311" s="54" t="s">
        <v>380</v>
      </c>
      <c r="D311" s="54" t="s">
        <v>120</v>
      </c>
      <c r="E311" s="116" t="s">
        <v>44</v>
      </c>
      <c r="F311" s="130" t="s">
        <v>124</v>
      </c>
      <c r="G311" s="312"/>
      <c r="H311" s="22">
        <v>122.5</v>
      </c>
      <c r="I311" s="22">
        <f>SUM(H311/G317*100)</f>
        <v>4.572943108854711</v>
      </c>
    </row>
    <row r="312" spans="1:9" s="89" customFormat="1" ht="21.75" customHeight="1">
      <c r="A312" s="99" t="s">
        <v>245</v>
      </c>
      <c r="B312" s="132" t="s">
        <v>246</v>
      </c>
      <c r="C312" s="121"/>
      <c r="D312" s="121"/>
      <c r="E312" s="121"/>
      <c r="F312" s="163"/>
      <c r="G312" s="314">
        <f>SUM(G313+G347+G351)+G336+G340</f>
        <v>55374.9</v>
      </c>
      <c r="H312" s="22"/>
      <c r="I312" s="22"/>
    </row>
    <row r="313" spans="1:9" s="89" customFormat="1" ht="15">
      <c r="A313" s="96" t="s">
        <v>418</v>
      </c>
      <c r="B313" s="45"/>
      <c r="C313" s="54" t="s">
        <v>419</v>
      </c>
      <c r="D313" s="54"/>
      <c r="E313" s="54"/>
      <c r="F313" s="129"/>
      <c r="G313" s="312">
        <f>SUM(G314+G321+G324)</f>
        <v>25374.9</v>
      </c>
      <c r="H313" s="22">
        <f>SUM(H314)</f>
        <v>9586.3</v>
      </c>
      <c r="I313" s="22">
        <f aca="true" t="shared" si="6" ref="I313:I322">SUM(H313/G319*100)</f>
        <v>59.956344441108776</v>
      </c>
    </row>
    <row r="314" spans="1:9" ht="28.5">
      <c r="A314" s="96" t="s">
        <v>351</v>
      </c>
      <c r="B314" s="45"/>
      <c r="C314" s="54" t="s">
        <v>419</v>
      </c>
      <c r="D314" s="54" t="s">
        <v>352</v>
      </c>
      <c r="E314" s="54"/>
      <c r="F314" s="129"/>
      <c r="G314" s="312">
        <f>SUM(G315)</f>
        <v>18675.4</v>
      </c>
      <c r="H314" s="22">
        <v>9586.3</v>
      </c>
      <c r="I314" s="22">
        <f t="shared" si="6"/>
        <v>59.956344441108776</v>
      </c>
    </row>
    <row r="315" spans="1:9" ht="28.5">
      <c r="A315" s="96" t="s">
        <v>88</v>
      </c>
      <c r="B315" s="45"/>
      <c r="C315" s="54" t="s">
        <v>419</v>
      </c>
      <c r="D315" s="54" t="s">
        <v>352</v>
      </c>
      <c r="E315" s="54" t="s">
        <v>89</v>
      </c>
      <c r="F315" s="129"/>
      <c r="G315" s="312">
        <f>SUM(G316)+G320</f>
        <v>18675.4</v>
      </c>
      <c r="H315" s="22" t="e">
        <f>SUM(H316)</f>
        <v>#REF!</v>
      </c>
      <c r="I315" s="22" t="e">
        <f t="shared" si="6"/>
        <v>#REF!</v>
      </c>
    </row>
    <row r="316" spans="1:9" ht="15">
      <c r="A316" s="96" t="s">
        <v>96</v>
      </c>
      <c r="B316" s="45"/>
      <c r="C316" s="54" t="s">
        <v>419</v>
      </c>
      <c r="D316" s="54" t="s">
        <v>352</v>
      </c>
      <c r="E316" s="54" t="s">
        <v>98</v>
      </c>
      <c r="F316" s="129"/>
      <c r="G316" s="312">
        <f>SUM(G317+G318)</f>
        <v>2686.6000000000004</v>
      </c>
      <c r="H316" s="22" t="e">
        <f>SUM(#REF!)</f>
        <v>#REF!</v>
      </c>
      <c r="I316" s="22" t="e">
        <f t="shared" si="6"/>
        <v>#REF!</v>
      </c>
    </row>
    <row r="317" spans="1:9" ht="28.5">
      <c r="A317" s="96" t="s">
        <v>453</v>
      </c>
      <c r="B317" s="45"/>
      <c r="C317" s="54" t="s">
        <v>97</v>
      </c>
      <c r="D317" s="54" t="s">
        <v>352</v>
      </c>
      <c r="E317" s="54" t="s">
        <v>98</v>
      </c>
      <c r="F317" s="131" t="s">
        <v>454</v>
      </c>
      <c r="G317" s="312">
        <f>2842.9-164.1</f>
        <v>2678.8</v>
      </c>
      <c r="H317" s="22" t="e">
        <f>SUM(#REF!)</f>
        <v>#REF!</v>
      </c>
      <c r="I317" s="22" t="e">
        <f t="shared" si="6"/>
        <v>#REF!</v>
      </c>
    </row>
    <row r="318" spans="1:9" s="75" customFormat="1" ht="15">
      <c r="A318" s="96" t="s">
        <v>458</v>
      </c>
      <c r="B318" s="45"/>
      <c r="C318" s="54" t="s">
        <v>419</v>
      </c>
      <c r="D318" s="54" t="s">
        <v>352</v>
      </c>
      <c r="E318" s="54" t="s">
        <v>98</v>
      </c>
      <c r="F318" s="129" t="s">
        <v>109</v>
      </c>
      <c r="G318" s="313">
        <v>7.8</v>
      </c>
      <c r="H318" s="66" t="e">
        <f>SUM(H319+#REF!+H413+#REF!)</f>
        <v>#REF!</v>
      </c>
      <c r="I318" s="22" t="e">
        <f t="shared" si="6"/>
        <v>#REF!</v>
      </c>
    </row>
    <row r="319" spans="1:9" s="86" customFormat="1" ht="28.5">
      <c r="A319" s="96" t="s">
        <v>353</v>
      </c>
      <c r="B319" s="45"/>
      <c r="C319" s="54" t="s">
        <v>97</v>
      </c>
      <c r="D319" s="54" t="s">
        <v>352</v>
      </c>
      <c r="E319" s="54" t="s">
        <v>354</v>
      </c>
      <c r="F319" s="129"/>
      <c r="G319" s="312">
        <f>SUM(G320)</f>
        <v>15988.8</v>
      </c>
      <c r="H319" s="22" t="e">
        <f>SUM(H322+H348)+H320</f>
        <v>#REF!</v>
      </c>
      <c r="I319" s="22" t="e">
        <f t="shared" si="6"/>
        <v>#REF!</v>
      </c>
    </row>
    <row r="320" spans="1:9" ht="28.5">
      <c r="A320" s="96" t="s">
        <v>453</v>
      </c>
      <c r="B320" s="45"/>
      <c r="C320" s="54" t="s">
        <v>97</v>
      </c>
      <c r="D320" s="54" t="s">
        <v>352</v>
      </c>
      <c r="E320" s="54" t="s">
        <v>354</v>
      </c>
      <c r="F320" s="131" t="s">
        <v>454</v>
      </c>
      <c r="G320" s="312">
        <v>15988.8</v>
      </c>
      <c r="H320" s="22">
        <f>SUM(H321)</f>
        <v>5048</v>
      </c>
      <c r="I320" s="22">
        <f t="shared" si="6"/>
        <v>2891.179839633448</v>
      </c>
    </row>
    <row r="321" spans="1:9" ht="15">
      <c r="A321" s="96" t="s">
        <v>368</v>
      </c>
      <c r="B321" s="45"/>
      <c r="C321" s="54" t="s">
        <v>419</v>
      </c>
      <c r="D321" s="54" t="s">
        <v>380</v>
      </c>
      <c r="E321" s="54"/>
      <c r="F321" s="129"/>
      <c r="G321" s="312">
        <f>SUM(G322)</f>
        <v>1213.3999999999996</v>
      </c>
      <c r="H321" s="22">
        <v>5048</v>
      </c>
      <c r="I321" s="22">
        <f t="shared" si="6"/>
        <v>2933.1783846600815</v>
      </c>
    </row>
    <row r="322" spans="1:9" ht="15">
      <c r="A322" s="96" t="s">
        <v>348</v>
      </c>
      <c r="B322" s="45"/>
      <c r="C322" s="54" t="s">
        <v>419</v>
      </c>
      <c r="D322" s="54" t="s">
        <v>380</v>
      </c>
      <c r="E322" s="54" t="s">
        <v>465</v>
      </c>
      <c r="F322" s="129"/>
      <c r="G322" s="312">
        <f>SUM(G323)</f>
        <v>1213.3999999999996</v>
      </c>
      <c r="H322" s="22" t="e">
        <f>SUM(H323)+#REF!+H347</f>
        <v>#REF!</v>
      </c>
      <c r="I322" s="22" t="e">
        <f t="shared" si="6"/>
        <v>#REF!</v>
      </c>
    </row>
    <row r="323" spans="1:9" ht="15">
      <c r="A323" s="96" t="s">
        <v>459</v>
      </c>
      <c r="B323" s="45"/>
      <c r="C323" s="54" t="s">
        <v>419</v>
      </c>
      <c r="D323" s="54" t="s">
        <v>380</v>
      </c>
      <c r="E323" s="54" t="s">
        <v>465</v>
      </c>
      <c r="F323" s="129" t="s">
        <v>163</v>
      </c>
      <c r="G323" s="312">
        <f>2112.2-187.4-711.4</f>
        <v>1213.3999999999996</v>
      </c>
      <c r="H323" s="22"/>
      <c r="I323" s="22"/>
    </row>
    <row r="324" spans="1:9" ht="15">
      <c r="A324" s="96" t="s">
        <v>101</v>
      </c>
      <c r="B324" s="45"/>
      <c r="C324" s="54" t="s">
        <v>419</v>
      </c>
      <c r="D324" s="54" t="s">
        <v>222</v>
      </c>
      <c r="E324" s="54"/>
      <c r="F324" s="130"/>
      <c r="G324" s="312">
        <f>SUM(G325)</f>
        <v>5486.1</v>
      </c>
      <c r="H324" s="22">
        <f>SUM(H325)</f>
        <v>0</v>
      </c>
      <c r="I324" s="22">
        <f>SUM(H324/G330*100)</f>
        <v>0</v>
      </c>
    </row>
    <row r="325" spans="1:9" ht="28.5">
      <c r="A325" s="96" t="s">
        <v>455</v>
      </c>
      <c r="B325" s="45"/>
      <c r="C325" s="54" t="s">
        <v>419</v>
      </c>
      <c r="D325" s="54" t="s">
        <v>222</v>
      </c>
      <c r="E325" s="54" t="s">
        <v>456</v>
      </c>
      <c r="F325" s="130"/>
      <c r="G325" s="313">
        <f>SUM(G326+G329+G331)</f>
        <v>5486.1</v>
      </c>
      <c r="H325" s="22"/>
      <c r="I325" s="22"/>
    </row>
    <row r="326" spans="1:9" ht="15">
      <c r="A326" s="96" t="s">
        <v>444</v>
      </c>
      <c r="B326" s="45"/>
      <c r="C326" s="54" t="s">
        <v>419</v>
      </c>
      <c r="D326" s="54" t="s">
        <v>222</v>
      </c>
      <c r="E326" s="54" t="s">
        <v>457</v>
      </c>
      <c r="F326" s="129"/>
      <c r="G326" s="313">
        <f>SUM(G327:G328)</f>
        <v>174.6</v>
      </c>
      <c r="H326" s="22" t="e">
        <f>SUM(H327+#REF!)</f>
        <v>#REF!</v>
      </c>
      <c r="I326" s="22" t="e">
        <f>SUM(H326/G332*100)</f>
        <v>#REF!</v>
      </c>
    </row>
    <row r="327" spans="1:9" ht="15">
      <c r="A327" s="96" t="s">
        <v>458</v>
      </c>
      <c r="B327" s="45"/>
      <c r="C327" s="54" t="s">
        <v>419</v>
      </c>
      <c r="D327" s="54" t="s">
        <v>222</v>
      </c>
      <c r="E327" s="54" t="s">
        <v>457</v>
      </c>
      <c r="F327" s="129" t="s">
        <v>109</v>
      </c>
      <c r="G327" s="313">
        <v>172.1</v>
      </c>
      <c r="H327" s="22" t="e">
        <f>SUM(#REF!+H332+#REF!)</f>
        <v>#REF!</v>
      </c>
      <c r="I327" s="22" t="e">
        <f>SUM(H327/G333*100)</f>
        <v>#REF!</v>
      </c>
    </row>
    <row r="328" spans="1:9" ht="15">
      <c r="A328" s="96" t="s">
        <v>459</v>
      </c>
      <c r="B328" s="45"/>
      <c r="C328" s="54" t="s">
        <v>419</v>
      </c>
      <c r="D328" s="54" t="s">
        <v>222</v>
      </c>
      <c r="E328" s="54" t="s">
        <v>457</v>
      </c>
      <c r="F328" s="129" t="s">
        <v>163</v>
      </c>
      <c r="G328" s="313">
        <v>2.5</v>
      </c>
      <c r="H328" s="22"/>
      <c r="I328" s="22"/>
    </row>
    <row r="329" spans="1:9" s="90" customFormat="1" ht="28.5">
      <c r="A329" s="96" t="s">
        <v>445</v>
      </c>
      <c r="B329" s="45"/>
      <c r="C329" s="54" t="s">
        <v>419</v>
      </c>
      <c r="D329" s="54" t="s">
        <v>222</v>
      </c>
      <c r="E329" s="54" t="s">
        <v>460</v>
      </c>
      <c r="F329" s="129"/>
      <c r="G329" s="313">
        <f>SUM(G330)</f>
        <v>200</v>
      </c>
      <c r="H329" s="22" t="e">
        <f>SUM(#REF!+H332+#REF!+#REF!+#REF!)</f>
        <v>#REF!</v>
      </c>
      <c r="I329" s="22" t="e">
        <f>SUM(H329/G347*100)</f>
        <v>#REF!</v>
      </c>
    </row>
    <row r="330" spans="1:9" ht="15">
      <c r="A330" s="96" t="s">
        <v>458</v>
      </c>
      <c r="B330" s="45"/>
      <c r="C330" s="54" t="s">
        <v>419</v>
      </c>
      <c r="D330" s="54" t="s">
        <v>222</v>
      </c>
      <c r="E330" s="54" t="s">
        <v>460</v>
      </c>
      <c r="F330" s="129" t="s">
        <v>109</v>
      </c>
      <c r="G330" s="313">
        <v>200</v>
      </c>
      <c r="H330" s="22" t="e">
        <f>SUM(#REF!)</f>
        <v>#REF!</v>
      </c>
      <c r="I330" s="22" t="e">
        <f aca="true" t="shared" si="7" ref="I330:I335">SUM(H330/G349*100)</f>
        <v>#REF!</v>
      </c>
    </row>
    <row r="331" spans="1:9" ht="28.5">
      <c r="A331" s="97" t="s">
        <v>461</v>
      </c>
      <c r="B331" s="45"/>
      <c r="C331" s="54" t="s">
        <v>419</v>
      </c>
      <c r="D331" s="54" t="s">
        <v>222</v>
      </c>
      <c r="E331" s="54" t="s">
        <v>462</v>
      </c>
      <c r="F331" s="131"/>
      <c r="G331" s="313">
        <f>SUM(G332+G333+G335)</f>
        <v>5111.5</v>
      </c>
      <c r="H331" s="22"/>
      <c r="I331" s="22" t="e">
        <f t="shared" si="7"/>
        <v>#DIV/0!</v>
      </c>
    </row>
    <row r="332" spans="1:9" ht="15">
      <c r="A332" s="96" t="s">
        <v>458</v>
      </c>
      <c r="B332" s="45"/>
      <c r="C332" s="54" t="s">
        <v>419</v>
      </c>
      <c r="D332" s="54" t="s">
        <v>222</v>
      </c>
      <c r="E332" s="54" t="s">
        <v>462</v>
      </c>
      <c r="F332" s="131" t="s">
        <v>109</v>
      </c>
      <c r="G332" s="312">
        <v>5088.7</v>
      </c>
      <c r="H332" s="22">
        <f>SUM(H333)</f>
        <v>0</v>
      </c>
      <c r="I332" s="22">
        <f t="shared" si="7"/>
        <v>0</v>
      </c>
    </row>
    <row r="333" spans="1:9" ht="15">
      <c r="A333" s="96" t="s">
        <v>459</v>
      </c>
      <c r="B333" s="45"/>
      <c r="C333" s="54" t="s">
        <v>419</v>
      </c>
      <c r="D333" s="54" t="s">
        <v>222</v>
      </c>
      <c r="E333" s="54" t="s">
        <v>462</v>
      </c>
      <c r="F333" s="131" t="s">
        <v>163</v>
      </c>
      <c r="G333" s="312">
        <f>22.8</f>
        <v>22.8</v>
      </c>
      <c r="H333" s="22">
        <f>SUM(H334)</f>
        <v>0</v>
      </c>
      <c r="I333" s="22">
        <f t="shared" si="7"/>
        <v>0</v>
      </c>
    </row>
    <row r="334" spans="1:9" ht="15" hidden="1">
      <c r="A334" s="97" t="s">
        <v>469</v>
      </c>
      <c r="B334" s="45"/>
      <c r="C334" s="54" t="s">
        <v>419</v>
      </c>
      <c r="D334" s="54" t="s">
        <v>222</v>
      </c>
      <c r="E334" s="54" t="s">
        <v>470</v>
      </c>
      <c r="F334" s="129"/>
      <c r="G334" s="312">
        <f>SUM(G335)</f>
        <v>0</v>
      </c>
      <c r="H334" s="22">
        <f>SUM(H335)</f>
        <v>0</v>
      </c>
      <c r="I334" s="22">
        <f t="shared" si="7"/>
        <v>0</v>
      </c>
    </row>
    <row r="335" spans="1:9" ht="15" hidden="1">
      <c r="A335" s="96" t="s">
        <v>459</v>
      </c>
      <c r="B335" s="45"/>
      <c r="C335" s="54" t="s">
        <v>419</v>
      </c>
      <c r="D335" s="54" t="s">
        <v>222</v>
      </c>
      <c r="E335" s="54" t="s">
        <v>470</v>
      </c>
      <c r="F335" s="129" t="s">
        <v>163</v>
      </c>
      <c r="G335" s="312"/>
      <c r="H335" s="22">
        <f>SUM(H347)</f>
        <v>0</v>
      </c>
      <c r="I335" s="22">
        <f t="shared" si="7"/>
        <v>0</v>
      </c>
    </row>
    <row r="336" spans="1:9" ht="15" hidden="1">
      <c r="A336" s="96" t="s">
        <v>110</v>
      </c>
      <c r="B336" s="45"/>
      <c r="C336" s="117" t="s">
        <v>111</v>
      </c>
      <c r="D336" s="54"/>
      <c r="E336" s="54"/>
      <c r="F336" s="129"/>
      <c r="G336" s="312">
        <f>SUM(G337)</f>
        <v>0</v>
      </c>
      <c r="H336" s="22">
        <v>50612.1</v>
      </c>
      <c r="I336" s="22" t="e">
        <f>SUM(H336/#REF!*100)</f>
        <v>#REF!</v>
      </c>
    </row>
    <row r="337" spans="1:9" ht="15" hidden="1">
      <c r="A337" s="100" t="s">
        <v>379</v>
      </c>
      <c r="B337" s="166"/>
      <c r="C337" s="117" t="s">
        <v>111</v>
      </c>
      <c r="D337" s="117" t="s">
        <v>369</v>
      </c>
      <c r="E337" s="54"/>
      <c r="F337" s="130"/>
      <c r="G337" s="312">
        <f>SUM(G338)</f>
        <v>0</v>
      </c>
      <c r="H337" s="22">
        <v>5387.8</v>
      </c>
      <c r="I337" s="22" t="e">
        <f>SUM(H337/#REF!*100)</f>
        <v>#REF!</v>
      </c>
    </row>
    <row r="338" spans="1:9" ht="15" hidden="1">
      <c r="A338" s="97" t="s">
        <v>469</v>
      </c>
      <c r="B338" s="45"/>
      <c r="C338" s="117" t="s">
        <v>111</v>
      </c>
      <c r="D338" s="117" t="s">
        <v>369</v>
      </c>
      <c r="E338" s="54" t="s">
        <v>470</v>
      </c>
      <c r="F338" s="129"/>
      <c r="G338" s="312">
        <f>SUM(G339)</f>
        <v>0</v>
      </c>
      <c r="H338" s="22"/>
      <c r="I338" s="22"/>
    </row>
    <row r="339" spans="1:9" ht="15" hidden="1">
      <c r="A339" s="96" t="s">
        <v>459</v>
      </c>
      <c r="B339" s="45"/>
      <c r="C339" s="117" t="s">
        <v>111</v>
      </c>
      <c r="D339" s="117" t="s">
        <v>369</v>
      </c>
      <c r="E339" s="54" t="s">
        <v>470</v>
      </c>
      <c r="F339" s="129" t="s">
        <v>163</v>
      </c>
      <c r="G339" s="312"/>
      <c r="H339" s="22"/>
      <c r="I339" s="22"/>
    </row>
    <row r="340" spans="1:9" ht="15" hidden="1">
      <c r="A340" s="100" t="s">
        <v>385</v>
      </c>
      <c r="B340" s="53"/>
      <c r="C340" s="116" t="s">
        <v>120</v>
      </c>
      <c r="D340" s="116"/>
      <c r="E340" s="116"/>
      <c r="F340" s="131"/>
      <c r="G340" s="319">
        <f>SUM(G341)+G344</f>
        <v>0</v>
      </c>
      <c r="H340" s="22"/>
      <c r="I340" s="22"/>
    </row>
    <row r="341" spans="1:9" ht="15" hidden="1">
      <c r="A341" s="100" t="s">
        <v>45</v>
      </c>
      <c r="B341" s="166"/>
      <c r="C341" s="117" t="s">
        <v>120</v>
      </c>
      <c r="D341" s="117" t="s">
        <v>421</v>
      </c>
      <c r="E341" s="117"/>
      <c r="F341" s="134"/>
      <c r="G341" s="315">
        <f>G342</f>
        <v>0</v>
      </c>
      <c r="H341" s="22">
        <v>9483.6</v>
      </c>
      <c r="I341" s="22" t="e">
        <f>SUM(H341/G349*100)</f>
        <v>#DIV/0!</v>
      </c>
    </row>
    <row r="342" spans="1:9" ht="15" hidden="1">
      <c r="A342" s="97" t="s">
        <v>469</v>
      </c>
      <c r="B342" s="45"/>
      <c r="C342" s="117" t="s">
        <v>120</v>
      </c>
      <c r="D342" s="117" t="s">
        <v>421</v>
      </c>
      <c r="E342" s="54" t="s">
        <v>470</v>
      </c>
      <c r="F342" s="129"/>
      <c r="G342" s="315">
        <f>G343</f>
        <v>0</v>
      </c>
      <c r="H342" s="22"/>
      <c r="I342" s="22"/>
    </row>
    <row r="343" spans="1:9" ht="15" hidden="1">
      <c r="A343" s="96" t="s">
        <v>459</v>
      </c>
      <c r="B343" s="45"/>
      <c r="C343" s="117" t="s">
        <v>120</v>
      </c>
      <c r="D343" s="117" t="s">
        <v>421</v>
      </c>
      <c r="E343" s="54" t="s">
        <v>470</v>
      </c>
      <c r="F343" s="129" t="s">
        <v>163</v>
      </c>
      <c r="G343" s="312"/>
      <c r="H343" s="22"/>
      <c r="I343" s="22"/>
    </row>
    <row r="344" spans="1:9" ht="15" hidden="1">
      <c r="A344" s="100" t="s">
        <v>53</v>
      </c>
      <c r="B344" s="170"/>
      <c r="C344" s="117" t="s">
        <v>120</v>
      </c>
      <c r="D344" s="117" t="s">
        <v>120</v>
      </c>
      <c r="E344" s="173"/>
      <c r="F344" s="174"/>
      <c r="G344" s="315">
        <f>G345</f>
        <v>0</v>
      </c>
      <c r="H344" s="22"/>
      <c r="I344" s="22"/>
    </row>
    <row r="345" spans="1:9" ht="15" hidden="1">
      <c r="A345" s="97" t="s">
        <v>469</v>
      </c>
      <c r="B345" s="45"/>
      <c r="C345" s="117" t="s">
        <v>120</v>
      </c>
      <c r="D345" s="117" t="s">
        <v>120</v>
      </c>
      <c r="E345" s="54" t="s">
        <v>470</v>
      </c>
      <c r="F345" s="129"/>
      <c r="G345" s="315">
        <f>G346</f>
        <v>0</v>
      </c>
      <c r="H345" s="22"/>
      <c r="I345" s="22"/>
    </row>
    <row r="346" spans="1:9" ht="15" hidden="1">
      <c r="A346" s="96" t="s">
        <v>459</v>
      </c>
      <c r="B346" s="45"/>
      <c r="C346" s="117" t="s">
        <v>120</v>
      </c>
      <c r="D346" s="117" t="s">
        <v>120</v>
      </c>
      <c r="E346" s="54" t="s">
        <v>470</v>
      </c>
      <c r="F346" s="129" t="s">
        <v>163</v>
      </c>
      <c r="G346" s="312"/>
      <c r="H346" s="22"/>
      <c r="I346" s="22"/>
    </row>
    <row r="347" spans="1:9" ht="15" hidden="1">
      <c r="A347" s="96" t="s">
        <v>174</v>
      </c>
      <c r="B347" s="45"/>
      <c r="C347" s="54" t="s">
        <v>5</v>
      </c>
      <c r="D347" s="54" t="s">
        <v>175</v>
      </c>
      <c r="E347" s="54"/>
      <c r="F347" s="129"/>
      <c r="G347" s="312">
        <f>SUM(G348)</f>
        <v>0</v>
      </c>
      <c r="H347" s="22">
        <f>SUM(H348)</f>
        <v>0</v>
      </c>
      <c r="I347" s="22">
        <f>SUM(H347/G355*100)</f>
        <v>0</v>
      </c>
    </row>
    <row r="348" spans="1:9" ht="15" hidden="1">
      <c r="A348" s="96" t="s">
        <v>155</v>
      </c>
      <c r="B348" s="45"/>
      <c r="C348" s="54" t="s">
        <v>5</v>
      </c>
      <c r="D348" s="54" t="s">
        <v>352</v>
      </c>
      <c r="E348" s="54"/>
      <c r="F348" s="129"/>
      <c r="G348" s="312">
        <f>SUM(G349)</f>
        <v>0</v>
      </c>
      <c r="H348" s="22"/>
      <c r="I348" s="22" t="e">
        <f>SUM(H348/#REF!*100)</f>
        <v>#REF!</v>
      </c>
    </row>
    <row r="349" spans="1:9" ht="28.5" hidden="1">
      <c r="A349" s="97" t="s">
        <v>578</v>
      </c>
      <c r="B349" s="45"/>
      <c r="C349" s="54" t="s">
        <v>5</v>
      </c>
      <c r="D349" s="54" t="s">
        <v>352</v>
      </c>
      <c r="E349" s="54" t="s">
        <v>577</v>
      </c>
      <c r="F349" s="129"/>
      <c r="G349" s="312">
        <f>SUM(G350)</f>
        <v>0</v>
      </c>
      <c r="H349" s="64" t="e">
        <f>SUM(#REF!+#REF!)+#REF!+#REF!</f>
        <v>#REF!</v>
      </c>
      <c r="I349" s="64" t="e">
        <f>SUM(H349/G356*100)</f>
        <v>#REF!</v>
      </c>
    </row>
    <row r="350" spans="1:9" ht="15" hidden="1">
      <c r="A350" s="96" t="s">
        <v>459</v>
      </c>
      <c r="B350" s="45"/>
      <c r="C350" s="54" t="s">
        <v>5</v>
      </c>
      <c r="D350" s="54" t="s">
        <v>352</v>
      </c>
      <c r="E350" s="54" t="s">
        <v>577</v>
      </c>
      <c r="F350" s="129" t="s">
        <v>163</v>
      </c>
      <c r="G350" s="312"/>
      <c r="H350" s="22" t="e">
        <f>SUM(H351)</f>
        <v>#REF!</v>
      </c>
      <c r="I350" s="22" t="e">
        <f>SUM(H350/#REF!*100)</f>
        <v>#REF!</v>
      </c>
    </row>
    <row r="351" spans="1:9" ht="15">
      <c r="A351" s="96" t="s">
        <v>363</v>
      </c>
      <c r="B351" s="45"/>
      <c r="C351" s="54" t="s">
        <v>222</v>
      </c>
      <c r="D351" s="54" t="s">
        <v>175</v>
      </c>
      <c r="E351" s="54"/>
      <c r="F351" s="129"/>
      <c r="G351" s="312">
        <f>SUM(G352)</f>
        <v>30000</v>
      </c>
      <c r="H351" s="22" t="e">
        <f>SUM(H352+H354)</f>
        <v>#REF!</v>
      </c>
      <c r="I351" s="22" t="e">
        <f>SUM(H351/#REF!*100)</f>
        <v>#REF!</v>
      </c>
    </row>
    <row r="352" spans="1:9" ht="15">
      <c r="A352" s="96" t="s">
        <v>223</v>
      </c>
      <c r="B352" s="45"/>
      <c r="C352" s="54" t="s">
        <v>222</v>
      </c>
      <c r="D352" s="54" t="s">
        <v>419</v>
      </c>
      <c r="E352" s="54"/>
      <c r="F352" s="129"/>
      <c r="G352" s="312">
        <f>SUM(G353)</f>
        <v>30000</v>
      </c>
      <c r="H352" s="22">
        <f>SUM(H353)</f>
        <v>8068.7</v>
      </c>
      <c r="I352" s="22" t="e">
        <f>SUM(H352/#REF!*100)</f>
        <v>#REF!</v>
      </c>
    </row>
    <row r="353" spans="1:9" ht="15">
      <c r="A353" s="96" t="s">
        <v>364</v>
      </c>
      <c r="B353" s="45"/>
      <c r="C353" s="54" t="s">
        <v>222</v>
      </c>
      <c r="D353" s="54" t="s">
        <v>419</v>
      </c>
      <c r="E353" s="54" t="s">
        <v>365</v>
      </c>
      <c r="F353" s="131"/>
      <c r="G353" s="312">
        <f>SUM(G355)</f>
        <v>30000</v>
      </c>
      <c r="H353" s="22">
        <v>8068.7</v>
      </c>
      <c r="I353" s="22" t="e">
        <f>SUM(H353/#REF!*100)</f>
        <v>#REF!</v>
      </c>
    </row>
    <row r="354" spans="1:9" ht="15">
      <c r="A354" s="96" t="s">
        <v>366</v>
      </c>
      <c r="B354" s="45"/>
      <c r="C354" s="54" t="s">
        <v>222</v>
      </c>
      <c r="D354" s="54" t="s">
        <v>419</v>
      </c>
      <c r="E354" s="54" t="s">
        <v>367</v>
      </c>
      <c r="F354" s="131"/>
      <c r="G354" s="312">
        <f>SUM(G355)</f>
        <v>30000</v>
      </c>
      <c r="H354" s="22" t="e">
        <f>SUM(H355)+#REF!+#REF!</f>
        <v>#REF!</v>
      </c>
      <c r="I354" s="22" t="e">
        <f>SUM(H354/#REF!*100)</f>
        <v>#REF!</v>
      </c>
    </row>
    <row r="355" spans="1:9" ht="15">
      <c r="A355" s="96" t="s">
        <v>466</v>
      </c>
      <c r="B355" s="45"/>
      <c r="C355" s="54" t="s">
        <v>222</v>
      </c>
      <c r="D355" s="54" t="s">
        <v>419</v>
      </c>
      <c r="E355" s="54" t="s">
        <v>367</v>
      </c>
      <c r="F355" s="131" t="s">
        <v>162</v>
      </c>
      <c r="G355" s="312">
        <v>30000</v>
      </c>
      <c r="H355" s="22" t="e">
        <f>SUM(H356+#REF!)</f>
        <v>#REF!</v>
      </c>
      <c r="I355" s="22" t="e">
        <f>SUM(H355/#REF!*100)</f>
        <v>#REF!</v>
      </c>
    </row>
    <row r="356" spans="1:9" ht="30">
      <c r="A356" s="99" t="s">
        <v>247</v>
      </c>
      <c r="B356" s="132" t="s">
        <v>248</v>
      </c>
      <c r="C356" s="121"/>
      <c r="D356" s="121"/>
      <c r="E356" s="121"/>
      <c r="F356" s="163"/>
      <c r="G356" s="314">
        <f>SUM(G357+G366+G398)</f>
        <v>953459.0000000001</v>
      </c>
      <c r="H356" s="22" t="e">
        <f>SUM(H357:H357+#REF!+#REF!+#REF!)+#REF!</f>
        <v>#REF!</v>
      </c>
      <c r="I356" s="22" t="e">
        <f>SUM(H356/#REF!*100)</f>
        <v>#REF!</v>
      </c>
    </row>
    <row r="357" spans="1:9" ht="15">
      <c r="A357" s="96" t="s">
        <v>110</v>
      </c>
      <c r="B357" s="45"/>
      <c r="C357" s="117" t="s">
        <v>111</v>
      </c>
      <c r="D357" s="54"/>
      <c r="E357" s="54"/>
      <c r="F357" s="129"/>
      <c r="G357" s="312">
        <f>SUM(G361+G358)</f>
        <v>6715.8</v>
      </c>
      <c r="H357" s="22">
        <v>50612.1</v>
      </c>
      <c r="I357" s="22" t="e">
        <f>SUM(H357/#REF!*100)</f>
        <v>#REF!</v>
      </c>
    </row>
    <row r="358" spans="1:9" ht="15">
      <c r="A358" s="207" t="s">
        <v>112</v>
      </c>
      <c r="B358" s="226"/>
      <c r="C358" s="197" t="s">
        <v>111</v>
      </c>
      <c r="D358" s="197" t="s">
        <v>113</v>
      </c>
      <c r="E358" s="197"/>
      <c r="F358" s="230"/>
      <c r="G358" s="312">
        <f>SUM(G359)</f>
        <v>4100</v>
      </c>
      <c r="H358" s="22"/>
      <c r="I358" s="22"/>
    </row>
    <row r="359" spans="1:9" ht="15">
      <c r="A359" s="207" t="s">
        <v>6</v>
      </c>
      <c r="B359" s="226"/>
      <c r="C359" s="197" t="s">
        <v>111</v>
      </c>
      <c r="D359" s="197" t="s">
        <v>113</v>
      </c>
      <c r="E359" s="196" t="s">
        <v>613</v>
      </c>
      <c r="F359" s="221"/>
      <c r="G359" s="312">
        <f>SUM(G360)</f>
        <v>4100</v>
      </c>
      <c r="H359" s="22"/>
      <c r="I359" s="22"/>
    </row>
    <row r="360" spans="1:9" ht="15">
      <c r="A360" s="96" t="s">
        <v>459</v>
      </c>
      <c r="B360" s="45"/>
      <c r="C360" s="197" t="s">
        <v>111</v>
      </c>
      <c r="D360" s="197" t="s">
        <v>113</v>
      </c>
      <c r="E360" s="196" t="s">
        <v>613</v>
      </c>
      <c r="F360" s="221" t="s">
        <v>163</v>
      </c>
      <c r="G360" s="312">
        <v>4100</v>
      </c>
      <c r="H360" s="22"/>
      <c r="I360" s="22"/>
    </row>
    <row r="361" spans="1:9" ht="15">
      <c r="A361" s="100" t="s">
        <v>379</v>
      </c>
      <c r="B361" s="166"/>
      <c r="C361" s="117" t="s">
        <v>111</v>
      </c>
      <c r="D361" s="117" t="s">
        <v>369</v>
      </c>
      <c r="E361" s="54"/>
      <c r="F361" s="130"/>
      <c r="G361" s="312">
        <f>SUM(G362)</f>
        <v>2615.8</v>
      </c>
      <c r="H361" s="22">
        <v>5387.8</v>
      </c>
      <c r="I361" s="22" t="e">
        <f>SUM(H361/#REF!*100)</f>
        <v>#REF!</v>
      </c>
    </row>
    <row r="362" spans="1:9" ht="15">
      <c r="A362" s="100" t="s">
        <v>381</v>
      </c>
      <c r="B362" s="45"/>
      <c r="C362" s="117" t="s">
        <v>111</v>
      </c>
      <c r="D362" s="117" t="s">
        <v>369</v>
      </c>
      <c r="E362" s="116" t="s">
        <v>382</v>
      </c>
      <c r="F362" s="130"/>
      <c r="G362" s="312">
        <f>SUM(G363)</f>
        <v>2615.8</v>
      </c>
      <c r="H362" s="22" t="e">
        <f>SUM(H363)</f>
        <v>#REF!</v>
      </c>
      <c r="I362" s="22" t="e">
        <f>SUM(H362/#REF!*100)</f>
        <v>#REF!</v>
      </c>
    </row>
    <row r="363" spans="1:9" ht="15">
      <c r="A363" s="100" t="s">
        <v>11</v>
      </c>
      <c r="B363" s="166"/>
      <c r="C363" s="117" t="s">
        <v>111</v>
      </c>
      <c r="D363" s="117" t="s">
        <v>369</v>
      </c>
      <c r="E363" s="117" t="s">
        <v>575</v>
      </c>
      <c r="F363" s="134"/>
      <c r="G363" s="315">
        <f>SUM(G364)</f>
        <v>2615.8</v>
      </c>
      <c r="H363" s="22" t="e">
        <f>SUM(H364)</f>
        <v>#REF!</v>
      </c>
      <c r="I363" s="22" t="e">
        <f>SUM(H363/#REF!*100)</f>
        <v>#REF!</v>
      </c>
    </row>
    <row r="364" spans="1:9" ht="28.5">
      <c r="A364" s="100" t="s">
        <v>191</v>
      </c>
      <c r="B364" s="166"/>
      <c r="C364" s="117" t="s">
        <v>111</v>
      </c>
      <c r="D364" s="117" t="s">
        <v>369</v>
      </c>
      <c r="E364" s="117" t="s">
        <v>576</v>
      </c>
      <c r="F364" s="134"/>
      <c r="G364" s="315">
        <f>G365</f>
        <v>2615.8</v>
      </c>
      <c r="H364" s="22" t="e">
        <f>SUM(#REF!+#REF!)</f>
        <v>#REF!</v>
      </c>
      <c r="I364" s="22" t="e">
        <f>SUM(H364/#REF!*100)</f>
        <v>#REF!</v>
      </c>
    </row>
    <row r="365" spans="1:9" ht="28.5">
      <c r="A365" s="100" t="s">
        <v>482</v>
      </c>
      <c r="B365" s="166"/>
      <c r="C365" s="117" t="s">
        <v>111</v>
      </c>
      <c r="D365" s="117" t="s">
        <v>369</v>
      </c>
      <c r="E365" s="117" t="s">
        <v>576</v>
      </c>
      <c r="F365" s="134" t="s">
        <v>471</v>
      </c>
      <c r="G365" s="315">
        <v>2615.8</v>
      </c>
      <c r="H365" s="22">
        <v>1711.3</v>
      </c>
      <c r="I365" s="22" t="e">
        <f>SUM(H365/#REF!*100)</f>
        <v>#REF!</v>
      </c>
    </row>
    <row r="366" spans="1:9" ht="15">
      <c r="A366" s="96" t="s">
        <v>105</v>
      </c>
      <c r="B366" s="45"/>
      <c r="C366" s="54" t="s">
        <v>106</v>
      </c>
      <c r="D366" s="54"/>
      <c r="E366" s="54"/>
      <c r="F366" s="129"/>
      <c r="G366" s="312">
        <f>SUM(G367+G387)+G394</f>
        <v>64542.2</v>
      </c>
      <c r="H366" s="22">
        <v>53118.9</v>
      </c>
      <c r="I366" s="22" t="e">
        <f>SUM(H366/G373*100)</f>
        <v>#DIV/0!</v>
      </c>
    </row>
    <row r="367" spans="1:9" ht="15">
      <c r="A367" s="96" t="s">
        <v>321</v>
      </c>
      <c r="B367" s="45"/>
      <c r="C367" s="116" t="s">
        <v>106</v>
      </c>
      <c r="D367" s="116" t="s">
        <v>421</v>
      </c>
      <c r="E367" s="54"/>
      <c r="F367" s="129"/>
      <c r="G367" s="312">
        <f>SUM(G368+G371+G374+G384)</f>
        <v>64535.2</v>
      </c>
      <c r="H367" s="22">
        <v>27.5</v>
      </c>
      <c r="I367" s="22" t="e">
        <f>SUM(H367/G378*100)</f>
        <v>#DIV/0!</v>
      </c>
    </row>
    <row r="368" spans="1:9" ht="15" hidden="1">
      <c r="A368" s="96" t="s">
        <v>322</v>
      </c>
      <c r="B368" s="132"/>
      <c r="C368" s="116" t="s">
        <v>106</v>
      </c>
      <c r="D368" s="116" t="s">
        <v>421</v>
      </c>
      <c r="E368" s="116" t="s">
        <v>323</v>
      </c>
      <c r="F368" s="130"/>
      <c r="G368" s="312">
        <f>SUM(G369)</f>
        <v>0</v>
      </c>
      <c r="H368" s="22">
        <f>SUM(H369)</f>
        <v>25635</v>
      </c>
      <c r="I368" s="22">
        <f>SUM(H368/G379*100)</f>
        <v>39.72250802662733</v>
      </c>
    </row>
    <row r="369" spans="1:9" ht="28.5" hidden="1">
      <c r="A369" s="96" t="s">
        <v>46</v>
      </c>
      <c r="B369" s="132"/>
      <c r="C369" s="116" t="s">
        <v>106</v>
      </c>
      <c r="D369" s="116" t="s">
        <v>421</v>
      </c>
      <c r="E369" s="116" t="s">
        <v>324</v>
      </c>
      <c r="F369" s="130"/>
      <c r="G369" s="312">
        <f>SUM(G370)</f>
        <v>0</v>
      </c>
      <c r="H369" s="22">
        <v>25635</v>
      </c>
      <c r="I369" s="22">
        <f>SUM(H369/G380*100)</f>
        <v>58.96858459294769</v>
      </c>
    </row>
    <row r="370" spans="1:9" ht="15" hidden="1">
      <c r="A370" s="101" t="s">
        <v>47</v>
      </c>
      <c r="B370" s="139"/>
      <c r="C370" s="116" t="s">
        <v>106</v>
      </c>
      <c r="D370" s="116" t="s">
        <v>421</v>
      </c>
      <c r="E370" s="116" t="s">
        <v>324</v>
      </c>
      <c r="F370" s="131" t="s">
        <v>233</v>
      </c>
      <c r="G370" s="312"/>
      <c r="H370" s="22" t="e">
        <f>SUM(H371)</f>
        <v>#REF!</v>
      </c>
      <c r="I370" s="22" t="e">
        <f aca="true" t="shared" si="8" ref="I370:I377">SUM(H370/G384*100)</f>
        <v>#REF!</v>
      </c>
    </row>
    <row r="371" spans="1:9" ht="15" hidden="1">
      <c r="A371" s="96" t="s">
        <v>298</v>
      </c>
      <c r="B371" s="45"/>
      <c r="C371" s="116" t="s">
        <v>106</v>
      </c>
      <c r="D371" s="116" t="s">
        <v>421</v>
      </c>
      <c r="E371" s="116" t="s">
        <v>299</v>
      </c>
      <c r="F371" s="130"/>
      <c r="G371" s="312">
        <f>SUM(G372)</f>
        <v>0</v>
      </c>
      <c r="H371" s="22" t="e">
        <f>SUM(#REF!+H374+H376)</f>
        <v>#REF!</v>
      </c>
      <c r="I371" s="22" t="e">
        <f t="shared" si="8"/>
        <v>#REF!</v>
      </c>
    </row>
    <row r="372" spans="1:9" ht="28.5" hidden="1">
      <c r="A372" s="96" t="s">
        <v>46</v>
      </c>
      <c r="B372" s="132"/>
      <c r="C372" s="116" t="s">
        <v>106</v>
      </c>
      <c r="D372" s="116" t="s">
        <v>421</v>
      </c>
      <c r="E372" s="116" t="s">
        <v>300</v>
      </c>
      <c r="F372" s="130"/>
      <c r="G372" s="312">
        <f>SUM(G373)</f>
        <v>0</v>
      </c>
      <c r="H372" s="22">
        <v>25635</v>
      </c>
      <c r="I372" s="22" t="e">
        <f t="shared" si="8"/>
        <v>#DIV/0!</v>
      </c>
    </row>
    <row r="373" spans="1:9" ht="15" hidden="1">
      <c r="A373" s="101" t="s">
        <v>47</v>
      </c>
      <c r="B373" s="139"/>
      <c r="C373" s="116" t="s">
        <v>106</v>
      </c>
      <c r="D373" s="116" t="s">
        <v>421</v>
      </c>
      <c r="E373" s="116" t="s">
        <v>300</v>
      </c>
      <c r="F373" s="131" t="s">
        <v>233</v>
      </c>
      <c r="G373" s="312"/>
      <c r="H373" s="22">
        <f>SUM(H387+H374)</f>
        <v>0</v>
      </c>
      <c r="I373" s="22" t="e">
        <f t="shared" si="8"/>
        <v>#DIV/0!</v>
      </c>
    </row>
    <row r="374" spans="1:9" ht="15">
      <c r="A374" s="96" t="s">
        <v>301</v>
      </c>
      <c r="B374" s="45"/>
      <c r="C374" s="116" t="s">
        <v>106</v>
      </c>
      <c r="D374" s="116" t="s">
        <v>421</v>
      </c>
      <c r="E374" s="116" t="s">
        <v>302</v>
      </c>
      <c r="F374" s="129"/>
      <c r="G374" s="312">
        <f>SUM(G375)</f>
        <v>64535.2</v>
      </c>
      <c r="H374" s="22">
        <f>SUM(H375)</f>
        <v>0</v>
      </c>
      <c r="I374" s="22" t="e">
        <f t="shared" si="8"/>
        <v>#DIV/0!</v>
      </c>
    </row>
    <row r="375" spans="1:9" ht="28.5">
      <c r="A375" s="96" t="s">
        <v>46</v>
      </c>
      <c r="B375" s="45"/>
      <c r="C375" s="116" t="s">
        <v>106</v>
      </c>
      <c r="D375" s="116" t="s">
        <v>421</v>
      </c>
      <c r="E375" s="116" t="s">
        <v>303</v>
      </c>
      <c r="F375" s="129"/>
      <c r="G375" s="312">
        <f>SUM(G379+G377+G376)</f>
        <v>64535.2</v>
      </c>
      <c r="H375" s="22">
        <f>SUM(H376)</f>
        <v>0</v>
      </c>
      <c r="I375" s="22" t="e">
        <f t="shared" si="8"/>
        <v>#DIV/0!</v>
      </c>
    </row>
    <row r="376" spans="1:9" ht="15" hidden="1">
      <c r="A376" s="101" t="s">
        <v>47</v>
      </c>
      <c r="B376" s="45"/>
      <c r="C376" s="116" t="s">
        <v>106</v>
      </c>
      <c r="D376" s="116" t="s">
        <v>421</v>
      </c>
      <c r="E376" s="54" t="s">
        <v>303</v>
      </c>
      <c r="F376" s="130" t="s">
        <v>233</v>
      </c>
      <c r="G376" s="312"/>
      <c r="H376" s="22"/>
      <c r="I376" s="22" t="e">
        <f t="shared" si="8"/>
        <v>#DIV/0!</v>
      </c>
    </row>
    <row r="377" spans="1:9" ht="42.75" hidden="1">
      <c r="A377" s="101" t="s">
        <v>52</v>
      </c>
      <c r="B377" s="139"/>
      <c r="C377" s="116" t="s">
        <v>106</v>
      </c>
      <c r="D377" s="116" t="s">
        <v>421</v>
      </c>
      <c r="E377" s="116" t="s">
        <v>304</v>
      </c>
      <c r="F377" s="131"/>
      <c r="G377" s="312">
        <f>SUM(G378)</f>
        <v>0</v>
      </c>
      <c r="H377" s="22" t="e">
        <f>SUM(#REF!)</f>
        <v>#REF!</v>
      </c>
      <c r="I377" s="22" t="e">
        <f t="shared" si="8"/>
        <v>#REF!</v>
      </c>
    </row>
    <row r="378" spans="1:9" ht="15" hidden="1">
      <c r="A378" s="101" t="s">
        <v>47</v>
      </c>
      <c r="B378" s="139"/>
      <c r="C378" s="116" t="s">
        <v>106</v>
      </c>
      <c r="D378" s="116" t="s">
        <v>421</v>
      </c>
      <c r="E378" s="116" t="s">
        <v>304</v>
      </c>
      <c r="F378" s="131" t="s">
        <v>233</v>
      </c>
      <c r="G378" s="312"/>
      <c r="H378" s="22"/>
      <c r="I378" s="22"/>
    </row>
    <row r="379" spans="1:9" ht="57">
      <c r="A379" s="96" t="s">
        <v>426</v>
      </c>
      <c r="B379" s="45"/>
      <c r="C379" s="116" t="s">
        <v>106</v>
      </c>
      <c r="D379" s="116" t="s">
        <v>421</v>
      </c>
      <c r="E379" s="116" t="s">
        <v>307</v>
      </c>
      <c r="F379" s="129"/>
      <c r="G379" s="312">
        <f>SUM(G380:G383)</f>
        <v>64535.2</v>
      </c>
      <c r="H379" s="22"/>
      <c r="I379" s="22"/>
    </row>
    <row r="380" spans="1:9" ht="28.5">
      <c r="A380" s="96" t="s">
        <v>453</v>
      </c>
      <c r="B380" s="45"/>
      <c r="C380" s="116" t="s">
        <v>106</v>
      </c>
      <c r="D380" s="116" t="s">
        <v>421</v>
      </c>
      <c r="E380" s="116" t="s">
        <v>307</v>
      </c>
      <c r="F380" s="129" t="s">
        <v>454</v>
      </c>
      <c r="G380" s="312">
        <v>43472.3</v>
      </c>
      <c r="H380" s="22" t="e">
        <f>SUM(H387+H391+#REF!+#REF!+H384)</f>
        <v>#REF!</v>
      </c>
      <c r="I380" s="22" t="e">
        <f>SUM(H380/#REF!*100)</f>
        <v>#REF!</v>
      </c>
    </row>
    <row r="381" spans="1:9" ht="15">
      <c r="A381" s="96" t="s">
        <v>458</v>
      </c>
      <c r="B381" s="45"/>
      <c r="C381" s="116" t="s">
        <v>106</v>
      </c>
      <c r="D381" s="116" t="s">
        <v>421</v>
      </c>
      <c r="E381" s="116" t="s">
        <v>307</v>
      </c>
      <c r="F381" s="129" t="s">
        <v>109</v>
      </c>
      <c r="G381" s="312">
        <v>20358.7</v>
      </c>
      <c r="H381" s="22"/>
      <c r="I381" s="22"/>
    </row>
    <row r="382" spans="1:9" ht="15">
      <c r="A382" s="96" t="s">
        <v>463</v>
      </c>
      <c r="B382" s="45"/>
      <c r="C382" s="116" t="s">
        <v>106</v>
      </c>
      <c r="D382" s="116" t="s">
        <v>421</v>
      </c>
      <c r="E382" s="116" t="s">
        <v>307</v>
      </c>
      <c r="F382" s="129" t="s">
        <v>464</v>
      </c>
      <c r="G382" s="312">
        <v>27.2</v>
      </c>
      <c r="H382" s="22"/>
      <c r="I382" s="22"/>
    </row>
    <row r="383" spans="1:9" ht="14.25" customHeight="1">
      <c r="A383" s="96" t="s">
        <v>459</v>
      </c>
      <c r="B383" s="45"/>
      <c r="C383" s="116" t="s">
        <v>106</v>
      </c>
      <c r="D383" s="116" t="s">
        <v>421</v>
      </c>
      <c r="E383" s="116" t="s">
        <v>307</v>
      </c>
      <c r="F383" s="129" t="s">
        <v>163</v>
      </c>
      <c r="G383" s="312">
        <v>677</v>
      </c>
      <c r="H383" s="22"/>
      <c r="I383" s="22"/>
    </row>
    <row r="384" spans="1:9" ht="15" hidden="1">
      <c r="A384" s="96" t="s">
        <v>308</v>
      </c>
      <c r="B384" s="53"/>
      <c r="C384" s="116" t="s">
        <v>106</v>
      </c>
      <c r="D384" s="116" t="s">
        <v>421</v>
      </c>
      <c r="E384" s="116" t="s">
        <v>309</v>
      </c>
      <c r="F384" s="130"/>
      <c r="G384" s="312">
        <f>SUM(G385)</f>
        <v>0</v>
      </c>
      <c r="H384" s="22">
        <f>SUM(H385)</f>
        <v>17823.6</v>
      </c>
      <c r="I384" s="22" t="e">
        <f>SUM(H384/#REF!*100)</f>
        <v>#REF!</v>
      </c>
    </row>
    <row r="385" spans="1:9" ht="28.5" hidden="1">
      <c r="A385" s="96" t="s">
        <v>46</v>
      </c>
      <c r="B385" s="132"/>
      <c r="C385" s="116" t="s">
        <v>106</v>
      </c>
      <c r="D385" s="116" t="s">
        <v>421</v>
      </c>
      <c r="E385" s="116" t="s">
        <v>310</v>
      </c>
      <c r="F385" s="130"/>
      <c r="G385" s="312">
        <f>SUM(G386)</f>
        <v>0</v>
      </c>
      <c r="H385" s="22">
        <f>SUM(H386+H387+H389)</f>
        <v>17823.6</v>
      </c>
      <c r="I385" s="22" t="e">
        <f>SUM(H385/#REF!*100)</f>
        <v>#REF!</v>
      </c>
    </row>
    <row r="386" spans="1:9" ht="15" hidden="1">
      <c r="A386" s="101" t="s">
        <v>47</v>
      </c>
      <c r="B386" s="45"/>
      <c r="C386" s="116" t="s">
        <v>106</v>
      </c>
      <c r="D386" s="116" t="s">
        <v>421</v>
      </c>
      <c r="E386" s="116" t="s">
        <v>310</v>
      </c>
      <c r="F386" s="129" t="s">
        <v>233</v>
      </c>
      <c r="G386" s="312"/>
      <c r="H386" s="22">
        <v>17823.6</v>
      </c>
      <c r="I386" s="22" t="e">
        <f>SUM(H386/#REF!*100)</f>
        <v>#REF!</v>
      </c>
    </row>
    <row r="387" spans="1:9" ht="15" hidden="1">
      <c r="A387" s="96" t="s">
        <v>107</v>
      </c>
      <c r="B387" s="45"/>
      <c r="C387" s="54" t="s">
        <v>106</v>
      </c>
      <c r="D387" s="54" t="s">
        <v>106</v>
      </c>
      <c r="E387" s="116"/>
      <c r="F387" s="129"/>
      <c r="G387" s="312">
        <f>SUM(G388+G391)</f>
        <v>0</v>
      </c>
      <c r="H387" s="22">
        <f>SUM(H388)</f>
        <v>0</v>
      </c>
      <c r="I387" s="22" t="e">
        <f>SUM(H387/#REF!*100)</f>
        <v>#REF!</v>
      </c>
    </row>
    <row r="388" spans="1:9" ht="15" hidden="1">
      <c r="A388" s="100" t="s">
        <v>213</v>
      </c>
      <c r="B388" s="53"/>
      <c r="C388" s="116" t="s">
        <v>106</v>
      </c>
      <c r="D388" s="116" t="s">
        <v>106</v>
      </c>
      <c r="E388" s="116" t="s">
        <v>214</v>
      </c>
      <c r="F388" s="130"/>
      <c r="G388" s="312">
        <f>SUM(G389)</f>
        <v>0</v>
      </c>
      <c r="H388" s="22">
        <f>SUM(H389)</f>
        <v>0</v>
      </c>
      <c r="I388" s="22" t="e">
        <f>SUM(H388/#REF!*100)</f>
        <v>#REF!</v>
      </c>
    </row>
    <row r="389" spans="1:9" s="90" customFormat="1" ht="28.5" hidden="1">
      <c r="A389" s="96" t="s">
        <v>46</v>
      </c>
      <c r="B389" s="53"/>
      <c r="C389" s="116" t="s">
        <v>106</v>
      </c>
      <c r="D389" s="116" t="s">
        <v>106</v>
      </c>
      <c r="E389" s="116" t="s">
        <v>217</v>
      </c>
      <c r="F389" s="130"/>
      <c r="G389" s="312">
        <f>SUM(G390)</f>
        <v>0</v>
      </c>
      <c r="H389" s="22"/>
      <c r="I389" s="22" t="e">
        <f>SUM(H389/#REF!*100)</f>
        <v>#REF!</v>
      </c>
    </row>
    <row r="390" spans="1:9" s="90" customFormat="1" ht="15" hidden="1">
      <c r="A390" s="101" t="s">
        <v>47</v>
      </c>
      <c r="B390" s="53"/>
      <c r="C390" s="116" t="s">
        <v>106</v>
      </c>
      <c r="D390" s="116" t="s">
        <v>106</v>
      </c>
      <c r="E390" s="116" t="s">
        <v>217</v>
      </c>
      <c r="F390" s="130" t="s">
        <v>233</v>
      </c>
      <c r="G390" s="312"/>
      <c r="H390" s="22">
        <f>SUM(H391)</f>
        <v>119.8</v>
      </c>
      <c r="I390" s="22" t="e">
        <f>SUM(H390/#REF!*100)</f>
        <v>#REF!</v>
      </c>
    </row>
    <row r="391" spans="1:9" s="90" customFormat="1" ht="15" hidden="1">
      <c r="A391" s="101" t="s">
        <v>117</v>
      </c>
      <c r="B391" s="140"/>
      <c r="C391" s="116" t="s">
        <v>106</v>
      </c>
      <c r="D391" s="116" t="s">
        <v>106</v>
      </c>
      <c r="E391" s="116" t="s">
        <v>118</v>
      </c>
      <c r="F391" s="131"/>
      <c r="G391" s="312">
        <f>SUM(G392)</f>
        <v>0</v>
      </c>
      <c r="H391" s="22">
        <f>SUM(H392)</f>
        <v>119.8</v>
      </c>
      <c r="I391" s="22" t="e">
        <f>SUM(H391/#REF!*100)</f>
        <v>#REF!</v>
      </c>
    </row>
    <row r="392" spans="1:9" s="90" customFormat="1" ht="42.75" hidden="1">
      <c r="A392" s="104" t="s">
        <v>330</v>
      </c>
      <c r="B392" s="140"/>
      <c r="C392" s="116" t="s">
        <v>106</v>
      </c>
      <c r="D392" s="116" t="s">
        <v>106</v>
      </c>
      <c r="E392" s="116" t="s">
        <v>329</v>
      </c>
      <c r="F392" s="131"/>
      <c r="G392" s="312">
        <f>SUM(G393)</f>
        <v>0</v>
      </c>
      <c r="H392" s="22">
        <v>119.8</v>
      </c>
      <c r="I392" s="22" t="e">
        <f>SUM(H392/#REF!*100)</f>
        <v>#REF!</v>
      </c>
    </row>
    <row r="393" spans="1:9" ht="15" hidden="1">
      <c r="A393" s="101" t="s">
        <v>211</v>
      </c>
      <c r="B393" s="140"/>
      <c r="C393" s="116" t="s">
        <v>106</v>
      </c>
      <c r="D393" s="116" t="s">
        <v>106</v>
      </c>
      <c r="E393" s="116" t="s">
        <v>329</v>
      </c>
      <c r="F393" s="131" t="s">
        <v>212</v>
      </c>
      <c r="G393" s="312"/>
      <c r="H393" s="22" t="e">
        <f>SUM(#REF!+H403)</f>
        <v>#REF!</v>
      </c>
      <c r="I393" s="22" t="e">
        <f>SUM(H393/#REF!*100)</f>
        <v>#REF!</v>
      </c>
    </row>
    <row r="394" spans="1:9" ht="15">
      <c r="A394" s="101" t="s">
        <v>219</v>
      </c>
      <c r="B394" s="140"/>
      <c r="C394" s="116" t="s">
        <v>106</v>
      </c>
      <c r="D394" s="116" t="s">
        <v>285</v>
      </c>
      <c r="E394" s="116"/>
      <c r="F394" s="131"/>
      <c r="G394" s="312">
        <f>SUM(G395)</f>
        <v>7</v>
      </c>
      <c r="H394" s="22"/>
      <c r="I394" s="22"/>
    </row>
    <row r="395" spans="1:9" ht="15">
      <c r="A395" s="101" t="s">
        <v>634</v>
      </c>
      <c r="B395" s="140"/>
      <c r="C395" s="116" t="s">
        <v>106</v>
      </c>
      <c r="D395" s="116" t="s">
        <v>285</v>
      </c>
      <c r="E395" s="116" t="s">
        <v>636</v>
      </c>
      <c r="F395" s="131"/>
      <c r="G395" s="312">
        <f>SUM(G396)</f>
        <v>7</v>
      </c>
      <c r="H395" s="22"/>
      <c r="I395" s="22"/>
    </row>
    <row r="396" spans="1:9" ht="28.5">
      <c r="A396" s="101" t="s">
        <v>635</v>
      </c>
      <c r="B396" s="140"/>
      <c r="C396" s="116" t="s">
        <v>106</v>
      </c>
      <c r="D396" s="116" t="s">
        <v>285</v>
      </c>
      <c r="E396" s="116" t="s">
        <v>637</v>
      </c>
      <c r="F396" s="131"/>
      <c r="G396" s="312">
        <f>SUM(G397)</f>
        <v>7</v>
      </c>
      <c r="H396" s="22"/>
      <c r="I396" s="22"/>
    </row>
    <row r="397" spans="1:9" ht="28.5">
      <c r="A397" s="96" t="s">
        <v>453</v>
      </c>
      <c r="B397" s="140"/>
      <c r="C397" s="116" t="s">
        <v>106</v>
      </c>
      <c r="D397" s="116" t="s">
        <v>285</v>
      </c>
      <c r="E397" s="116" t="s">
        <v>637</v>
      </c>
      <c r="F397" s="131" t="s">
        <v>454</v>
      </c>
      <c r="G397" s="312">
        <v>7</v>
      </c>
      <c r="H397" s="22"/>
      <c r="I397" s="22"/>
    </row>
    <row r="398" spans="1:9" ht="15">
      <c r="A398" s="96" t="s">
        <v>174</v>
      </c>
      <c r="B398" s="45"/>
      <c r="C398" s="54" t="s">
        <v>5</v>
      </c>
      <c r="D398" s="54"/>
      <c r="E398" s="54"/>
      <c r="F398" s="129"/>
      <c r="G398" s="312">
        <f>SUM(G399+G403+G417+G485+G497)</f>
        <v>882201.0000000001</v>
      </c>
      <c r="H398" s="22" t="e">
        <f>SUM(H399+H401)</f>
        <v>#REF!</v>
      </c>
      <c r="I398" s="22" t="e">
        <f>SUM(H398/G409*100)</f>
        <v>#REF!</v>
      </c>
    </row>
    <row r="399" spans="1:9" ht="15">
      <c r="A399" s="96" t="s">
        <v>176</v>
      </c>
      <c r="B399" s="45"/>
      <c r="C399" s="54" t="s">
        <v>5</v>
      </c>
      <c r="D399" s="54" t="s">
        <v>419</v>
      </c>
      <c r="E399" s="54"/>
      <c r="F399" s="129"/>
      <c r="G399" s="312">
        <f>SUM(G400)</f>
        <v>4032.6</v>
      </c>
      <c r="H399" s="22" t="e">
        <f>SUM(#REF!)</f>
        <v>#REF!</v>
      </c>
      <c r="I399" s="22" t="e">
        <f>SUM(H399/G410*100)</f>
        <v>#REF!</v>
      </c>
    </row>
    <row r="400" spans="1:9" ht="15">
      <c r="A400" s="96" t="s">
        <v>177</v>
      </c>
      <c r="B400" s="45"/>
      <c r="C400" s="54" t="s">
        <v>5</v>
      </c>
      <c r="D400" s="54" t="s">
        <v>419</v>
      </c>
      <c r="E400" s="54" t="s">
        <v>178</v>
      </c>
      <c r="F400" s="129"/>
      <c r="G400" s="312">
        <f>SUM(G401)</f>
        <v>4032.6</v>
      </c>
      <c r="H400" s="22"/>
      <c r="I400" s="22"/>
    </row>
    <row r="401" spans="1:9" ht="28.5">
      <c r="A401" s="96" t="s">
        <v>179</v>
      </c>
      <c r="B401" s="45"/>
      <c r="C401" s="54" t="s">
        <v>5</v>
      </c>
      <c r="D401" s="54" t="s">
        <v>419</v>
      </c>
      <c r="E401" s="54" t="s">
        <v>180</v>
      </c>
      <c r="F401" s="129"/>
      <c r="G401" s="312">
        <f>SUM(G402)</f>
        <v>4032.6</v>
      </c>
      <c r="H401" s="22">
        <f>SUM(H402)</f>
        <v>16618.3</v>
      </c>
      <c r="I401" s="22">
        <f>SUM(H401/G413*100)</f>
        <v>34.744439171149544</v>
      </c>
    </row>
    <row r="402" spans="1:9" ht="15">
      <c r="A402" s="96" t="s">
        <v>463</v>
      </c>
      <c r="B402" s="45"/>
      <c r="C402" s="54" t="s">
        <v>5</v>
      </c>
      <c r="D402" s="54" t="s">
        <v>419</v>
      </c>
      <c r="E402" s="54" t="s">
        <v>180</v>
      </c>
      <c r="F402" s="129" t="s">
        <v>464</v>
      </c>
      <c r="G402" s="312">
        <v>4032.6</v>
      </c>
      <c r="H402" s="22">
        <v>16618.3</v>
      </c>
      <c r="I402" s="22" t="e">
        <f>SUM(H402/#REF!*100)</f>
        <v>#REF!</v>
      </c>
    </row>
    <row r="403" spans="1:9" ht="15">
      <c r="A403" s="96" t="s">
        <v>181</v>
      </c>
      <c r="B403" s="45"/>
      <c r="C403" s="116" t="s">
        <v>5</v>
      </c>
      <c r="D403" s="116" t="s">
        <v>421</v>
      </c>
      <c r="E403" s="54"/>
      <c r="F403" s="129"/>
      <c r="G403" s="312">
        <f>SUM(G404+G409)</f>
        <v>49682.90000000001</v>
      </c>
      <c r="H403" s="22" t="e">
        <f>SUM(H407+H467+H471+H404)</f>
        <v>#REF!</v>
      </c>
      <c r="I403" s="22" t="e">
        <f>SUM(H403/G417*100)</f>
        <v>#REF!</v>
      </c>
    </row>
    <row r="404" spans="1:9" ht="15" hidden="1">
      <c r="A404" s="105" t="s">
        <v>63</v>
      </c>
      <c r="B404" s="45"/>
      <c r="C404" s="116" t="s">
        <v>5</v>
      </c>
      <c r="D404" s="116" t="s">
        <v>421</v>
      </c>
      <c r="E404" s="116" t="s">
        <v>64</v>
      </c>
      <c r="F404" s="130"/>
      <c r="G404" s="312"/>
      <c r="H404" s="22">
        <f>SUM(H406)</f>
        <v>200</v>
      </c>
      <c r="I404" s="22" t="e">
        <f>SUM(H404/G418*100)</f>
        <v>#DIV/0!</v>
      </c>
    </row>
    <row r="405" spans="1:9" ht="28.5" hidden="1">
      <c r="A405" s="105" t="s">
        <v>13</v>
      </c>
      <c r="B405" s="45"/>
      <c r="C405" s="116" t="s">
        <v>5</v>
      </c>
      <c r="D405" s="116" t="s">
        <v>421</v>
      </c>
      <c r="E405" s="116" t="s">
        <v>14</v>
      </c>
      <c r="F405" s="130"/>
      <c r="G405" s="312">
        <f>SUM(G406+G407)</f>
        <v>0</v>
      </c>
      <c r="H405" s="22">
        <f>SUM(H406)</f>
        <v>200</v>
      </c>
      <c r="I405" s="22" t="e">
        <f>SUM(H405/G419*100)</f>
        <v>#DIV/0!</v>
      </c>
    </row>
    <row r="406" spans="1:9" ht="15" hidden="1">
      <c r="A406" s="100" t="s">
        <v>232</v>
      </c>
      <c r="B406" s="45"/>
      <c r="C406" s="116" t="s">
        <v>5</v>
      </c>
      <c r="D406" s="116" t="s">
        <v>421</v>
      </c>
      <c r="E406" s="116" t="s">
        <v>14</v>
      </c>
      <c r="F406" s="130" t="s">
        <v>233</v>
      </c>
      <c r="G406" s="312"/>
      <c r="H406" s="22">
        <v>200</v>
      </c>
      <c r="I406" s="22" t="e">
        <f>SUM(H406/G420*100)</f>
        <v>#DIV/0!</v>
      </c>
    </row>
    <row r="407" spans="1:9" ht="28.5" hidden="1">
      <c r="A407" s="105" t="s">
        <v>15</v>
      </c>
      <c r="B407" s="45"/>
      <c r="C407" s="116" t="s">
        <v>5</v>
      </c>
      <c r="D407" s="116" t="s">
        <v>421</v>
      </c>
      <c r="E407" s="116" t="s">
        <v>16</v>
      </c>
      <c r="F407" s="130"/>
      <c r="G407" s="312">
        <f>SUM(G408)</f>
        <v>0</v>
      </c>
      <c r="H407" s="22" t="e">
        <f>SUM(H408+H410+H412+H418+H420+#REF!+#REF!+#REF!+#REF!+H438+#REF!+#REF!+#REF!+#REF!+#REF!+#REF!+#REF!+#REF!+#REF!+#REF!+H415)</f>
        <v>#REF!</v>
      </c>
      <c r="I407" s="22" t="e">
        <f>SUM(H407/G421*100)</f>
        <v>#REF!</v>
      </c>
    </row>
    <row r="408" spans="1:9" ht="15" hidden="1">
      <c r="A408" s="100" t="s">
        <v>232</v>
      </c>
      <c r="B408" s="45"/>
      <c r="C408" s="116" t="s">
        <v>5</v>
      </c>
      <c r="D408" s="116" t="s">
        <v>421</v>
      </c>
      <c r="E408" s="116" t="s">
        <v>16</v>
      </c>
      <c r="F408" s="130" t="s">
        <v>233</v>
      </c>
      <c r="G408" s="312"/>
      <c r="H408" s="22">
        <f>SUM(H409:H409)</f>
        <v>0</v>
      </c>
      <c r="I408" s="22" t="e">
        <f>SUM(H408/#REF!*100)</f>
        <v>#REF!</v>
      </c>
    </row>
    <row r="409" spans="1:9" ht="15">
      <c r="A409" s="105" t="s">
        <v>63</v>
      </c>
      <c r="B409" s="45"/>
      <c r="C409" s="116" t="s">
        <v>5</v>
      </c>
      <c r="D409" s="116" t="s">
        <v>421</v>
      </c>
      <c r="E409" s="116" t="s">
        <v>17</v>
      </c>
      <c r="F409" s="130"/>
      <c r="G409" s="312">
        <f>SUM(G410+G413)</f>
        <v>49682.90000000001</v>
      </c>
      <c r="H409" s="22"/>
      <c r="I409" s="22" t="e">
        <f>SUM(H409/#REF!*100)</f>
        <v>#REF!</v>
      </c>
    </row>
    <row r="410" spans="1:9" ht="28.5">
      <c r="A410" s="100" t="s">
        <v>46</v>
      </c>
      <c r="B410" s="45"/>
      <c r="C410" s="116" t="s">
        <v>5</v>
      </c>
      <c r="D410" s="116" t="s">
        <v>421</v>
      </c>
      <c r="E410" s="116" t="s">
        <v>18</v>
      </c>
      <c r="F410" s="130"/>
      <c r="G410" s="312">
        <f>SUM(G411:G412)</f>
        <v>1852.8</v>
      </c>
      <c r="H410" s="22">
        <f>SUM(H411:H411)</f>
        <v>0</v>
      </c>
      <c r="I410" s="22" t="e">
        <f>SUM(H410/#REF!*100)</f>
        <v>#REF!</v>
      </c>
    </row>
    <row r="411" spans="1:9" ht="28.5">
      <c r="A411" s="96" t="s">
        <v>453</v>
      </c>
      <c r="B411" s="45"/>
      <c r="C411" s="116" t="s">
        <v>5</v>
      </c>
      <c r="D411" s="116" t="s">
        <v>421</v>
      </c>
      <c r="E411" s="116" t="s">
        <v>18</v>
      </c>
      <c r="F411" s="129" t="s">
        <v>454</v>
      </c>
      <c r="G411" s="312">
        <v>531.8</v>
      </c>
      <c r="H411" s="22"/>
      <c r="I411" s="22" t="e">
        <f>SUM(H411/#REF!*100)</f>
        <v>#REF!</v>
      </c>
    </row>
    <row r="412" spans="1:9" ht="15">
      <c r="A412" s="96" t="s">
        <v>458</v>
      </c>
      <c r="B412" s="45"/>
      <c r="C412" s="116" t="s">
        <v>5</v>
      </c>
      <c r="D412" s="116" t="s">
        <v>421</v>
      </c>
      <c r="E412" s="116" t="s">
        <v>18</v>
      </c>
      <c r="F412" s="129" t="s">
        <v>109</v>
      </c>
      <c r="G412" s="312">
        <v>1321</v>
      </c>
      <c r="H412" s="22" t="e">
        <f>SUM(#REF!)</f>
        <v>#REF!</v>
      </c>
      <c r="I412" s="22" t="e">
        <f>SUM(H412/#REF!*100)</f>
        <v>#REF!</v>
      </c>
    </row>
    <row r="413" spans="1:9" ht="28.5">
      <c r="A413" s="100" t="s">
        <v>19</v>
      </c>
      <c r="B413" s="45"/>
      <c r="C413" s="116" t="s">
        <v>5</v>
      </c>
      <c r="D413" s="116" t="s">
        <v>421</v>
      </c>
      <c r="E413" s="116" t="s">
        <v>20</v>
      </c>
      <c r="F413" s="130"/>
      <c r="G413" s="312">
        <f>SUM(G414:G416)</f>
        <v>47830.100000000006</v>
      </c>
      <c r="H413" s="22">
        <v>634.3</v>
      </c>
      <c r="I413" s="22" t="e">
        <f>SUM(H413/#REF!*100)</f>
        <v>#REF!</v>
      </c>
    </row>
    <row r="414" spans="1:9" ht="28.5">
      <c r="A414" s="96" t="s">
        <v>453</v>
      </c>
      <c r="B414" s="45"/>
      <c r="C414" s="116" t="s">
        <v>5</v>
      </c>
      <c r="D414" s="116" t="s">
        <v>421</v>
      </c>
      <c r="E414" s="116" t="s">
        <v>20</v>
      </c>
      <c r="F414" s="129" t="s">
        <v>454</v>
      </c>
      <c r="G414" s="312">
        <v>38686.9</v>
      </c>
      <c r="H414" s="22"/>
      <c r="I414" s="22"/>
    </row>
    <row r="415" spans="1:9" ht="15">
      <c r="A415" s="96" t="s">
        <v>458</v>
      </c>
      <c r="B415" s="45"/>
      <c r="C415" s="116" t="s">
        <v>5</v>
      </c>
      <c r="D415" s="116" t="s">
        <v>421</v>
      </c>
      <c r="E415" s="116" t="s">
        <v>20</v>
      </c>
      <c r="F415" s="129" t="s">
        <v>109</v>
      </c>
      <c r="G415" s="312">
        <v>8757.2</v>
      </c>
      <c r="H415" s="22">
        <f>SUM(H416)</f>
        <v>542.8</v>
      </c>
      <c r="I415" s="22" t="e">
        <f>SUM(H415/#REF!*100)</f>
        <v>#REF!</v>
      </c>
    </row>
    <row r="416" spans="1:9" ht="15">
      <c r="A416" s="96" t="s">
        <v>459</v>
      </c>
      <c r="B416" s="45"/>
      <c r="C416" s="116" t="s">
        <v>5</v>
      </c>
      <c r="D416" s="116" t="s">
        <v>421</v>
      </c>
      <c r="E416" s="116" t="s">
        <v>20</v>
      </c>
      <c r="F416" s="129" t="s">
        <v>163</v>
      </c>
      <c r="G416" s="312">
        <v>386</v>
      </c>
      <c r="H416" s="22">
        <v>542.8</v>
      </c>
      <c r="I416" s="22" t="e">
        <f>SUM(H416/#REF!*100)</f>
        <v>#REF!</v>
      </c>
    </row>
    <row r="417" spans="1:9" ht="15">
      <c r="A417" s="96" t="s">
        <v>21</v>
      </c>
      <c r="B417" s="45"/>
      <c r="C417" s="54" t="s">
        <v>5</v>
      </c>
      <c r="D417" s="54" t="s">
        <v>95</v>
      </c>
      <c r="E417" s="54"/>
      <c r="F417" s="129"/>
      <c r="G417" s="312">
        <f>SUM(G421+G478+G482)</f>
        <v>767716.2000000002</v>
      </c>
      <c r="H417" s="22">
        <v>542.8</v>
      </c>
      <c r="I417" s="22" t="e">
        <f>SUM(H417/#REF!*100)</f>
        <v>#REF!</v>
      </c>
    </row>
    <row r="418" spans="1:9" s="87" customFormat="1" ht="15.75" hidden="1">
      <c r="A418" s="96" t="s">
        <v>368</v>
      </c>
      <c r="B418" s="45"/>
      <c r="C418" s="54" t="s">
        <v>5</v>
      </c>
      <c r="D418" s="54" t="s">
        <v>95</v>
      </c>
      <c r="E418" s="54" t="s">
        <v>370</v>
      </c>
      <c r="F418" s="129"/>
      <c r="G418" s="312">
        <f>SUM(G420)</f>
        <v>0</v>
      </c>
      <c r="H418" s="22">
        <f>SUM(H419)</f>
        <v>1313.1</v>
      </c>
      <c r="I418" s="22" t="e">
        <f>SUM(H418/#REF!*100)</f>
        <v>#REF!</v>
      </c>
    </row>
    <row r="419" spans="1:9" s="87" customFormat="1" ht="15.75" hidden="1">
      <c r="A419" s="96" t="s">
        <v>348</v>
      </c>
      <c r="B419" s="45"/>
      <c r="C419" s="54" t="s">
        <v>5</v>
      </c>
      <c r="D419" s="54" t="s">
        <v>95</v>
      </c>
      <c r="E419" s="54" t="s">
        <v>349</v>
      </c>
      <c r="F419" s="129"/>
      <c r="G419" s="312">
        <f>SUM(G420)</f>
        <v>0</v>
      </c>
      <c r="H419" s="22">
        <v>1313.1</v>
      </c>
      <c r="I419" s="22" t="e">
        <f>SUM(H419/#REF!*100)</f>
        <v>#REF!</v>
      </c>
    </row>
    <row r="420" spans="1:9" s="87" customFormat="1" ht="15.75" hidden="1">
      <c r="A420" s="96" t="s">
        <v>281</v>
      </c>
      <c r="B420" s="53"/>
      <c r="C420" s="54" t="s">
        <v>5</v>
      </c>
      <c r="D420" s="54" t="s">
        <v>95</v>
      </c>
      <c r="E420" s="54" t="s">
        <v>349</v>
      </c>
      <c r="F420" s="130" t="s">
        <v>282</v>
      </c>
      <c r="G420" s="312"/>
      <c r="H420" s="22">
        <f>SUM(H421)</f>
        <v>6301</v>
      </c>
      <c r="I420" s="22" t="e">
        <f>SUM(H420/#REF!*100)</f>
        <v>#REF!</v>
      </c>
    </row>
    <row r="421" spans="1:9" s="87" customFormat="1" ht="15.75">
      <c r="A421" s="96" t="s">
        <v>22</v>
      </c>
      <c r="B421" s="45"/>
      <c r="C421" s="54" t="s">
        <v>5</v>
      </c>
      <c r="D421" s="54" t="s">
        <v>95</v>
      </c>
      <c r="E421" s="54" t="s">
        <v>23</v>
      </c>
      <c r="F421" s="129"/>
      <c r="G421" s="312">
        <f>SUM(G422+G425+G428+G431+G434+G437)</f>
        <v>766467.9000000001</v>
      </c>
      <c r="H421" s="22">
        <v>6301</v>
      </c>
      <c r="I421" s="22" t="e">
        <f>SUM(H421/#REF!*100)</f>
        <v>#REF!</v>
      </c>
    </row>
    <row r="422" spans="1:9" ht="28.5">
      <c r="A422" s="96" t="s">
        <v>271</v>
      </c>
      <c r="B422" s="45"/>
      <c r="C422" s="116" t="s">
        <v>5</v>
      </c>
      <c r="D422" s="116" t="s">
        <v>95</v>
      </c>
      <c r="E422" s="116" t="s">
        <v>272</v>
      </c>
      <c r="F422" s="130"/>
      <c r="G422" s="312">
        <f>SUM(G423:G424)</f>
        <v>92012.1</v>
      </c>
      <c r="H422" s="22">
        <f>SUM(H424)</f>
        <v>8082.5</v>
      </c>
      <c r="I422" s="22">
        <f>SUM(H422/G447*100)</f>
        <v>4.735736249519542</v>
      </c>
    </row>
    <row r="423" spans="1:9" ht="15">
      <c r="A423" s="96" t="s">
        <v>458</v>
      </c>
      <c r="B423" s="45"/>
      <c r="C423" s="116" t="s">
        <v>5</v>
      </c>
      <c r="D423" s="116" t="s">
        <v>95</v>
      </c>
      <c r="E423" s="116" t="s">
        <v>272</v>
      </c>
      <c r="F423" s="130" t="s">
        <v>109</v>
      </c>
      <c r="G423" s="312">
        <v>1398.6</v>
      </c>
      <c r="H423" s="22"/>
      <c r="I423" s="22"/>
    </row>
    <row r="424" spans="1:9" ht="15">
      <c r="A424" s="96" t="s">
        <v>463</v>
      </c>
      <c r="B424" s="45"/>
      <c r="C424" s="116" t="s">
        <v>5</v>
      </c>
      <c r="D424" s="116" t="s">
        <v>95</v>
      </c>
      <c r="E424" s="116" t="s">
        <v>272</v>
      </c>
      <c r="F424" s="130" t="s">
        <v>464</v>
      </c>
      <c r="G424" s="312">
        <f>92012.1-1398.6</f>
        <v>90613.5</v>
      </c>
      <c r="H424" s="22">
        <v>8082.5</v>
      </c>
      <c r="I424" s="22">
        <f>SUM(H424/G449*100)</f>
        <v>4.900406401783002</v>
      </c>
    </row>
    <row r="425" spans="1:9" ht="15">
      <c r="A425" s="96" t="s">
        <v>270</v>
      </c>
      <c r="B425" s="45"/>
      <c r="C425" s="116" t="s">
        <v>5</v>
      </c>
      <c r="D425" s="116" t="s">
        <v>95</v>
      </c>
      <c r="E425" s="116" t="s">
        <v>529</v>
      </c>
      <c r="F425" s="130"/>
      <c r="G425" s="312">
        <f>SUM(G426:G427)</f>
        <v>158497.6</v>
      </c>
      <c r="H425" s="22">
        <f>SUM(H427)</f>
        <v>70381.4</v>
      </c>
      <c r="I425" s="22">
        <f>SUM(H425/G450*100)</f>
        <v>4581.227624812862</v>
      </c>
    </row>
    <row r="426" spans="1:9" ht="15">
      <c r="A426" s="96" t="s">
        <v>458</v>
      </c>
      <c r="B426" s="45"/>
      <c r="C426" s="116" t="s">
        <v>5</v>
      </c>
      <c r="D426" s="116" t="s">
        <v>95</v>
      </c>
      <c r="E426" s="116" t="s">
        <v>529</v>
      </c>
      <c r="F426" s="130" t="s">
        <v>109</v>
      </c>
      <c r="G426" s="312">
        <v>2139.7</v>
      </c>
      <c r="H426" s="22"/>
      <c r="I426" s="22"/>
    </row>
    <row r="427" spans="1:9" ht="15">
      <c r="A427" s="96" t="s">
        <v>463</v>
      </c>
      <c r="B427" s="53"/>
      <c r="C427" s="116" t="s">
        <v>5</v>
      </c>
      <c r="D427" s="116" t="s">
        <v>95</v>
      </c>
      <c r="E427" s="116" t="s">
        <v>529</v>
      </c>
      <c r="F427" s="130" t="s">
        <v>464</v>
      </c>
      <c r="G427" s="312">
        <v>156357.9</v>
      </c>
      <c r="H427" s="22">
        <v>70381.4</v>
      </c>
      <c r="I427" s="22">
        <f>SUM(H427/G452*100)</f>
        <v>4650.855745721271</v>
      </c>
    </row>
    <row r="428" spans="1:9" ht="42.75">
      <c r="A428" s="97" t="s">
        <v>269</v>
      </c>
      <c r="B428" s="45"/>
      <c r="C428" s="116" t="s">
        <v>5</v>
      </c>
      <c r="D428" s="116" t="s">
        <v>95</v>
      </c>
      <c r="E428" s="116" t="s">
        <v>530</v>
      </c>
      <c r="F428" s="130"/>
      <c r="G428" s="312">
        <f>SUM(G429:G430)</f>
        <v>77.10000000000001</v>
      </c>
      <c r="H428" s="22"/>
      <c r="I428" s="22"/>
    </row>
    <row r="429" spans="1:9" ht="15">
      <c r="A429" s="96" t="s">
        <v>458</v>
      </c>
      <c r="B429" s="45"/>
      <c r="C429" s="116" t="s">
        <v>5</v>
      </c>
      <c r="D429" s="116" t="s">
        <v>95</v>
      </c>
      <c r="E429" s="116" t="s">
        <v>530</v>
      </c>
      <c r="F429" s="130" t="s">
        <v>109</v>
      </c>
      <c r="G429" s="312">
        <v>1.2</v>
      </c>
      <c r="H429" s="22"/>
      <c r="I429" s="22"/>
    </row>
    <row r="430" spans="1:9" ht="15">
      <c r="A430" s="96" t="s">
        <v>463</v>
      </c>
      <c r="B430" s="45"/>
      <c r="C430" s="116" t="s">
        <v>5</v>
      </c>
      <c r="D430" s="116" t="s">
        <v>95</v>
      </c>
      <c r="E430" s="116" t="s">
        <v>530</v>
      </c>
      <c r="F430" s="130" t="s">
        <v>464</v>
      </c>
      <c r="G430" s="312">
        <v>75.9</v>
      </c>
      <c r="H430" s="22"/>
      <c r="I430" s="22"/>
    </row>
    <row r="431" spans="1:9" ht="59.25" customHeight="1">
      <c r="A431" s="178" t="s">
        <v>532</v>
      </c>
      <c r="B431" s="141"/>
      <c r="C431" s="120" t="s">
        <v>5</v>
      </c>
      <c r="D431" s="120" t="s">
        <v>95</v>
      </c>
      <c r="E431" s="120" t="s">
        <v>531</v>
      </c>
      <c r="F431" s="168"/>
      <c r="G431" s="320">
        <f>SUM(G432:G433)</f>
        <v>78774.5</v>
      </c>
      <c r="H431" s="22"/>
      <c r="I431" s="22"/>
    </row>
    <row r="432" spans="1:9" ht="21" customHeight="1">
      <c r="A432" s="96" t="s">
        <v>458</v>
      </c>
      <c r="B432" s="45"/>
      <c r="C432" s="116" t="s">
        <v>5</v>
      </c>
      <c r="D432" s="116" t="s">
        <v>95</v>
      </c>
      <c r="E432" s="120" t="s">
        <v>531</v>
      </c>
      <c r="F432" s="130" t="s">
        <v>109</v>
      </c>
      <c r="G432" s="320">
        <v>1181.6</v>
      </c>
      <c r="H432" s="22"/>
      <c r="I432" s="22"/>
    </row>
    <row r="433" spans="1:9" ht="15">
      <c r="A433" s="101" t="s">
        <v>463</v>
      </c>
      <c r="B433" s="141"/>
      <c r="C433" s="120" t="s">
        <v>5</v>
      </c>
      <c r="D433" s="120" t="s">
        <v>95</v>
      </c>
      <c r="E433" s="120" t="s">
        <v>531</v>
      </c>
      <c r="F433" s="168" t="s">
        <v>464</v>
      </c>
      <c r="G433" s="320">
        <v>77592.9</v>
      </c>
      <c r="H433" s="22"/>
      <c r="I433" s="22"/>
    </row>
    <row r="434" spans="1:9" ht="15">
      <c r="A434" s="101" t="s">
        <v>209</v>
      </c>
      <c r="B434" s="141"/>
      <c r="C434" s="120" t="s">
        <v>5</v>
      </c>
      <c r="D434" s="120" t="s">
        <v>95</v>
      </c>
      <c r="E434" s="120" t="s">
        <v>533</v>
      </c>
      <c r="F434" s="168"/>
      <c r="G434" s="320">
        <f>G435+G436</f>
        <v>3896.3</v>
      </c>
      <c r="H434" s="22">
        <f>SUM(H435)</f>
        <v>1365.8</v>
      </c>
      <c r="I434" s="22">
        <f>SUM(H434/G458*100)</f>
        <v>1.1510294204400846</v>
      </c>
    </row>
    <row r="435" spans="1:9" ht="15">
      <c r="A435" s="101" t="s">
        <v>463</v>
      </c>
      <c r="B435" s="141"/>
      <c r="C435" s="120" t="s">
        <v>5</v>
      </c>
      <c r="D435" s="120" t="s">
        <v>95</v>
      </c>
      <c r="E435" s="120" t="s">
        <v>533</v>
      </c>
      <c r="F435" s="168" t="s">
        <v>464</v>
      </c>
      <c r="G435" s="320">
        <v>2096.3</v>
      </c>
      <c r="H435" s="22">
        <v>1365.8</v>
      </c>
      <c r="I435" s="22">
        <f>SUM(H435/G459*100)</f>
        <v>135.3215099573962</v>
      </c>
    </row>
    <row r="436" spans="1:9" ht="28.5">
      <c r="A436" s="101" t="s">
        <v>550</v>
      </c>
      <c r="B436" s="141"/>
      <c r="C436" s="120" t="s">
        <v>5</v>
      </c>
      <c r="D436" s="120" t="s">
        <v>95</v>
      </c>
      <c r="E436" s="120" t="s">
        <v>533</v>
      </c>
      <c r="F436" s="168" t="s">
        <v>471</v>
      </c>
      <c r="G436" s="320">
        <v>1800</v>
      </c>
      <c r="H436" s="22">
        <f>SUM(H437)</f>
        <v>1324.9</v>
      </c>
      <c r="I436" s="22">
        <f>SUM(H436/G461*100)</f>
        <v>140.84192622515147</v>
      </c>
    </row>
    <row r="437" spans="1:9" ht="15">
      <c r="A437" s="101" t="s">
        <v>274</v>
      </c>
      <c r="B437" s="141"/>
      <c r="C437" s="120" t="s">
        <v>5</v>
      </c>
      <c r="D437" s="120" t="s">
        <v>95</v>
      </c>
      <c r="E437" s="120" t="s">
        <v>535</v>
      </c>
      <c r="F437" s="168"/>
      <c r="G437" s="320">
        <f>G438+G441+G444+G447+G450+G453+G456+G459+G462+G465+G468+G471+G475</f>
        <v>433210.30000000005</v>
      </c>
      <c r="H437" s="22">
        <v>1324.9</v>
      </c>
      <c r="I437" s="22">
        <f>SUM(H437/G462*100)</f>
        <v>544.330320460148</v>
      </c>
    </row>
    <row r="438" spans="1:9" ht="42.75">
      <c r="A438" s="101" t="s">
        <v>427</v>
      </c>
      <c r="B438" s="141"/>
      <c r="C438" s="120" t="s">
        <v>5</v>
      </c>
      <c r="D438" s="120" t="s">
        <v>95</v>
      </c>
      <c r="E438" s="120" t="s">
        <v>536</v>
      </c>
      <c r="F438" s="168"/>
      <c r="G438" s="320">
        <f>SUM(G439:G440)</f>
        <v>545.8000000000001</v>
      </c>
      <c r="H438" s="22">
        <f>SUM(H440)</f>
        <v>0</v>
      </c>
      <c r="I438" s="22">
        <f>SUM(H438/G464*100)</f>
        <v>0</v>
      </c>
    </row>
    <row r="439" spans="1:9" ht="15">
      <c r="A439" s="96" t="s">
        <v>458</v>
      </c>
      <c r="B439" s="45"/>
      <c r="C439" s="116" t="s">
        <v>5</v>
      </c>
      <c r="D439" s="116" t="s">
        <v>95</v>
      </c>
      <c r="E439" s="120" t="s">
        <v>536</v>
      </c>
      <c r="F439" s="130" t="s">
        <v>109</v>
      </c>
      <c r="G439" s="320">
        <v>8.2</v>
      </c>
      <c r="H439" s="22"/>
      <c r="I439" s="22"/>
    </row>
    <row r="440" spans="1:9" ht="15">
      <c r="A440" s="101" t="s">
        <v>463</v>
      </c>
      <c r="B440" s="141"/>
      <c r="C440" s="120" t="s">
        <v>5</v>
      </c>
      <c r="D440" s="120" t="s">
        <v>95</v>
      </c>
      <c r="E440" s="120" t="s">
        <v>536</v>
      </c>
      <c r="F440" s="168" t="s">
        <v>464</v>
      </c>
      <c r="G440" s="320">
        <v>537.6</v>
      </c>
      <c r="H440" s="22"/>
      <c r="I440" s="22">
        <f>SUM(H440/G465*100)</f>
        <v>0</v>
      </c>
    </row>
    <row r="441" spans="1:9" ht="28.5">
      <c r="A441" s="107" t="s">
        <v>428</v>
      </c>
      <c r="B441" s="141"/>
      <c r="C441" s="120" t="s">
        <v>5</v>
      </c>
      <c r="D441" s="120" t="s">
        <v>95</v>
      </c>
      <c r="E441" s="120" t="s">
        <v>537</v>
      </c>
      <c r="F441" s="168"/>
      <c r="G441" s="320">
        <f>SUM(G442:G443)</f>
        <v>56634.2</v>
      </c>
      <c r="H441" s="22">
        <f>SUM(H443)</f>
        <v>5141.4</v>
      </c>
      <c r="I441" s="22">
        <f>SUM(H441/G467*100)</f>
        <v>79.50454629801446</v>
      </c>
    </row>
    <row r="442" spans="1:9" ht="15">
      <c r="A442" s="96" t="s">
        <v>458</v>
      </c>
      <c r="B442" s="45"/>
      <c r="C442" s="116" t="s">
        <v>5</v>
      </c>
      <c r="D442" s="116" t="s">
        <v>95</v>
      </c>
      <c r="E442" s="120" t="s">
        <v>537</v>
      </c>
      <c r="F442" s="130" t="s">
        <v>109</v>
      </c>
      <c r="G442" s="320">
        <v>872.2</v>
      </c>
      <c r="H442" s="22"/>
      <c r="I442" s="22"/>
    </row>
    <row r="443" spans="1:9" ht="15">
      <c r="A443" s="101" t="s">
        <v>463</v>
      </c>
      <c r="B443" s="141"/>
      <c r="C443" s="120" t="s">
        <v>5</v>
      </c>
      <c r="D443" s="120" t="s">
        <v>95</v>
      </c>
      <c r="E443" s="120" t="s">
        <v>537</v>
      </c>
      <c r="F443" s="168" t="s">
        <v>464</v>
      </c>
      <c r="G443" s="320">
        <v>55762</v>
      </c>
      <c r="H443" s="22">
        <v>5141.4</v>
      </c>
      <c r="I443" s="22">
        <f>SUM(H443/G468*100)</f>
        <v>95.97177630105278</v>
      </c>
    </row>
    <row r="444" spans="1:9" ht="57">
      <c r="A444" s="179" t="s">
        <v>429</v>
      </c>
      <c r="B444" s="141"/>
      <c r="C444" s="120" t="s">
        <v>5</v>
      </c>
      <c r="D444" s="120" t="s">
        <v>95</v>
      </c>
      <c r="E444" s="120" t="s">
        <v>538</v>
      </c>
      <c r="F444" s="168"/>
      <c r="G444" s="320">
        <f>SUM(G445:G446)</f>
        <v>53650.8</v>
      </c>
      <c r="H444" s="22"/>
      <c r="I444" s="22"/>
    </row>
    <row r="445" spans="1:9" ht="15">
      <c r="A445" s="96" t="s">
        <v>458</v>
      </c>
      <c r="B445" s="45"/>
      <c r="C445" s="116" t="s">
        <v>5</v>
      </c>
      <c r="D445" s="116" t="s">
        <v>95</v>
      </c>
      <c r="E445" s="120" t="s">
        <v>538</v>
      </c>
      <c r="F445" s="130" t="s">
        <v>109</v>
      </c>
      <c r="G445" s="320">
        <v>794</v>
      </c>
      <c r="H445" s="22"/>
      <c r="I445" s="22"/>
    </row>
    <row r="446" spans="1:9" ht="15">
      <c r="A446" s="101" t="s">
        <v>463</v>
      </c>
      <c r="B446" s="141"/>
      <c r="C446" s="120" t="s">
        <v>5</v>
      </c>
      <c r="D446" s="120" t="s">
        <v>95</v>
      </c>
      <c r="E446" s="120" t="s">
        <v>538</v>
      </c>
      <c r="F446" s="168" t="s">
        <v>464</v>
      </c>
      <c r="G446" s="320">
        <v>52856.8</v>
      </c>
      <c r="H446" s="22"/>
      <c r="I446" s="22"/>
    </row>
    <row r="447" spans="1:9" ht="71.25">
      <c r="A447" s="179" t="s">
        <v>539</v>
      </c>
      <c r="B447" s="141"/>
      <c r="C447" s="120" t="s">
        <v>5</v>
      </c>
      <c r="D447" s="120" t="s">
        <v>95</v>
      </c>
      <c r="E447" s="120" t="s">
        <v>540</v>
      </c>
      <c r="F447" s="168"/>
      <c r="G447" s="320">
        <f>SUM(G448:G449)</f>
        <v>170670.4</v>
      </c>
      <c r="H447" s="22"/>
      <c r="I447" s="22"/>
    </row>
    <row r="448" spans="1:9" ht="15">
      <c r="A448" s="96" t="s">
        <v>458</v>
      </c>
      <c r="B448" s="141"/>
      <c r="C448" s="120" t="s">
        <v>5</v>
      </c>
      <c r="D448" s="120" t="s">
        <v>95</v>
      </c>
      <c r="E448" s="120" t="s">
        <v>540</v>
      </c>
      <c r="F448" s="168" t="s">
        <v>109</v>
      </c>
      <c r="G448" s="320">
        <v>5735.1</v>
      </c>
      <c r="H448" s="22"/>
      <c r="I448" s="22"/>
    </row>
    <row r="449" spans="1:9" ht="15">
      <c r="A449" s="101" t="s">
        <v>463</v>
      </c>
      <c r="B449" s="141"/>
      <c r="C449" s="120" t="s">
        <v>5</v>
      </c>
      <c r="D449" s="120" t="s">
        <v>95</v>
      </c>
      <c r="E449" s="120" t="s">
        <v>540</v>
      </c>
      <c r="F449" s="168" t="s">
        <v>464</v>
      </c>
      <c r="G449" s="320">
        <v>164935.3</v>
      </c>
      <c r="H449" s="22"/>
      <c r="I449" s="22"/>
    </row>
    <row r="450" spans="1:9" ht="71.25">
      <c r="A450" s="107" t="s">
        <v>430</v>
      </c>
      <c r="B450" s="141"/>
      <c r="C450" s="120" t="s">
        <v>5</v>
      </c>
      <c r="D450" s="120" t="s">
        <v>95</v>
      </c>
      <c r="E450" s="120" t="s">
        <v>541</v>
      </c>
      <c r="F450" s="168"/>
      <c r="G450" s="320">
        <f>SUM(G451:G452)</f>
        <v>1536.3</v>
      </c>
      <c r="H450" s="22"/>
      <c r="I450" s="22"/>
    </row>
    <row r="451" spans="1:9" ht="15">
      <c r="A451" s="96" t="s">
        <v>458</v>
      </c>
      <c r="B451" s="141"/>
      <c r="C451" s="120" t="s">
        <v>5</v>
      </c>
      <c r="D451" s="120" t="s">
        <v>95</v>
      </c>
      <c r="E451" s="120" t="s">
        <v>541</v>
      </c>
      <c r="F451" s="168" t="s">
        <v>109</v>
      </c>
      <c r="G451" s="320">
        <v>23</v>
      </c>
      <c r="H451" s="22"/>
      <c r="I451" s="22"/>
    </row>
    <row r="452" spans="1:9" ht="15">
      <c r="A452" s="101" t="s">
        <v>463</v>
      </c>
      <c r="B452" s="141"/>
      <c r="C452" s="120" t="s">
        <v>5</v>
      </c>
      <c r="D452" s="120" t="s">
        <v>95</v>
      </c>
      <c r="E452" s="120" t="s">
        <v>541</v>
      </c>
      <c r="F452" s="168" t="s">
        <v>464</v>
      </c>
      <c r="G452" s="320">
        <v>1513.3</v>
      </c>
      <c r="H452" s="22"/>
      <c r="I452" s="22"/>
    </row>
    <row r="453" spans="1:9" ht="85.5">
      <c r="A453" s="107" t="s">
        <v>431</v>
      </c>
      <c r="B453" s="141"/>
      <c r="C453" s="120" t="s">
        <v>5</v>
      </c>
      <c r="D453" s="120" t="s">
        <v>95</v>
      </c>
      <c r="E453" s="120" t="s">
        <v>542</v>
      </c>
      <c r="F453" s="168"/>
      <c r="G453" s="320">
        <f>SUM(G454:G455)</f>
        <v>9822.300000000001</v>
      </c>
      <c r="H453" s="22"/>
      <c r="I453" s="22"/>
    </row>
    <row r="454" spans="1:9" ht="15">
      <c r="A454" s="96" t="s">
        <v>458</v>
      </c>
      <c r="B454" s="141"/>
      <c r="C454" s="120" t="s">
        <v>5</v>
      </c>
      <c r="D454" s="120" t="s">
        <v>95</v>
      </c>
      <c r="E454" s="120" t="s">
        <v>542</v>
      </c>
      <c r="F454" s="168" t="s">
        <v>109</v>
      </c>
      <c r="G454" s="320">
        <v>324.1</v>
      </c>
      <c r="H454" s="22"/>
      <c r="I454" s="22"/>
    </row>
    <row r="455" spans="1:9" ht="15">
      <c r="A455" s="101" t="s">
        <v>463</v>
      </c>
      <c r="B455" s="141"/>
      <c r="C455" s="120" t="s">
        <v>5</v>
      </c>
      <c r="D455" s="120" t="s">
        <v>95</v>
      </c>
      <c r="E455" s="120" t="s">
        <v>542</v>
      </c>
      <c r="F455" s="168" t="s">
        <v>464</v>
      </c>
      <c r="G455" s="320">
        <v>9498.2</v>
      </c>
      <c r="H455" s="22"/>
      <c r="I455" s="22"/>
    </row>
    <row r="456" spans="1:9" ht="42.75">
      <c r="A456" s="101" t="s">
        <v>432</v>
      </c>
      <c r="B456" s="141"/>
      <c r="C456" s="120" t="s">
        <v>5</v>
      </c>
      <c r="D456" s="120" t="s">
        <v>95</v>
      </c>
      <c r="E456" s="120" t="s">
        <v>543</v>
      </c>
      <c r="F456" s="168"/>
      <c r="G456" s="320">
        <f>SUM(G457:G458)</f>
        <v>120441.6</v>
      </c>
      <c r="H456" s="22"/>
      <c r="I456" s="22"/>
    </row>
    <row r="457" spans="1:9" ht="15">
      <c r="A457" s="96" t="s">
        <v>458</v>
      </c>
      <c r="B457" s="141"/>
      <c r="C457" s="120" t="s">
        <v>5</v>
      </c>
      <c r="D457" s="120" t="s">
        <v>95</v>
      </c>
      <c r="E457" s="120" t="s">
        <v>543</v>
      </c>
      <c r="F457" s="168" t="s">
        <v>109</v>
      </c>
      <c r="G457" s="320">
        <v>1782.6</v>
      </c>
      <c r="H457" s="22"/>
      <c r="I457" s="22"/>
    </row>
    <row r="458" spans="1:9" ht="15">
      <c r="A458" s="101" t="s">
        <v>463</v>
      </c>
      <c r="B458" s="141"/>
      <c r="C458" s="120" t="s">
        <v>5</v>
      </c>
      <c r="D458" s="120" t="s">
        <v>95</v>
      </c>
      <c r="E458" s="120" t="s">
        <v>543</v>
      </c>
      <c r="F458" s="168" t="s">
        <v>464</v>
      </c>
      <c r="G458" s="320">
        <v>118659</v>
      </c>
      <c r="H458" s="22"/>
      <c r="I458" s="22"/>
    </row>
    <row r="459" spans="1:9" ht="71.25">
      <c r="A459" s="101" t="s">
        <v>433</v>
      </c>
      <c r="B459" s="141"/>
      <c r="C459" s="120" t="s">
        <v>5</v>
      </c>
      <c r="D459" s="120" t="s">
        <v>95</v>
      </c>
      <c r="E459" s="120" t="s">
        <v>544</v>
      </c>
      <c r="F459" s="168"/>
      <c r="G459" s="320">
        <f>SUM(G460:G461)</f>
        <v>1009.3000000000001</v>
      </c>
      <c r="H459" s="22"/>
      <c r="I459" s="22"/>
    </row>
    <row r="460" spans="1:9" ht="15">
      <c r="A460" s="96" t="s">
        <v>458</v>
      </c>
      <c r="B460" s="141"/>
      <c r="C460" s="120" t="s">
        <v>5</v>
      </c>
      <c r="D460" s="120" t="s">
        <v>95</v>
      </c>
      <c r="E460" s="120" t="s">
        <v>544</v>
      </c>
      <c r="F460" s="168" t="s">
        <v>109</v>
      </c>
      <c r="G460" s="320">
        <v>68.6</v>
      </c>
      <c r="H460" s="22"/>
      <c r="I460" s="22"/>
    </row>
    <row r="461" spans="1:9" ht="15">
      <c r="A461" s="101" t="s">
        <v>463</v>
      </c>
      <c r="B461" s="141"/>
      <c r="C461" s="120" t="s">
        <v>5</v>
      </c>
      <c r="D461" s="120" t="s">
        <v>95</v>
      </c>
      <c r="E461" s="120" t="s">
        <v>544</v>
      </c>
      <c r="F461" s="168" t="s">
        <v>464</v>
      </c>
      <c r="G461" s="320">
        <v>940.7</v>
      </c>
      <c r="H461" s="22"/>
      <c r="I461" s="22"/>
    </row>
    <row r="462" spans="1:9" ht="57">
      <c r="A462" s="101" t="s">
        <v>545</v>
      </c>
      <c r="B462" s="141"/>
      <c r="C462" s="120" t="s">
        <v>5</v>
      </c>
      <c r="D462" s="120" t="s">
        <v>95</v>
      </c>
      <c r="E462" s="120" t="s">
        <v>546</v>
      </c>
      <c r="F462" s="168"/>
      <c r="G462" s="320">
        <f>SUM(G463:G464)</f>
        <v>243.4</v>
      </c>
      <c r="H462" s="22"/>
      <c r="I462" s="22"/>
    </row>
    <row r="463" spans="1:9" ht="15">
      <c r="A463" s="96" t="s">
        <v>458</v>
      </c>
      <c r="B463" s="141"/>
      <c r="C463" s="120" t="s">
        <v>5</v>
      </c>
      <c r="D463" s="120" t="s">
        <v>95</v>
      </c>
      <c r="E463" s="120" t="s">
        <v>546</v>
      </c>
      <c r="F463" s="168" t="s">
        <v>109</v>
      </c>
      <c r="G463" s="320">
        <v>3.6</v>
      </c>
      <c r="H463" s="22"/>
      <c r="I463" s="22"/>
    </row>
    <row r="464" spans="1:9" ht="15">
      <c r="A464" s="101" t="s">
        <v>463</v>
      </c>
      <c r="B464" s="141"/>
      <c r="C464" s="120" t="s">
        <v>5</v>
      </c>
      <c r="D464" s="120" t="s">
        <v>95</v>
      </c>
      <c r="E464" s="120" t="s">
        <v>546</v>
      </c>
      <c r="F464" s="168" t="s">
        <v>464</v>
      </c>
      <c r="G464" s="320">
        <v>239.8</v>
      </c>
      <c r="H464" s="22"/>
      <c r="I464" s="22"/>
    </row>
    <row r="465" spans="1:9" ht="42.75">
      <c r="A465" s="101" t="s">
        <v>434</v>
      </c>
      <c r="B465" s="141"/>
      <c r="C465" s="120" t="s">
        <v>5</v>
      </c>
      <c r="D465" s="120" t="s">
        <v>95</v>
      </c>
      <c r="E465" s="120" t="s">
        <v>547</v>
      </c>
      <c r="F465" s="168"/>
      <c r="G465" s="320">
        <f>SUM(G466:G467)</f>
        <v>6680.6</v>
      </c>
      <c r="H465" s="22"/>
      <c r="I465" s="22"/>
    </row>
    <row r="466" spans="1:9" ht="15">
      <c r="A466" s="96" t="s">
        <v>458</v>
      </c>
      <c r="B466" s="141"/>
      <c r="C466" s="120" t="s">
        <v>5</v>
      </c>
      <c r="D466" s="120" t="s">
        <v>95</v>
      </c>
      <c r="E466" s="120" t="s">
        <v>547</v>
      </c>
      <c r="F466" s="168" t="s">
        <v>109</v>
      </c>
      <c r="G466" s="320">
        <v>213.8</v>
      </c>
      <c r="H466" s="22"/>
      <c r="I466" s="22"/>
    </row>
    <row r="467" spans="1:9" ht="15">
      <c r="A467" s="101" t="s">
        <v>463</v>
      </c>
      <c r="B467" s="141"/>
      <c r="C467" s="120" t="s">
        <v>5</v>
      </c>
      <c r="D467" s="120" t="s">
        <v>95</v>
      </c>
      <c r="E467" s="120" t="s">
        <v>547</v>
      </c>
      <c r="F467" s="168" t="s">
        <v>464</v>
      </c>
      <c r="G467" s="320">
        <v>6466.8</v>
      </c>
      <c r="H467" s="22">
        <f>SUM(H468)</f>
        <v>927.6</v>
      </c>
      <c r="I467" s="22">
        <f>SUM(H467/G488*100)</f>
        <v>14.241191371766332</v>
      </c>
    </row>
    <row r="468" spans="1:9" ht="28.5">
      <c r="A468" s="101" t="s">
        <v>435</v>
      </c>
      <c r="B468" s="141"/>
      <c r="C468" s="120" t="s">
        <v>5</v>
      </c>
      <c r="D468" s="120" t="s">
        <v>95</v>
      </c>
      <c r="E468" s="120" t="s">
        <v>548</v>
      </c>
      <c r="F468" s="168"/>
      <c r="G468" s="320">
        <f>SUM(G469:G470)</f>
        <v>5357.2</v>
      </c>
      <c r="H468" s="22">
        <f>SUM(H470:H470)</f>
        <v>927.6</v>
      </c>
      <c r="I468" s="22">
        <f>SUM(H468/G490*100)</f>
        <v>14.455803515771102</v>
      </c>
    </row>
    <row r="469" spans="1:9" ht="15">
      <c r="A469" s="96" t="s">
        <v>458</v>
      </c>
      <c r="B469" s="141"/>
      <c r="C469" s="120" t="s">
        <v>5</v>
      </c>
      <c r="D469" s="120" t="s">
        <v>95</v>
      </c>
      <c r="E469" s="120" t="s">
        <v>548</v>
      </c>
      <c r="F469" s="168" t="s">
        <v>109</v>
      </c>
      <c r="G469" s="320">
        <v>75</v>
      </c>
      <c r="H469" s="22"/>
      <c r="I469" s="22"/>
    </row>
    <row r="470" spans="1:9" ht="15">
      <c r="A470" s="101" t="s">
        <v>463</v>
      </c>
      <c r="B470" s="141"/>
      <c r="C470" s="120" t="s">
        <v>5</v>
      </c>
      <c r="D470" s="120" t="s">
        <v>95</v>
      </c>
      <c r="E470" s="120" t="s">
        <v>548</v>
      </c>
      <c r="F470" s="168" t="s">
        <v>464</v>
      </c>
      <c r="G470" s="320">
        <v>5282.2</v>
      </c>
      <c r="H470" s="22">
        <v>927.6</v>
      </c>
      <c r="I470" s="22">
        <f>SUM(H470/G491*100)</f>
        <v>17.23650958822655</v>
      </c>
    </row>
    <row r="471" spans="1:9" ht="42.75">
      <c r="A471" s="107" t="s">
        <v>436</v>
      </c>
      <c r="B471" s="141"/>
      <c r="C471" s="120" t="s">
        <v>5</v>
      </c>
      <c r="D471" s="120" t="s">
        <v>95</v>
      </c>
      <c r="E471" s="120" t="s">
        <v>549</v>
      </c>
      <c r="F471" s="168"/>
      <c r="G471" s="320">
        <f>SUM(G472:G474)</f>
        <v>1764.6999999999998</v>
      </c>
      <c r="H471" s="22">
        <f>SUM(H473)</f>
        <v>3319.1</v>
      </c>
      <c r="I471" s="22">
        <f>SUM(H471/G493*100)</f>
        <v>62.20552129992316</v>
      </c>
    </row>
    <row r="472" spans="1:9" ht="15">
      <c r="A472" s="96" t="s">
        <v>458</v>
      </c>
      <c r="B472" s="141"/>
      <c r="C472" s="120" t="s">
        <v>5</v>
      </c>
      <c r="D472" s="120" t="s">
        <v>95</v>
      </c>
      <c r="E472" s="120" t="s">
        <v>549</v>
      </c>
      <c r="F472" s="168" t="s">
        <v>109</v>
      </c>
      <c r="G472" s="320">
        <v>25.6</v>
      </c>
      <c r="H472" s="22"/>
      <c r="I472" s="22"/>
    </row>
    <row r="473" spans="1:9" ht="15">
      <c r="A473" s="101" t="s">
        <v>463</v>
      </c>
      <c r="B473" s="141"/>
      <c r="C473" s="120" t="s">
        <v>5</v>
      </c>
      <c r="D473" s="120" t="s">
        <v>95</v>
      </c>
      <c r="E473" s="120" t="s">
        <v>549</v>
      </c>
      <c r="F473" s="168" t="s">
        <v>464</v>
      </c>
      <c r="G473" s="320">
        <v>1451.5</v>
      </c>
      <c r="H473" s="22">
        <f>SUM(H474)</f>
        <v>3319.1</v>
      </c>
      <c r="I473" s="22">
        <f>SUM(H473/G494*100)</f>
        <v>17.79048701263896</v>
      </c>
    </row>
    <row r="474" spans="1:9" ht="28.5">
      <c r="A474" s="101" t="s">
        <v>550</v>
      </c>
      <c r="B474" s="141"/>
      <c r="C474" s="120" t="s">
        <v>5</v>
      </c>
      <c r="D474" s="120" t="s">
        <v>95</v>
      </c>
      <c r="E474" s="120" t="s">
        <v>549</v>
      </c>
      <c r="F474" s="168" t="s">
        <v>471</v>
      </c>
      <c r="G474" s="320">
        <v>287.6</v>
      </c>
      <c r="H474" s="22">
        <v>3319.1</v>
      </c>
      <c r="I474" s="22">
        <f>SUM(H474/G496*100)</f>
        <v>18.069914689053306</v>
      </c>
    </row>
    <row r="475" spans="1:9" s="73" customFormat="1" ht="42.75">
      <c r="A475" s="101" t="s">
        <v>437</v>
      </c>
      <c r="B475" s="141"/>
      <c r="C475" s="120" t="s">
        <v>5</v>
      </c>
      <c r="D475" s="120" t="s">
        <v>95</v>
      </c>
      <c r="E475" s="120" t="s">
        <v>551</v>
      </c>
      <c r="F475" s="168"/>
      <c r="G475" s="320">
        <f>SUM(G476:G477)</f>
        <v>4853.7</v>
      </c>
      <c r="H475" s="22">
        <f>SUM(H477)</f>
        <v>3319.1</v>
      </c>
      <c r="I475" s="22">
        <f>SUM(H475/G497*100)</f>
        <v>10.98399608175368</v>
      </c>
    </row>
    <row r="476" spans="1:9" s="73" customFormat="1" ht="15">
      <c r="A476" s="96" t="s">
        <v>458</v>
      </c>
      <c r="B476" s="141"/>
      <c r="C476" s="120" t="s">
        <v>5</v>
      </c>
      <c r="D476" s="120" t="s">
        <v>95</v>
      </c>
      <c r="E476" s="120" t="s">
        <v>551</v>
      </c>
      <c r="F476" s="168" t="s">
        <v>109</v>
      </c>
      <c r="G476" s="320">
        <v>72.8</v>
      </c>
      <c r="H476" s="22"/>
      <c r="I476" s="22"/>
    </row>
    <row r="477" spans="1:9" s="73" customFormat="1" ht="15">
      <c r="A477" s="101" t="s">
        <v>463</v>
      </c>
      <c r="B477" s="141"/>
      <c r="C477" s="120" t="s">
        <v>5</v>
      </c>
      <c r="D477" s="120" t="s">
        <v>95</v>
      </c>
      <c r="E477" s="120" t="s">
        <v>551</v>
      </c>
      <c r="F477" s="168" t="s">
        <v>464</v>
      </c>
      <c r="G477" s="320">
        <v>4780.9</v>
      </c>
      <c r="H477" s="22">
        <v>3319.1</v>
      </c>
      <c r="I477" s="22">
        <f>SUM(H477/G498*100)</f>
        <v>12.094655409270953</v>
      </c>
    </row>
    <row r="478" spans="1:9" ht="15">
      <c r="A478" s="101" t="s">
        <v>170</v>
      </c>
      <c r="B478" s="141"/>
      <c r="C478" s="120" t="s">
        <v>5</v>
      </c>
      <c r="D478" s="120" t="s">
        <v>95</v>
      </c>
      <c r="E478" s="120" t="s">
        <v>171</v>
      </c>
      <c r="F478" s="168"/>
      <c r="G478" s="320">
        <f>SUM(G479)</f>
        <v>952.9</v>
      </c>
      <c r="H478" s="22">
        <f>SUM(H479+H483)</f>
        <v>17205.399999999998</v>
      </c>
      <c r="I478" s="22">
        <f>SUM(H478/G499*100)</f>
        <v>552.3580211242735</v>
      </c>
    </row>
    <row r="479" spans="1:9" ht="15">
      <c r="A479" s="101" t="s">
        <v>172</v>
      </c>
      <c r="B479" s="141"/>
      <c r="C479" s="120" t="s">
        <v>5</v>
      </c>
      <c r="D479" s="120" t="s">
        <v>95</v>
      </c>
      <c r="E479" s="120" t="s">
        <v>173</v>
      </c>
      <c r="F479" s="168"/>
      <c r="G479" s="320">
        <f>SUM(G480:G481)</f>
        <v>952.9</v>
      </c>
      <c r="H479" s="22">
        <f>SUM(H481)</f>
        <v>0</v>
      </c>
      <c r="I479" s="22">
        <f>SUM(H479/G500*100)</f>
        <v>0</v>
      </c>
    </row>
    <row r="480" spans="1:9" ht="15">
      <c r="A480" s="96" t="s">
        <v>458</v>
      </c>
      <c r="B480" s="141"/>
      <c r="C480" s="120" t="s">
        <v>5</v>
      </c>
      <c r="D480" s="120" t="s">
        <v>95</v>
      </c>
      <c r="E480" s="120" t="s">
        <v>173</v>
      </c>
      <c r="F480" s="168" t="s">
        <v>109</v>
      </c>
      <c r="G480" s="320">
        <v>248.9</v>
      </c>
      <c r="H480" s="22"/>
      <c r="I480" s="22"/>
    </row>
    <row r="481" spans="1:9" ht="15">
      <c r="A481" s="101" t="s">
        <v>463</v>
      </c>
      <c r="B481" s="141"/>
      <c r="C481" s="120" t="s">
        <v>5</v>
      </c>
      <c r="D481" s="120" t="s">
        <v>95</v>
      </c>
      <c r="E481" s="120" t="s">
        <v>173</v>
      </c>
      <c r="F481" s="168" t="s">
        <v>464</v>
      </c>
      <c r="G481" s="320">
        <v>704</v>
      </c>
      <c r="H481" s="22">
        <f>SUM(H482)</f>
        <v>0</v>
      </c>
      <c r="I481" s="22">
        <f>SUM(H481/G501*100)</f>
        <v>0</v>
      </c>
    </row>
    <row r="482" spans="1:9" ht="15">
      <c r="A482" s="101" t="s">
        <v>552</v>
      </c>
      <c r="B482" s="141"/>
      <c r="C482" s="120" t="s">
        <v>5</v>
      </c>
      <c r="D482" s="120" t="s">
        <v>95</v>
      </c>
      <c r="E482" s="120" t="s">
        <v>118</v>
      </c>
      <c r="F482" s="168"/>
      <c r="G482" s="320">
        <f>G483</f>
        <v>295.4</v>
      </c>
      <c r="H482" s="22"/>
      <c r="I482" s="22">
        <f>SUM(H482/G502*100)</f>
        <v>0</v>
      </c>
    </row>
    <row r="483" spans="1:9" ht="15">
      <c r="A483" s="101" t="s">
        <v>638</v>
      </c>
      <c r="B483" s="141"/>
      <c r="C483" s="120" t="s">
        <v>5</v>
      </c>
      <c r="D483" s="120" t="s">
        <v>95</v>
      </c>
      <c r="E483" s="120" t="s">
        <v>553</v>
      </c>
      <c r="F483" s="168"/>
      <c r="G483" s="320">
        <f>G484</f>
        <v>295.4</v>
      </c>
      <c r="H483" s="22">
        <f>SUM(H484)</f>
        <v>17205.399999999998</v>
      </c>
      <c r="I483" s="22">
        <f>SUM(H483/G503*100)</f>
        <v>477.6093715300909</v>
      </c>
    </row>
    <row r="484" spans="1:9" ht="15">
      <c r="A484" s="101" t="s">
        <v>463</v>
      </c>
      <c r="B484" s="141"/>
      <c r="C484" s="120" t="s">
        <v>5</v>
      </c>
      <c r="D484" s="120" t="s">
        <v>95</v>
      </c>
      <c r="E484" s="120" t="s">
        <v>553</v>
      </c>
      <c r="F484" s="168" t="s">
        <v>464</v>
      </c>
      <c r="G484" s="320">
        <v>295.4</v>
      </c>
      <c r="H484" s="22">
        <f>SUM(H490)+H491+H496+H485+H487</f>
        <v>17205.399999999998</v>
      </c>
      <c r="I484" s="22">
        <f>SUM(H484/G504*100)</f>
        <v>2982.388628878488</v>
      </c>
    </row>
    <row r="485" spans="1:9" ht="15">
      <c r="A485" s="107" t="s">
        <v>147</v>
      </c>
      <c r="B485" s="141"/>
      <c r="C485" s="120" t="s">
        <v>5</v>
      </c>
      <c r="D485" s="120" t="s">
        <v>111</v>
      </c>
      <c r="E485" s="120"/>
      <c r="F485" s="168"/>
      <c r="G485" s="320">
        <f>SUM(G486)</f>
        <v>30551.699999999997</v>
      </c>
      <c r="H485" s="22">
        <f>SUM(H486)</f>
        <v>241.8</v>
      </c>
      <c r="I485" s="22">
        <f>SUM(H485/G506*100)</f>
        <v>1.6592442135745116</v>
      </c>
    </row>
    <row r="486" spans="1:9" ht="15">
      <c r="A486" s="101" t="s">
        <v>148</v>
      </c>
      <c r="B486" s="141"/>
      <c r="C486" s="120" t="s">
        <v>5</v>
      </c>
      <c r="D486" s="120" t="s">
        <v>111</v>
      </c>
      <c r="E486" s="120" t="s">
        <v>210</v>
      </c>
      <c r="F486" s="168"/>
      <c r="G486" s="320">
        <f>SUM(G487)</f>
        <v>30551.699999999997</v>
      </c>
      <c r="H486" s="22">
        <v>241.8</v>
      </c>
      <c r="I486" s="22">
        <f>SUM(H486/G507*100)</f>
        <v>1.6592442135745116</v>
      </c>
    </row>
    <row r="487" spans="1:9" ht="28.5">
      <c r="A487" s="101" t="s">
        <v>438</v>
      </c>
      <c r="B487" s="141"/>
      <c r="C487" s="120" t="s">
        <v>5</v>
      </c>
      <c r="D487" s="120" t="s">
        <v>111</v>
      </c>
      <c r="E487" s="120" t="s">
        <v>151</v>
      </c>
      <c r="F487" s="168"/>
      <c r="G487" s="320">
        <f>SUM(G494+G488+G491)</f>
        <v>30551.699999999997</v>
      </c>
      <c r="H487" s="22">
        <f>SUM(H488)</f>
        <v>252</v>
      </c>
      <c r="I487" s="22">
        <f>SUM(H487/G508*100)</f>
        <v>4.563811869532933</v>
      </c>
    </row>
    <row r="488" spans="1:9" ht="15">
      <c r="A488" s="101" t="s">
        <v>152</v>
      </c>
      <c r="B488" s="141"/>
      <c r="C488" s="120" t="s">
        <v>5</v>
      </c>
      <c r="D488" s="120" t="s">
        <v>111</v>
      </c>
      <c r="E488" s="120" t="s">
        <v>153</v>
      </c>
      <c r="F488" s="168"/>
      <c r="G488" s="320">
        <f>SUM(G489:G490)</f>
        <v>6513.5</v>
      </c>
      <c r="H488" s="22">
        <v>252</v>
      </c>
      <c r="I488" s="22">
        <f>SUM(H488/G509*100)</f>
        <v>5.0923493513316895</v>
      </c>
    </row>
    <row r="489" spans="1:9" ht="15">
      <c r="A489" s="96" t="s">
        <v>458</v>
      </c>
      <c r="B489" s="141"/>
      <c r="C489" s="120" t="s">
        <v>5</v>
      </c>
      <c r="D489" s="120" t="s">
        <v>111</v>
      </c>
      <c r="E489" s="120" t="s">
        <v>153</v>
      </c>
      <c r="F489" s="168" t="s">
        <v>109</v>
      </c>
      <c r="G489" s="320">
        <v>96.7</v>
      </c>
      <c r="H489" s="22"/>
      <c r="I489" s="22"/>
    </row>
    <row r="490" spans="1:9" ht="15">
      <c r="A490" s="101" t="s">
        <v>463</v>
      </c>
      <c r="B490" s="141"/>
      <c r="C490" s="120" t="s">
        <v>5</v>
      </c>
      <c r="D490" s="120" t="s">
        <v>111</v>
      </c>
      <c r="E490" s="120" t="s">
        <v>153</v>
      </c>
      <c r="F490" s="168" t="s">
        <v>464</v>
      </c>
      <c r="G490" s="320">
        <v>6416.8</v>
      </c>
      <c r="H490" s="22">
        <f>SUM(H494)</f>
        <v>0</v>
      </c>
      <c r="I490" s="22">
        <f>SUM(H490/G510*100)</f>
        <v>0</v>
      </c>
    </row>
    <row r="491" spans="1:9" ht="15">
      <c r="A491" s="101" t="s">
        <v>439</v>
      </c>
      <c r="B491" s="141"/>
      <c r="C491" s="120" t="s">
        <v>5</v>
      </c>
      <c r="D491" s="120" t="s">
        <v>111</v>
      </c>
      <c r="E491" s="120" t="s">
        <v>154</v>
      </c>
      <c r="F491" s="168"/>
      <c r="G491" s="320">
        <f>SUM(G492:G493)</f>
        <v>5381.599999999999</v>
      </c>
      <c r="H491" s="22">
        <f>SUM(H493)</f>
        <v>0</v>
      </c>
      <c r="I491" s="22">
        <f>SUM(H491/G511*100)</f>
        <v>0</v>
      </c>
    </row>
    <row r="492" spans="1:9" ht="15">
      <c r="A492" s="96" t="s">
        <v>458</v>
      </c>
      <c r="B492" s="141"/>
      <c r="C492" s="120" t="s">
        <v>5</v>
      </c>
      <c r="D492" s="120" t="s">
        <v>111</v>
      </c>
      <c r="E492" s="120" t="s">
        <v>154</v>
      </c>
      <c r="F492" s="168" t="s">
        <v>109</v>
      </c>
      <c r="G492" s="320">
        <v>45.9</v>
      </c>
      <c r="H492" s="22"/>
      <c r="I492" s="22"/>
    </row>
    <row r="493" spans="1:9" ht="15">
      <c r="A493" s="101" t="s">
        <v>463</v>
      </c>
      <c r="B493" s="141"/>
      <c r="C493" s="120" t="s">
        <v>5</v>
      </c>
      <c r="D493" s="120" t="s">
        <v>111</v>
      </c>
      <c r="E493" s="120" t="s">
        <v>154</v>
      </c>
      <c r="F493" s="168" t="s">
        <v>464</v>
      </c>
      <c r="G493" s="320">
        <v>5335.7</v>
      </c>
      <c r="H493" s="22"/>
      <c r="I493" s="22">
        <f>SUM(H493/G512*100)</f>
        <v>0</v>
      </c>
    </row>
    <row r="494" spans="1:9" ht="15">
      <c r="A494" s="101" t="s">
        <v>440</v>
      </c>
      <c r="B494" s="141"/>
      <c r="C494" s="120" t="s">
        <v>5</v>
      </c>
      <c r="D494" s="120" t="s">
        <v>111</v>
      </c>
      <c r="E494" s="120" t="s">
        <v>441</v>
      </c>
      <c r="F494" s="168"/>
      <c r="G494" s="320">
        <f>SUM(G495:G496)</f>
        <v>18656.6</v>
      </c>
      <c r="H494" s="22"/>
      <c r="I494" s="22">
        <f>SUM(H494/G513*100)</f>
        <v>0</v>
      </c>
    </row>
    <row r="495" spans="1:9" ht="15">
      <c r="A495" s="96" t="s">
        <v>458</v>
      </c>
      <c r="B495" s="141"/>
      <c r="C495" s="120" t="s">
        <v>5</v>
      </c>
      <c r="D495" s="120" t="s">
        <v>111</v>
      </c>
      <c r="E495" s="120" t="s">
        <v>441</v>
      </c>
      <c r="F495" s="168" t="s">
        <v>109</v>
      </c>
      <c r="G495" s="320">
        <v>288.5</v>
      </c>
      <c r="H495" s="22"/>
      <c r="I495" s="22"/>
    </row>
    <row r="496" spans="1:9" ht="15">
      <c r="A496" s="101" t="s">
        <v>463</v>
      </c>
      <c r="B496" s="141"/>
      <c r="C496" s="120" t="s">
        <v>5</v>
      </c>
      <c r="D496" s="120" t="s">
        <v>111</v>
      </c>
      <c r="E496" s="120" t="s">
        <v>441</v>
      </c>
      <c r="F496" s="168" t="s">
        <v>464</v>
      </c>
      <c r="G496" s="320">
        <v>18368.1</v>
      </c>
      <c r="H496" s="22">
        <f>SUM(H497)</f>
        <v>16711.6</v>
      </c>
      <c r="I496" s="22">
        <f aca="true" t="shared" si="9" ref="I496:I503">SUM(H496/G514*100)</f>
        <v>1486.0039125022229</v>
      </c>
    </row>
    <row r="497" spans="1:9" ht="15">
      <c r="A497" s="101" t="s">
        <v>155</v>
      </c>
      <c r="B497" s="141"/>
      <c r="C497" s="120" t="s">
        <v>5</v>
      </c>
      <c r="D497" s="120" t="s">
        <v>352</v>
      </c>
      <c r="E497" s="120"/>
      <c r="F497" s="168"/>
      <c r="G497" s="320">
        <f>G498+G511+G519</f>
        <v>30217.6</v>
      </c>
      <c r="H497" s="22">
        <v>16711.6</v>
      </c>
      <c r="I497" s="22">
        <f t="shared" si="9"/>
        <v>1486.0039125022229</v>
      </c>
    </row>
    <row r="498" spans="1:9" ht="28.5">
      <c r="A498" s="101" t="s">
        <v>88</v>
      </c>
      <c r="B498" s="141"/>
      <c r="C498" s="120" t="s">
        <v>5</v>
      </c>
      <c r="D498" s="120" t="s">
        <v>352</v>
      </c>
      <c r="E498" s="120" t="s">
        <v>89</v>
      </c>
      <c r="F498" s="168"/>
      <c r="G498" s="320">
        <f>G499+G502+G506+G508</f>
        <v>27442.7</v>
      </c>
      <c r="H498" s="22">
        <f>SUM(H499)</f>
        <v>15109.199999999999</v>
      </c>
      <c r="I498" s="22">
        <f t="shared" si="9"/>
        <v>1189.4198220892702</v>
      </c>
    </row>
    <row r="499" spans="1:9" ht="15">
      <c r="A499" s="101" t="s">
        <v>96</v>
      </c>
      <c r="B499" s="141"/>
      <c r="C499" s="120" t="s">
        <v>5</v>
      </c>
      <c r="D499" s="120" t="s">
        <v>352</v>
      </c>
      <c r="E499" s="120" t="s">
        <v>98</v>
      </c>
      <c r="F499" s="168"/>
      <c r="G499" s="320">
        <f>G500+G501</f>
        <v>3114.9</v>
      </c>
      <c r="H499" s="22">
        <f>SUM(H500)</f>
        <v>15109.199999999999</v>
      </c>
      <c r="I499" s="22" t="e">
        <f t="shared" si="9"/>
        <v>#DIV/0!</v>
      </c>
    </row>
    <row r="500" spans="1:11" ht="28.5">
      <c r="A500" s="101" t="s">
        <v>554</v>
      </c>
      <c r="B500" s="141"/>
      <c r="C500" s="120" t="s">
        <v>5</v>
      </c>
      <c r="D500" s="120" t="s">
        <v>352</v>
      </c>
      <c r="E500" s="120" t="s">
        <v>98</v>
      </c>
      <c r="F500" s="168" t="s">
        <v>454</v>
      </c>
      <c r="G500" s="320">
        <v>3102.3</v>
      </c>
      <c r="H500" s="22">
        <f>SUM(H509+H502+H504+H511+H501)</f>
        <v>15109.199999999999</v>
      </c>
      <c r="I500" s="22">
        <f t="shared" si="9"/>
        <v>1189.4198220892702</v>
      </c>
      <c r="K500" s="91"/>
    </row>
    <row r="501" spans="1:9" ht="15">
      <c r="A501" s="101" t="s">
        <v>458</v>
      </c>
      <c r="B501" s="141"/>
      <c r="C501" s="120" t="s">
        <v>5</v>
      </c>
      <c r="D501" s="120" t="s">
        <v>352</v>
      </c>
      <c r="E501" s="120" t="s">
        <v>98</v>
      </c>
      <c r="F501" s="168" t="s">
        <v>109</v>
      </c>
      <c r="G501" s="320">
        <v>12.6</v>
      </c>
      <c r="H501" s="22">
        <v>227.6</v>
      </c>
      <c r="I501" s="22">
        <f t="shared" si="9"/>
        <v>151.73333333333332</v>
      </c>
    </row>
    <row r="502" spans="1:9" ht="42.75">
      <c r="A502" s="101" t="s">
        <v>555</v>
      </c>
      <c r="B502" s="141"/>
      <c r="C502" s="120" t="s">
        <v>5</v>
      </c>
      <c r="D502" s="120" t="s">
        <v>352</v>
      </c>
      <c r="E502" s="120" t="s">
        <v>158</v>
      </c>
      <c r="F502" s="168"/>
      <c r="G502" s="320">
        <f>SUM(G503:G505)</f>
        <v>4233.2</v>
      </c>
      <c r="H502" s="22">
        <f>SUM(H503)</f>
        <v>0</v>
      </c>
      <c r="I502" s="22">
        <f t="shared" si="9"/>
        <v>0</v>
      </c>
    </row>
    <row r="503" spans="1:9" ht="28.5">
      <c r="A503" s="101" t="s">
        <v>554</v>
      </c>
      <c r="B503" s="141"/>
      <c r="C503" s="120" t="s">
        <v>5</v>
      </c>
      <c r="D503" s="120" t="s">
        <v>352</v>
      </c>
      <c r="E503" s="120" t="s">
        <v>158</v>
      </c>
      <c r="F503" s="168" t="s">
        <v>454</v>
      </c>
      <c r="G503" s="320">
        <v>3602.4</v>
      </c>
      <c r="H503" s="22"/>
      <c r="I503" s="22">
        <f t="shared" si="9"/>
        <v>0</v>
      </c>
    </row>
    <row r="504" spans="1:9" s="85" customFormat="1" ht="15">
      <c r="A504" s="101" t="s">
        <v>458</v>
      </c>
      <c r="B504" s="180"/>
      <c r="C504" s="120" t="s">
        <v>5</v>
      </c>
      <c r="D504" s="120" t="s">
        <v>352</v>
      </c>
      <c r="E504" s="120" t="s">
        <v>158</v>
      </c>
      <c r="F504" s="168" t="s">
        <v>109</v>
      </c>
      <c r="G504" s="320">
        <v>576.9</v>
      </c>
      <c r="H504" s="22">
        <f>SUM(H506)</f>
        <v>2507.7</v>
      </c>
      <c r="I504" s="22" t="e">
        <f>SUM(H504/#REF!*100)</f>
        <v>#REF!</v>
      </c>
    </row>
    <row r="505" spans="1:9" s="85" customFormat="1" ht="15">
      <c r="A505" s="96" t="s">
        <v>459</v>
      </c>
      <c r="B505" s="180"/>
      <c r="C505" s="120" t="s">
        <v>5</v>
      </c>
      <c r="D505" s="120" t="s">
        <v>352</v>
      </c>
      <c r="E505" s="120" t="s">
        <v>158</v>
      </c>
      <c r="F505" s="168" t="s">
        <v>163</v>
      </c>
      <c r="G505" s="320">
        <v>53.9</v>
      </c>
      <c r="H505" s="22"/>
      <c r="I505" s="22"/>
    </row>
    <row r="506" spans="1:9" s="85" customFormat="1" ht="28.5">
      <c r="A506" s="101" t="s">
        <v>156</v>
      </c>
      <c r="B506" s="141"/>
      <c r="C506" s="120" t="s">
        <v>5</v>
      </c>
      <c r="D506" s="120" t="s">
        <v>352</v>
      </c>
      <c r="E506" s="120" t="s">
        <v>157</v>
      </c>
      <c r="F506" s="168"/>
      <c r="G506" s="320">
        <f>SUM(G507)</f>
        <v>14572.9</v>
      </c>
      <c r="H506" s="22">
        <v>2507.7</v>
      </c>
      <c r="I506" s="22" t="e">
        <f>SUM(H506/#REF!*100)</f>
        <v>#REF!</v>
      </c>
    </row>
    <row r="507" spans="1:9" s="85" customFormat="1" ht="28.5">
      <c r="A507" s="101" t="s">
        <v>554</v>
      </c>
      <c r="B507" s="141"/>
      <c r="C507" s="120" t="s">
        <v>5</v>
      </c>
      <c r="D507" s="120" t="s">
        <v>352</v>
      </c>
      <c r="E507" s="120" t="s">
        <v>157</v>
      </c>
      <c r="F507" s="168" t="s">
        <v>454</v>
      </c>
      <c r="G507" s="320">
        <v>14572.9</v>
      </c>
      <c r="H507" s="22"/>
      <c r="I507" s="22" t="e">
        <f>SUM(H507/#REF!*100)</f>
        <v>#REF!</v>
      </c>
    </row>
    <row r="508" spans="1:9" ht="28.5">
      <c r="A508" s="101" t="s">
        <v>159</v>
      </c>
      <c r="B508" s="180"/>
      <c r="C508" s="120" t="s">
        <v>5</v>
      </c>
      <c r="D508" s="120" t="s">
        <v>352</v>
      </c>
      <c r="E508" s="120" t="s">
        <v>160</v>
      </c>
      <c r="F508" s="168"/>
      <c r="G508" s="320">
        <f>G509+G510</f>
        <v>5521.700000000001</v>
      </c>
      <c r="H508" s="22">
        <f>2956.3+101.6</f>
        <v>3057.9</v>
      </c>
      <c r="I508" s="22" t="e">
        <f>SUM(H508/#REF!*100)</f>
        <v>#REF!</v>
      </c>
    </row>
    <row r="509" spans="1:9" ht="28.5">
      <c r="A509" s="101" t="s">
        <v>554</v>
      </c>
      <c r="B509" s="141"/>
      <c r="C509" s="120" t="s">
        <v>5</v>
      </c>
      <c r="D509" s="120" t="s">
        <v>352</v>
      </c>
      <c r="E509" s="120" t="s">
        <v>160</v>
      </c>
      <c r="F509" s="168" t="s">
        <v>454</v>
      </c>
      <c r="G509" s="320">
        <v>4948.6</v>
      </c>
      <c r="H509" s="22">
        <f>SUM(H510)</f>
        <v>10267.1</v>
      </c>
      <c r="I509" s="22" t="e">
        <f>SUM(H509/#REF!*100)</f>
        <v>#REF!</v>
      </c>
    </row>
    <row r="510" spans="1:9" ht="15">
      <c r="A510" s="101" t="s">
        <v>458</v>
      </c>
      <c r="B510" s="141"/>
      <c r="C510" s="120" t="s">
        <v>5</v>
      </c>
      <c r="D510" s="120" t="s">
        <v>352</v>
      </c>
      <c r="E510" s="120" t="s">
        <v>160</v>
      </c>
      <c r="F510" s="168" t="s">
        <v>109</v>
      </c>
      <c r="G510" s="320">
        <v>573.1</v>
      </c>
      <c r="H510" s="22">
        <v>10267.1</v>
      </c>
      <c r="I510" s="22" t="e">
        <f>SUM(H510/#REF!*100)</f>
        <v>#REF!</v>
      </c>
    </row>
    <row r="511" spans="1:9" s="85" customFormat="1" ht="28.5">
      <c r="A511" s="101" t="s">
        <v>455</v>
      </c>
      <c r="B511" s="141"/>
      <c r="C511" s="120" t="s">
        <v>5</v>
      </c>
      <c r="D511" s="120" t="s">
        <v>352</v>
      </c>
      <c r="E511" s="120" t="s">
        <v>456</v>
      </c>
      <c r="F511" s="168"/>
      <c r="G511" s="320">
        <f>G512+G514+G516</f>
        <v>2624.8999999999996</v>
      </c>
      <c r="H511" s="22">
        <f>SUM(H512)</f>
        <v>2106.8</v>
      </c>
      <c r="I511" s="22" t="e">
        <f>SUM(H511/#REF!*100)</f>
        <v>#REF!</v>
      </c>
    </row>
    <row r="512" spans="1:9" ht="15">
      <c r="A512" s="101" t="s">
        <v>444</v>
      </c>
      <c r="B512" s="180"/>
      <c r="C512" s="120" t="s">
        <v>5</v>
      </c>
      <c r="D512" s="120" t="s">
        <v>352</v>
      </c>
      <c r="E512" s="120" t="s">
        <v>457</v>
      </c>
      <c r="F512" s="168"/>
      <c r="G512" s="320">
        <f>SUM(G513)</f>
        <v>230</v>
      </c>
      <c r="H512" s="22">
        <v>2106.8</v>
      </c>
      <c r="I512" s="22" t="e">
        <f>SUM(H512/#REF!*100)</f>
        <v>#REF!</v>
      </c>
    </row>
    <row r="513" spans="1:9" s="73" customFormat="1" ht="15">
      <c r="A513" s="101" t="s">
        <v>458</v>
      </c>
      <c r="B513" s="141"/>
      <c r="C513" s="120" t="s">
        <v>5</v>
      </c>
      <c r="D513" s="120" t="s">
        <v>352</v>
      </c>
      <c r="E513" s="120" t="s">
        <v>457</v>
      </c>
      <c r="F513" s="168" t="s">
        <v>109</v>
      </c>
      <c r="G513" s="320">
        <v>230</v>
      </c>
      <c r="H513" s="22"/>
      <c r="I513" s="22"/>
    </row>
    <row r="514" spans="1:9" s="73" customFormat="1" ht="28.5">
      <c r="A514" s="101" t="s">
        <v>445</v>
      </c>
      <c r="B514" s="180"/>
      <c r="C514" s="120" t="s">
        <v>5</v>
      </c>
      <c r="D514" s="120" t="s">
        <v>352</v>
      </c>
      <c r="E514" s="120" t="s">
        <v>460</v>
      </c>
      <c r="F514" s="168"/>
      <c r="G514" s="320">
        <f>SUM(G515)</f>
        <v>1124.6</v>
      </c>
      <c r="H514" s="22"/>
      <c r="I514" s="22"/>
    </row>
    <row r="515" spans="1:9" s="73" customFormat="1" ht="15">
      <c r="A515" s="101" t="s">
        <v>458</v>
      </c>
      <c r="B515" s="141"/>
      <c r="C515" s="120" t="s">
        <v>5</v>
      </c>
      <c r="D515" s="120" t="s">
        <v>352</v>
      </c>
      <c r="E515" s="120" t="s">
        <v>460</v>
      </c>
      <c r="F515" s="168" t="s">
        <v>109</v>
      </c>
      <c r="G515" s="320">
        <v>1124.6</v>
      </c>
      <c r="H515" s="22"/>
      <c r="I515" s="22"/>
    </row>
    <row r="516" spans="1:9" s="73" customFormat="1" ht="28.5">
      <c r="A516" s="101" t="s">
        <v>461</v>
      </c>
      <c r="B516" s="180"/>
      <c r="C516" s="120" t="s">
        <v>5</v>
      </c>
      <c r="D516" s="120" t="s">
        <v>352</v>
      </c>
      <c r="E516" s="120" t="s">
        <v>462</v>
      </c>
      <c r="F516" s="168"/>
      <c r="G516" s="320">
        <f>G517+G518</f>
        <v>1270.3</v>
      </c>
      <c r="H516" s="22">
        <v>1026.3</v>
      </c>
      <c r="I516" s="22" t="e">
        <f>SUM(H516/#REF!*100)</f>
        <v>#REF!</v>
      </c>
    </row>
    <row r="517" spans="1:9" s="73" customFormat="1" ht="28.5" hidden="1">
      <c r="A517" s="101" t="s">
        <v>554</v>
      </c>
      <c r="B517" s="141"/>
      <c r="C517" s="120" t="s">
        <v>5</v>
      </c>
      <c r="D517" s="120" t="s">
        <v>352</v>
      </c>
      <c r="E517" s="120" t="s">
        <v>462</v>
      </c>
      <c r="F517" s="168" t="s">
        <v>454</v>
      </c>
      <c r="G517" s="320"/>
      <c r="H517" s="22"/>
      <c r="I517" s="22"/>
    </row>
    <row r="518" spans="1:9" s="73" customFormat="1" ht="15">
      <c r="A518" s="101" t="s">
        <v>458</v>
      </c>
      <c r="B518" s="141"/>
      <c r="C518" s="120" t="s">
        <v>5</v>
      </c>
      <c r="D518" s="120" t="s">
        <v>352</v>
      </c>
      <c r="E518" s="120" t="s">
        <v>462</v>
      </c>
      <c r="F518" s="168" t="s">
        <v>109</v>
      </c>
      <c r="G518" s="320">
        <v>1270.3</v>
      </c>
      <c r="H518" s="22"/>
      <c r="I518" s="22"/>
    </row>
    <row r="519" spans="1:9" s="73" customFormat="1" ht="15">
      <c r="A519" s="101" t="s">
        <v>552</v>
      </c>
      <c r="B519" s="141"/>
      <c r="C519" s="120" t="s">
        <v>5</v>
      </c>
      <c r="D519" s="120" t="s">
        <v>352</v>
      </c>
      <c r="E519" s="120" t="s">
        <v>118</v>
      </c>
      <c r="F519" s="168"/>
      <c r="G519" s="320">
        <f>G520</f>
        <v>150</v>
      </c>
      <c r="H519" s="22"/>
      <c r="I519" s="22"/>
    </row>
    <row r="520" spans="1:9" s="73" customFormat="1" ht="71.25">
      <c r="A520" s="101" t="s">
        <v>622</v>
      </c>
      <c r="B520" s="141"/>
      <c r="C520" s="120" t="s">
        <v>5</v>
      </c>
      <c r="D520" s="120" t="s">
        <v>352</v>
      </c>
      <c r="E520" s="120" t="s">
        <v>326</v>
      </c>
      <c r="F520" s="168"/>
      <c r="G520" s="320">
        <f>G521</f>
        <v>150</v>
      </c>
      <c r="H520" s="22"/>
      <c r="I520" s="22"/>
    </row>
    <row r="521" spans="1:9" ht="28.5">
      <c r="A521" s="101" t="s">
        <v>550</v>
      </c>
      <c r="B521" s="141"/>
      <c r="C521" s="120" t="s">
        <v>5</v>
      </c>
      <c r="D521" s="120" t="s">
        <v>352</v>
      </c>
      <c r="E521" s="120" t="s">
        <v>326</v>
      </c>
      <c r="F521" s="168" t="s">
        <v>471</v>
      </c>
      <c r="G521" s="320">
        <v>150</v>
      </c>
      <c r="H521" s="22"/>
      <c r="I521" s="22"/>
    </row>
    <row r="522" spans="1:9" ht="30">
      <c r="A522" s="106" t="s">
        <v>446</v>
      </c>
      <c r="B522" s="127" t="s">
        <v>189</v>
      </c>
      <c r="C522" s="181"/>
      <c r="D522" s="181"/>
      <c r="E522" s="181"/>
      <c r="F522" s="182"/>
      <c r="G522" s="321">
        <f>SUM(G523+G529)</f>
        <v>63087.9</v>
      </c>
      <c r="H522" s="22"/>
      <c r="I522" s="22"/>
    </row>
    <row r="523" spans="1:9" ht="15">
      <c r="A523" s="96" t="s">
        <v>105</v>
      </c>
      <c r="B523" s="45"/>
      <c r="C523" s="116" t="s">
        <v>106</v>
      </c>
      <c r="D523" s="116"/>
      <c r="E523" s="116"/>
      <c r="F523" s="130"/>
      <c r="G523" s="312">
        <f>SUM(G524)</f>
        <v>55913.3</v>
      </c>
      <c r="H523" s="22"/>
      <c r="I523" s="22"/>
    </row>
    <row r="524" spans="1:9" ht="15">
      <c r="A524" s="96" t="s">
        <v>321</v>
      </c>
      <c r="B524" s="132"/>
      <c r="C524" s="116" t="s">
        <v>106</v>
      </c>
      <c r="D524" s="116" t="s">
        <v>421</v>
      </c>
      <c r="E524" s="116"/>
      <c r="F524" s="130"/>
      <c r="G524" s="312">
        <f>SUM(G525)</f>
        <v>55913.3</v>
      </c>
      <c r="H524" s="22"/>
      <c r="I524" s="22"/>
    </row>
    <row r="525" spans="1:9" ht="15">
      <c r="A525" s="96" t="s">
        <v>583</v>
      </c>
      <c r="B525" s="45"/>
      <c r="C525" s="116" t="s">
        <v>106</v>
      </c>
      <c r="D525" s="116" t="s">
        <v>421</v>
      </c>
      <c r="E525" s="116" t="s">
        <v>299</v>
      </c>
      <c r="F525" s="130"/>
      <c r="G525" s="312">
        <f>SUM(G526)</f>
        <v>55913.3</v>
      </c>
      <c r="H525" s="22"/>
      <c r="I525" s="22"/>
    </row>
    <row r="526" spans="1:9" ht="15">
      <c r="A526" s="96" t="s">
        <v>564</v>
      </c>
      <c r="B526" s="132"/>
      <c r="C526" s="116" t="s">
        <v>106</v>
      </c>
      <c r="D526" s="116" t="s">
        <v>421</v>
      </c>
      <c r="E526" s="116" t="s">
        <v>67</v>
      </c>
      <c r="F526" s="130"/>
      <c r="G526" s="312">
        <f>SUM(G527)</f>
        <v>55913.3</v>
      </c>
      <c r="H526" s="22"/>
      <c r="I526" s="22"/>
    </row>
    <row r="527" spans="1:9" ht="28.5">
      <c r="A527" s="96" t="s">
        <v>83</v>
      </c>
      <c r="B527" s="132"/>
      <c r="C527" s="116" t="s">
        <v>106</v>
      </c>
      <c r="D527" s="116" t="s">
        <v>421</v>
      </c>
      <c r="E527" s="116" t="s">
        <v>68</v>
      </c>
      <c r="F527" s="130"/>
      <c r="G527" s="312">
        <f>SUM(G528)</f>
        <v>55913.3</v>
      </c>
      <c r="H527" s="64"/>
      <c r="I527" s="22"/>
    </row>
    <row r="528" spans="1:9" ht="28.5">
      <c r="A528" s="101" t="s">
        <v>475</v>
      </c>
      <c r="B528" s="139"/>
      <c r="C528" s="116" t="s">
        <v>106</v>
      </c>
      <c r="D528" s="116" t="s">
        <v>421</v>
      </c>
      <c r="E528" s="116" t="s">
        <v>68</v>
      </c>
      <c r="F528" s="131" t="s">
        <v>471</v>
      </c>
      <c r="G528" s="312">
        <v>55913.3</v>
      </c>
      <c r="H528" s="64"/>
      <c r="I528" s="22"/>
    </row>
    <row r="529" spans="1:9" ht="15.75">
      <c r="A529" s="96" t="s">
        <v>231</v>
      </c>
      <c r="B529" s="45"/>
      <c r="C529" s="116" t="s">
        <v>380</v>
      </c>
      <c r="D529" s="116"/>
      <c r="E529" s="116"/>
      <c r="F529" s="130"/>
      <c r="G529" s="312">
        <f>SUM(G530+G551+G546)</f>
        <v>7174.6</v>
      </c>
      <c r="H529" s="64"/>
      <c r="I529" s="22"/>
    </row>
    <row r="530" spans="1:9" ht="15.75">
      <c r="A530" s="96" t="s">
        <v>224</v>
      </c>
      <c r="B530" s="45"/>
      <c r="C530" s="54" t="s">
        <v>380</v>
      </c>
      <c r="D530" s="54" t="s">
        <v>419</v>
      </c>
      <c r="E530" s="54"/>
      <c r="F530" s="129"/>
      <c r="G530" s="312">
        <f>SUM(G531,G533,G539)</f>
        <v>7135.1</v>
      </c>
      <c r="H530" s="64"/>
      <c r="I530" s="22"/>
    </row>
    <row r="531" spans="1:9" ht="15.75" hidden="1">
      <c r="A531" s="101" t="s">
        <v>348</v>
      </c>
      <c r="B531" s="45"/>
      <c r="C531" s="54" t="s">
        <v>285</v>
      </c>
      <c r="D531" s="54" t="s">
        <v>113</v>
      </c>
      <c r="E531" s="116" t="s">
        <v>349</v>
      </c>
      <c r="F531" s="130"/>
      <c r="G531" s="312">
        <f>SUM(G532)</f>
        <v>0</v>
      </c>
      <c r="H531" s="64"/>
      <c r="I531" s="22"/>
    </row>
    <row r="532" spans="1:9" ht="15.75" hidden="1">
      <c r="A532" s="96" t="s">
        <v>92</v>
      </c>
      <c r="B532" s="45"/>
      <c r="C532" s="54" t="s">
        <v>285</v>
      </c>
      <c r="D532" s="54" t="s">
        <v>113</v>
      </c>
      <c r="E532" s="116" t="s">
        <v>349</v>
      </c>
      <c r="F532" s="130" t="s">
        <v>93</v>
      </c>
      <c r="G532" s="312">
        <f>50.3-50.3</f>
        <v>0</v>
      </c>
      <c r="H532" s="64"/>
      <c r="I532" s="22"/>
    </row>
    <row r="533" spans="1:9" ht="28.5">
      <c r="A533" s="96" t="s">
        <v>447</v>
      </c>
      <c r="B533" s="45"/>
      <c r="C533" s="54" t="s">
        <v>380</v>
      </c>
      <c r="D533" s="54" t="s">
        <v>419</v>
      </c>
      <c r="E533" s="54" t="s">
        <v>448</v>
      </c>
      <c r="F533" s="130"/>
      <c r="G533" s="312">
        <f>SUM(G534)</f>
        <v>3854.3</v>
      </c>
      <c r="H533" s="64"/>
      <c r="I533" s="22"/>
    </row>
    <row r="534" spans="1:9" ht="28.5">
      <c r="A534" s="96" t="s">
        <v>46</v>
      </c>
      <c r="B534" s="45"/>
      <c r="C534" s="54" t="s">
        <v>380</v>
      </c>
      <c r="D534" s="54" t="s">
        <v>419</v>
      </c>
      <c r="E534" s="54" t="s">
        <v>449</v>
      </c>
      <c r="F534" s="130"/>
      <c r="G534" s="312">
        <f>SUM(G535)</f>
        <v>3854.3</v>
      </c>
      <c r="H534" s="64"/>
      <c r="I534" s="22"/>
    </row>
    <row r="535" spans="1:9" ht="28.5">
      <c r="A535" s="96" t="s">
        <v>584</v>
      </c>
      <c r="B535" s="45"/>
      <c r="C535" s="54" t="s">
        <v>380</v>
      </c>
      <c r="D535" s="54" t="s">
        <v>419</v>
      </c>
      <c r="E535" s="54" t="s">
        <v>528</v>
      </c>
      <c r="F535" s="130"/>
      <c r="G535" s="312">
        <f>SUM(G536:G538)</f>
        <v>3854.3</v>
      </c>
      <c r="H535" s="64"/>
      <c r="I535" s="22"/>
    </row>
    <row r="536" spans="1:9" ht="28.5">
      <c r="A536" s="96" t="s">
        <v>453</v>
      </c>
      <c r="B536" s="45"/>
      <c r="C536" s="54" t="s">
        <v>380</v>
      </c>
      <c r="D536" s="54" t="s">
        <v>419</v>
      </c>
      <c r="E536" s="54" t="s">
        <v>528</v>
      </c>
      <c r="F536" s="129" t="s">
        <v>454</v>
      </c>
      <c r="G536" s="312">
        <v>3228.9</v>
      </c>
      <c r="H536" s="22">
        <f>SUM(H537)</f>
        <v>79.5</v>
      </c>
      <c r="I536" s="22"/>
    </row>
    <row r="537" spans="1:9" ht="15">
      <c r="A537" s="96" t="s">
        <v>458</v>
      </c>
      <c r="B537" s="45"/>
      <c r="C537" s="54" t="s">
        <v>380</v>
      </c>
      <c r="D537" s="54" t="s">
        <v>419</v>
      </c>
      <c r="E537" s="54" t="s">
        <v>528</v>
      </c>
      <c r="F537" s="129" t="s">
        <v>109</v>
      </c>
      <c r="G537" s="313">
        <v>619.4</v>
      </c>
      <c r="H537" s="22">
        <v>79.5</v>
      </c>
      <c r="I537" s="22"/>
    </row>
    <row r="538" spans="1:9" ht="15">
      <c r="A538" s="96" t="s">
        <v>459</v>
      </c>
      <c r="B538" s="45"/>
      <c r="C538" s="54" t="s">
        <v>380</v>
      </c>
      <c r="D538" s="54" t="s">
        <v>419</v>
      </c>
      <c r="E538" s="54" t="s">
        <v>528</v>
      </c>
      <c r="F538" s="130" t="s">
        <v>163</v>
      </c>
      <c r="G538" s="312">
        <v>6</v>
      </c>
      <c r="H538" s="22">
        <f>SUM(H540)</f>
        <v>186.6</v>
      </c>
      <c r="I538" s="22" t="e">
        <f>SUM(H538/G560*100)</f>
        <v>#DIV/0!</v>
      </c>
    </row>
    <row r="539" spans="1:9" ht="15">
      <c r="A539" s="101" t="s">
        <v>552</v>
      </c>
      <c r="B539" s="45"/>
      <c r="C539" s="54" t="s">
        <v>380</v>
      </c>
      <c r="D539" s="54" t="s">
        <v>419</v>
      </c>
      <c r="E539" s="121" t="s">
        <v>118</v>
      </c>
      <c r="F539" s="129"/>
      <c r="G539" s="312">
        <f>SUM(G540)</f>
        <v>3280.8</v>
      </c>
      <c r="H539" s="22">
        <f>SUM(H540)</f>
        <v>186.6</v>
      </c>
      <c r="I539" s="22" t="e">
        <f>SUM(H539/G561*100)</f>
        <v>#DIV/0!</v>
      </c>
    </row>
    <row r="540" spans="1:9" ht="28.5">
      <c r="A540" s="96" t="s">
        <v>581</v>
      </c>
      <c r="B540" s="45"/>
      <c r="C540" s="54" t="s">
        <v>380</v>
      </c>
      <c r="D540" s="54" t="s">
        <v>419</v>
      </c>
      <c r="E540" s="121" t="s">
        <v>87</v>
      </c>
      <c r="F540" s="129"/>
      <c r="G540" s="312">
        <f>SUM(G541:G543)</f>
        <v>3280.8</v>
      </c>
      <c r="H540" s="22">
        <v>186.6</v>
      </c>
      <c r="I540" s="22" t="e">
        <f>SUM(H540/G562*100)</f>
        <v>#DIV/0!</v>
      </c>
    </row>
    <row r="541" spans="1:9" ht="28.5">
      <c r="A541" s="96" t="s">
        <v>453</v>
      </c>
      <c r="B541" s="45"/>
      <c r="C541" s="54" t="s">
        <v>380</v>
      </c>
      <c r="D541" s="54" t="s">
        <v>419</v>
      </c>
      <c r="E541" s="121" t="s">
        <v>87</v>
      </c>
      <c r="F541" s="129" t="s">
        <v>454</v>
      </c>
      <c r="G541" s="312">
        <v>700</v>
      </c>
      <c r="H541" s="22"/>
      <c r="I541" s="22"/>
    </row>
    <row r="542" spans="1:9" ht="15.75">
      <c r="A542" s="96" t="s">
        <v>458</v>
      </c>
      <c r="B542" s="45"/>
      <c r="C542" s="54" t="s">
        <v>380</v>
      </c>
      <c r="D542" s="54" t="s">
        <v>419</v>
      </c>
      <c r="E542" s="121" t="s">
        <v>87</v>
      </c>
      <c r="F542" s="129" t="s">
        <v>109</v>
      </c>
      <c r="G542" s="312">
        <v>1608.8</v>
      </c>
      <c r="H542" s="64" t="e">
        <f>SUM(H543)</f>
        <v>#REF!</v>
      </c>
      <c r="I542" s="64" t="e">
        <f>SUM(H542/#REF!*100)</f>
        <v>#REF!</v>
      </c>
    </row>
    <row r="543" spans="1:9" ht="27.75" customHeight="1">
      <c r="A543" s="101" t="s">
        <v>475</v>
      </c>
      <c r="B543" s="45"/>
      <c r="C543" s="54" t="s">
        <v>380</v>
      </c>
      <c r="D543" s="54" t="s">
        <v>419</v>
      </c>
      <c r="E543" s="121" t="s">
        <v>87</v>
      </c>
      <c r="F543" s="129" t="s">
        <v>471</v>
      </c>
      <c r="G543" s="312">
        <v>972</v>
      </c>
      <c r="H543" s="22" t="e">
        <f>SUM(H544)</f>
        <v>#REF!</v>
      </c>
      <c r="I543" s="22" t="e">
        <f>SUM(H543/#REF!*100)</f>
        <v>#REF!</v>
      </c>
    </row>
    <row r="544" spans="1:9" ht="28.5" hidden="1">
      <c r="A544" s="96" t="s">
        <v>141</v>
      </c>
      <c r="B544" s="45"/>
      <c r="C544" s="54" t="s">
        <v>380</v>
      </c>
      <c r="D544" s="54" t="s">
        <v>419</v>
      </c>
      <c r="E544" s="121" t="s">
        <v>373</v>
      </c>
      <c r="F544" s="129"/>
      <c r="G544" s="312">
        <f>SUM(G545)</f>
        <v>0</v>
      </c>
      <c r="H544" s="22" t="e">
        <f>SUM(H545+#REF!)</f>
        <v>#REF!</v>
      </c>
      <c r="I544" s="22" t="e">
        <f>SUM(H544/#REF!*100)</f>
        <v>#REF!</v>
      </c>
    </row>
    <row r="545" spans="1:9" ht="15" hidden="1">
      <c r="A545" s="101" t="s">
        <v>132</v>
      </c>
      <c r="B545" s="45"/>
      <c r="C545" s="54" t="s">
        <v>380</v>
      </c>
      <c r="D545" s="54" t="s">
        <v>419</v>
      </c>
      <c r="E545" s="121" t="s">
        <v>373</v>
      </c>
      <c r="F545" s="129" t="s">
        <v>72</v>
      </c>
      <c r="G545" s="312"/>
      <c r="H545" s="22" t="e">
        <f>SUM(H546+H548+#REF!+#REF!+#REF!+#REF!)</f>
        <v>#REF!</v>
      </c>
      <c r="I545" s="22" t="e">
        <f>SUM(H545/#REF!*100)</f>
        <v>#REF!</v>
      </c>
    </row>
    <row r="546" spans="1:9" ht="15">
      <c r="A546" s="96" t="s">
        <v>144</v>
      </c>
      <c r="B546" s="45"/>
      <c r="C546" s="54" t="s">
        <v>380</v>
      </c>
      <c r="D546" s="54" t="s">
        <v>421</v>
      </c>
      <c r="E546" s="116"/>
      <c r="F546" s="130"/>
      <c r="G546" s="312">
        <f>SUM(G547)</f>
        <v>39.5</v>
      </c>
      <c r="H546" s="22">
        <f>SUM(H547)</f>
        <v>2461.2</v>
      </c>
      <c r="I546" s="22" t="e">
        <f>SUM(H546/#REF!*100)</f>
        <v>#REF!</v>
      </c>
    </row>
    <row r="547" spans="1:9" ht="15">
      <c r="A547" s="101" t="s">
        <v>634</v>
      </c>
      <c r="B547" s="45"/>
      <c r="C547" s="54" t="s">
        <v>380</v>
      </c>
      <c r="D547" s="54" t="s">
        <v>421</v>
      </c>
      <c r="E547" s="54" t="s">
        <v>636</v>
      </c>
      <c r="F547" s="130"/>
      <c r="G547" s="312">
        <f>SUM(G548)</f>
        <v>39.5</v>
      </c>
      <c r="H547" s="22">
        <v>2461.2</v>
      </c>
      <c r="I547" s="22" t="e">
        <f>SUM(H547/#REF!*100)</f>
        <v>#REF!</v>
      </c>
    </row>
    <row r="548" spans="1:9" ht="28.5">
      <c r="A548" s="96" t="s">
        <v>639</v>
      </c>
      <c r="B548" s="45"/>
      <c r="C548" s="54" t="s">
        <v>380</v>
      </c>
      <c r="D548" s="54" t="s">
        <v>421</v>
      </c>
      <c r="E548" s="54" t="s">
        <v>640</v>
      </c>
      <c r="F548" s="130"/>
      <c r="G548" s="312">
        <f>SUM(G549)</f>
        <v>39.5</v>
      </c>
      <c r="H548" s="22">
        <f>SUM(H550)</f>
        <v>25107.2</v>
      </c>
      <c r="I548" s="22" t="e">
        <f>SUM(H548/#REF!*100)</f>
        <v>#REF!</v>
      </c>
    </row>
    <row r="549" spans="1:9" ht="28.5">
      <c r="A549" s="96" t="s">
        <v>648</v>
      </c>
      <c r="B549" s="45"/>
      <c r="C549" s="54" t="s">
        <v>380</v>
      </c>
      <c r="D549" s="54" t="s">
        <v>421</v>
      </c>
      <c r="E549" s="54" t="s">
        <v>649</v>
      </c>
      <c r="F549" s="130"/>
      <c r="G549" s="312">
        <f>SUM(G550)</f>
        <v>39.5</v>
      </c>
      <c r="H549" s="22"/>
      <c r="I549" s="22"/>
    </row>
    <row r="550" spans="1:9" ht="33.75" customHeight="1">
      <c r="A550" s="101" t="s">
        <v>475</v>
      </c>
      <c r="B550" s="45"/>
      <c r="C550" s="54" t="s">
        <v>380</v>
      </c>
      <c r="D550" s="54" t="s">
        <v>421</v>
      </c>
      <c r="E550" s="54" t="s">
        <v>649</v>
      </c>
      <c r="F550" s="129" t="s">
        <v>471</v>
      </c>
      <c r="G550" s="312">
        <v>39.5</v>
      </c>
      <c r="H550" s="22">
        <v>25107.2</v>
      </c>
      <c r="I550" s="22" t="e">
        <f>SUM(H550/#REF!*100)</f>
        <v>#REF!</v>
      </c>
    </row>
    <row r="551" spans="1:9" ht="15" hidden="1">
      <c r="A551" s="96" t="s">
        <v>225</v>
      </c>
      <c r="B551" s="45"/>
      <c r="C551" s="54" t="s">
        <v>380</v>
      </c>
      <c r="D551" s="54" t="s">
        <v>120</v>
      </c>
      <c r="E551" s="116"/>
      <c r="F551" s="130"/>
      <c r="G551" s="312">
        <f>SUM(G552+G558+G560)+G555</f>
        <v>0</v>
      </c>
      <c r="H551" s="22">
        <f>SUM(H555+H639+H637)</f>
        <v>56722</v>
      </c>
      <c r="I551" s="22">
        <f>SUM(H551/G567*100)</f>
        <v>10.859445402866049</v>
      </c>
    </row>
    <row r="552" spans="1:9" ht="28.5" hidden="1">
      <c r="A552" s="96" t="s">
        <v>88</v>
      </c>
      <c r="B552" s="45"/>
      <c r="C552" s="54" t="s">
        <v>380</v>
      </c>
      <c r="D552" s="54" t="s">
        <v>120</v>
      </c>
      <c r="E552" s="54" t="s">
        <v>89</v>
      </c>
      <c r="F552" s="130"/>
      <c r="G552" s="312">
        <f>SUM(G553)</f>
        <v>0</v>
      </c>
      <c r="H552" s="22"/>
      <c r="I552" s="22"/>
    </row>
    <row r="553" spans="1:9" ht="15" hidden="1">
      <c r="A553" s="96" t="s">
        <v>96</v>
      </c>
      <c r="B553" s="45"/>
      <c r="C553" s="54" t="s">
        <v>380</v>
      </c>
      <c r="D553" s="54" t="s">
        <v>120</v>
      </c>
      <c r="E553" s="54" t="s">
        <v>98</v>
      </c>
      <c r="F553" s="130"/>
      <c r="G553" s="312">
        <f>SUM(G554)</f>
        <v>0</v>
      </c>
      <c r="H553" s="22"/>
      <c r="I553" s="22"/>
    </row>
    <row r="554" spans="1:9" ht="15" hidden="1">
      <c r="A554" s="96" t="s">
        <v>92</v>
      </c>
      <c r="B554" s="45"/>
      <c r="C554" s="54" t="s">
        <v>380</v>
      </c>
      <c r="D554" s="54" t="s">
        <v>120</v>
      </c>
      <c r="E554" s="54" t="s">
        <v>98</v>
      </c>
      <c r="F554" s="129" t="s">
        <v>93</v>
      </c>
      <c r="G554" s="312"/>
      <c r="H554" s="22"/>
      <c r="I554" s="22"/>
    </row>
    <row r="555" spans="1:9" ht="15" hidden="1">
      <c r="A555" s="101" t="s">
        <v>117</v>
      </c>
      <c r="B555" s="45"/>
      <c r="C555" s="54" t="s">
        <v>380</v>
      </c>
      <c r="D555" s="54" t="s">
        <v>120</v>
      </c>
      <c r="E555" s="121" t="s">
        <v>118</v>
      </c>
      <c r="F555" s="129"/>
      <c r="G555" s="312">
        <f>SUM(G556)</f>
        <v>0</v>
      </c>
      <c r="H555" s="22">
        <v>56722</v>
      </c>
      <c r="I555" s="22">
        <f>SUM(H555/G569*100)</f>
        <v>17.006586521855933</v>
      </c>
    </row>
    <row r="556" spans="1:9" ht="42.75" hidden="1">
      <c r="A556" s="104" t="s">
        <v>194</v>
      </c>
      <c r="B556" s="45"/>
      <c r="C556" s="54" t="s">
        <v>380</v>
      </c>
      <c r="D556" s="54" t="s">
        <v>120</v>
      </c>
      <c r="E556" s="116" t="s">
        <v>283</v>
      </c>
      <c r="F556" s="129"/>
      <c r="G556" s="312">
        <f>SUM(G557)</f>
        <v>0</v>
      </c>
      <c r="H556" s="22"/>
      <c r="I556" s="22"/>
    </row>
    <row r="557" spans="1:9" ht="15" hidden="1">
      <c r="A557" s="96" t="s">
        <v>92</v>
      </c>
      <c r="B557" s="45"/>
      <c r="C557" s="54" t="s">
        <v>380</v>
      </c>
      <c r="D557" s="54" t="s">
        <v>120</v>
      </c>
      <c r="E557" s="116" t="s">
        <v>283</v>
      </c>
      <c r="F557" s="129" t="s">
        <v>93</v>
      </c>
      <c r="G557" s="312"/>
      <c r="H557" s="22"/>
      <c r="I557" s="22"/>
    </row>
    <row r="558" spans="1:9" ht="15" hidden="1">
      <c r="A558" s="101" t="s">
        <v>348</v>
      </c>
      <c r="B558" s="45"/>
      <c r="C558" s="54" t="s">
        <v>380</v>
      </c>
      <c r="D558" s="54" t="s">
        <v>120</v>
      </c>
      <c r="E558" s="116" t="s">
        <v>349</v>
      </c>
      <c r="F558" s="130"/>
      <c r="G558" s="312">
        <f>SUM(G559)</f>
        <v>0</v>
      </c>
      <c r="H558" s="22"/>
      <c r="I558" s="22"/>
    </row>
    <row r="559" spans="1:9" ht="15" hidden="1">
      <c r="A559" s="96" t="s">
        <v>92</v>
      </c>
      <c r="B559" s="45"/>
      <c r="C559" s="54" t="s">
        <v>380</v>
      </c>
      <c r="D559" s="54" t="s">
        <v>120</v>
      </c>
      <c r="E559" s="116" t="s">
        <v>349</v>
      </c>
      <c r="F559" s="130" t="s">
        <v>93</v>
      </c>
      <c r="G559" s="312"/>
      <c r="H559" s="22"/>
      <c r="I559" s="22"/>
    </row>
    <row r="560" spans="1:9" ht="28.5" hidden="1">
      <c r="A560" s="97" t="s">
        <v>102</v>
      </c>
      <c r="B560" s="45"/>
      <c r="C560" s="54" t="s">
        <v>380</v>
      </c>
      <c r="D560" s="54" t="s">
        <v>120</v>
      </c>
      <c r="E560" s="54" t="s">
        <v>103</v>
      </c>
      <c r="F560" s="131"/>
      <c r="G560" s="312">
        <f>SUM(G562)</f>
        <v>0</v>
      </c>
      <c r="H560" s="22"/>
      <c r="I560" s="22"/>
    </row>
    <row r="561" spans="1:9" ht="15" hidden="1">
      <c r="A561" s="97" t="s">
        <v>104</v>
      </c>
      <c r="B561" s="45"/>
      <c r="C561" s="54" t="s">
        <v>380</v>
      </c>
      <c r="D561" s="54" t="s">
        <v>120</v>
      </c>
      <c r="E561" s="54" t="s">
        <v>234</v>
      </c>
      <c r="F561" s="131"/>
      <c r="G561" s="312">
        <f>SUM(G562)</f>
        <v>0</v>
      </c>
      <c r="H561" s="22"/>
      <c r="I561" s="22"/>
    </row>
    <row r="562" spans="1:9" ht="15" hidden="1">
      <c r="A562" s="96" t="s">
        <v>92</v>
      </c>
      <c r="B562" s="45"/>
      <c r="C562" s="54" t="s">
        <v>380</v>
      </c>
      <c r="D562" s="54" t="s">
        <v>120</v>
      </c>
      <c r="E562" s="54" t="s">
        <v>234</v>
      </c>
      <c r="F562" s="131" t="s">
        <v>93</v>
      </c>
      <c r="G562" s="312"/>
      <c r="H562" s="22"/>
      <c r="I562" s="22"/>
    </row>
    <row r="563" spans="1:9" ht="15">
      <c r="A563" s="99" t="s">
        <v>290</v>
      </c>
      <c r="B563" s="132" t="s">
        <v>249</v>
      </c>
      <c r="C563" s="119"/>
      <c r="D563" s="119"/>
      <c r="E563" s="119"/>
      <c r="F563" s="133"/>
      <c r="G563" s="314">
        <f>SUM(G564+G664)</f>
        <v>1620054.2999999998</v>
      </c>
      <c r="H563" s="22"/>
      <c r="I563" s="22"/>
    </row>
    <row r="564" spans="1:9" ht="15">
      <c r="A564" s="101" t="s">
        <v>105</v>
      </c>
      <c r="B564" s="56"/>
      <c r="C564" s="111" t="s">
        <v>106</v>
      </c>
      <c r="D564" s="111"/>
      <c r="E564" s="111"/>
      <c r="F564" s="183"/>
      <c r="G564" s="319">
        <f>SUM(G565+G591+G637+G658)</f>
        <v>1583535.0999999999</v>
      </c>
      <c r="H564" s="22"/>
      <c r="I564" s="22"/>
    </row>
    <row r="565" spans="1:9" ht="15">
      <c r="A565" s="101" t="s">
        <v>316</v>
      </c>
      <c r="B565" s="139"/>
      <c r="C565" s="111" t="s">
        <v>106</v>
      </c>
      <c r="D565" s="111" t="s">
        <v>419</v>
      </c>
      <c r="E565" s="111"/>
      <c r="F565" s="183"/>
      <c r="G565" s="319">
        <f>SUM(G566+G587)+G582</f>
        <v>633092.7999999999</v>
      </c>
      <c r="H565" s="22">
        <v>187516.5</v>
      </c>
      <c r="I565" s="22">
        <f>SUM(H565/G594*100)</f>
        <v>209.6325213722511</v>
      </c>
    </row>
    <row r="566" spans="1:9" s="73" customFormat="1" ht="15">
      <c r="A566" s="101" t="s">
        <v>317</v>
      </c>
      <c r="B566" s="139"/>
      <c r="C566" s="111" t="s">
        <v>106</v>
      </c>
      <c r="D566" s="111" t="s">
        <v>419</v>
      </c>
      <c r="E566" s="111" t="s">
        <v>318</v>
      </c>
      <c r="F566" s="183"/>
      <c r="G566" s="319">
        <f>SUM(G567+G575+G579)</f>
        <v>610924.1</v>
      </c>
      <c r="H566" s="22"/>
      <c r="I566" s="22"/>
    </row>
    <row r="567" spans="1:9" s="73" customFormat="1" ht="15">
      <c r="A567" s="101" t="s">
        <v>564</v>
      </c>
      <c r="B567" s="139"/>
      <c r="C567" s="111" t="s">
        <v>106</v>
      </c>
      <c r="D567" s="111" t="s">
        <v>419</v>
      </c>
      <c r="E567" s="111" t="s">
        <v>74</v>
      </c>
      <c r="F567" s="183"/>
      <c r="G567" s="319">
        <f>SUM(G570+G568+G572)</f>
        <v>522328.7</v>
      </c>
      <c r="H567" s="22">
        <v>187516.5</v>
      </c>
      <c r="I567" s="22">
        <f>SUM(H567/G601*100)</f>
        <v>70.57890309334228</v>
      </c>
    </row>
    <row r="568" spans="1:9" s="73" customFormat="1" ht="71.25">
      <c r="A568" s="101" t="s">
        <v>565</v>
      </c>
      <c r="B568" s="139"/>
      <c r="C568" s="111" t="s">
        <v>106</v>
      </c>
      <c r="D568" s="111" t="s">
        <v>419</v>
      </c>
      <c r="E568" s="111" t="s">
        <v>198</v>
      </c>
      <c r="F568" s="183"/>
      <c r="G568" s="319">
        <f>G569</f>
        <v>333529.6</v>
      </c>
      <c r="H568" s="22"/>
      <c r="I568" s="22"/>
    </row>
    <row r="569" spans="1:9" s="73" customFormat="1" ht="28.5">
      <c r="A569" s="101" t="s">
        <v>482</v>
      </c>
      <c r="B569" s="139"/>
      <c r="C569" s="111" t="s">
        <v>106</v>
      </c>
      <c r="D569" s="111" t="s">
        <v>419</v>
      </c>
      <c r="E569" s="111" t="s">
        <v>198</v>
      </c>
      <c r="F569" s="183" t="s">
        <v>471</v>
      </c>
      <c r="G569" s="319">
        <v>333529.6</v>
      </c>
      <c r="H569" s="22"/>
      <c r="I569" s="22"/>
    </row>
    <row r="570" spans="1:9" s="73" customFormat="1" ht="28.5">
      <c r="A570" s="101" t="s">
        <v>191</v>
      </c>
      <c r="B570" s="139"/>
      <c r="C570" s="111" t="s">
        <v>106</v>
      </c>
      <c r="D570" s="111" t="s">
        <v>419</v>
      </c>
      <c r="E570" s="111" t="s">
        <v>75</v>
      </c>
      <c r="F570" s="183"/>
      <c r="G570" s="319">
        <f>SUM(G571)</f>
        <v>184978.4</v>
      </c>
      <c r="H570" s="22"/>
      <c r="I570" s="22"/>
    </row>
    <row r="571" spans="1:9" ht="28.5">
      <c r="A571" s="101" t="s">
        <v>482</v>
      </c>
      <c r="B571" s="139"/>
      <c r="C571" s="111" t="s">
        <v>106</v>
      </c>
      <c r="D571" s="111" t="s">
        <v>419</v>
      </c>
      <c r="E571" s="111" t="s">
        <v>75</v>
      </c>
      <c r="F571" s="183" t="s">
        <v>471</v>
      </c>
      <c r="G571" s="319">
        <v>184978.4</v>
      </c>
      <c r="H571" s="22"/>
      <c r="I571" s="22"/>
    </row>
    <row r="572" spans="1:9" ht="15">
      <c r="A572" s="209" t="s">
        <v>146</v>
      </c>
      <c r="B572" s="231"/>
      <c r="C572" s="196" t="s">
        <v>106</v>
      </c>
      <c r="D572" s="196" t="s">
        <v>419</v>
      </c>
      <c r="E572" s="196" t="s">
        <v>615</v>
      </c>
      <c r="F572" s="221"/>
      <c r="G572" s="214">
        <f>SUM(G573)</f>
        <v>3820.7</v>
      </c>
      <c r="H572" s="22"/>
      <c r="I572" s="22"/>
    </row>
    <row r="573" spans="1:9" ht="15">
      <c r="A573" s="207" t="s">
        <v>143</v>
      </c>
      <c r="B573" s="231"/>
      <c r="C573" s="196" t="s">
        <v>106</v>
      </c>
      <c r="D573" s="196" t="s">
        <v>419</v>
      </c>
      <c r="E573" s="196" t="s">
        <v>614</v>
      </c>
      <c r="F573" s="221"/>
      <c r="G573" s="214">
        <f>SUM(G574)</f>
        <v>3820.7</v>
      </c>
      <c r="H573" s="22"/>
      <c r="I573" s="22"/>
    </row>
    <row r="574" spans="1:9" ht="28.5">
      <c r="A574" s="101" t="s">
        <v>482</v>
      </c>
      <c r="B574" s="231"/>
      <c r="C574" s="196" t="s">
        <v>106</v>
      </c>
      <c r="D574" s="196" t="s">
        <v>419</v>
      </c>
      <c r="E574" s="196" t="s">
        <v>614</v>
      </c>
      <c r="F574" s="183" t="s">
        <v>471</v>
      </c>
      <c r="G574" s="214">
        <v>3820.7</v>
      </c>
      <c r="H574" s="22"/>
      <c r="I574" s="22"/>
    </row>
    <row r="575" spans="1:9" ht="28.5">
      <c r="A575" s="101" t="s">
        <v>46</v>
      </c>
      <c r="B575" s="139"/>
      <c r="C575" s="111" t="s">
        <v>106</v>
      </c>
      <c r="D575" s="111" t="s">
        <v>419</v>
      </c>
      <c r="E575" s="111" t="s">
        <v>319</v>
      </c>
      <c r="F575" s="183"/>
      <c r="G575" s="319">
        <f>SUM(G576+G577+G578)</f>
        <v>37586.200000000004</v>
      </c>
      <c r="H575" s="22">
        <v>120.3</v>
      </c>
      <c r="I575" s="22">
        <f>SUM(H575/G606*100)</f>
        <v>0.7737379324539005</v>
      </c>
    </row>
    <row r="576" spans="1:9" ht="28.5">
      <c r="A576" s="101" t="s">
        <v>453</v>
      </c>
      <c r="B576" s="139"/>
      <c r="C576" s="111" t="s">
        <v>106</v>
      </c>
      <c r="D576" s="111" t="s">
        <v>419</v>
      </c>
      <c r="E576" s="111" t="s">
        <v>319</v>
      </c>
      <c r="F576" s="183" t="s">
        <v>454</v>
      </c>
      <c r="G576" s="319">
        <v>9732.7</v>
      </c>
      <c r="H576" s="22"/>
      <c r="I576" s="22">
        <f>SUM(H576/G609*100)</f>
        <v>0</v>
      </c>
    </row>
    <row r="577" spans="1:9" ht="15">
      <c r="A577" s="101" t="s">
        <v>458</v>
      </c>
      <c r="B577" s="56"/>
      <c r="C577" s="111" t="s">
        <v>106</v>
      </c>
      <c r="D577" s="111" t="s">
        <v>419</v>
      </c>
      <c r="E577" s="111" t="s">
        <v>319</v>
      </c>
      <c r="F577" s="183" t="s">
        <v>109</v>
      </c>
      <c r="G577" s="319">
        <v>25547.1</v>
      </c>
      <c r="H577" s="22">
        <f>SUM(H578)</f>
        <v>24134</v>
      </c>
      <c r="I577" s="22">
        <f>SUM(H577/G610*100)</f>
        <v>7.877662840339091</v>
      </c>
    </row>
    <row r="578" spans="1:9" ht="15">
      <c r="A578" s="101" t="s">
        <v>459</v>
      </c>
      <c r="B578" s="139"/>
      <c r="C578" s="111" t="s">
        <v>106</v>
      </c>
      <c r="D578" s="111" t="s">
        <v>419</v>
      </c>
      <c r="E578" s="111" t="s">
        <v>319</v>
      </c>
      <c r="F578" s="183" t="s">
        <v>163</v>
      </c>
      <c r="G578" s="319">
        <v>2306.4</v>
      </c>
      <c r="H578" s="22">
        <v>24134</v>
      </c>
      <c r="I578" s="22">
        <f>SUM(H578/G611*100)</f>
        <v>591.5631051302793</v>
      </c>
    </row>
    <row r="579" spans="1:9" ht="42.75">
      <c r="A579" s="108" t="s">
        <v>566</v>
      </c>
      <c r="B579" s="139"/>
      <c r="C579" s="111" t="s">
        <v>106</v>
      </c>
      <c r="D579" s="111" t="s">
        <v>419</v>
      </c>
      <c r="E579" s="111" t="s">
        <v>320</v>
      </c>
      <c r="F579" s="183"/>
      <c r="G579" s="319">
        <f>SUM(G580+G581)</f>
        <v>51009.200000000004</v>
      </c>
      <c r="H579" s="22"/>
      <c r="I579" s="22"/>
    </row>
    <row r="580" spans="1:9" ht="28.5">
      <c r="A580" s="101" t="s">
        <v>453</v>
      </c>
      <c r="B580" s="139"/>
      <c r="C580" s="111" t="s">
        <v>106</v>
      </c>
      <c r="D580" s="111" t="s">
        <v>419</v>
      </c>
      <c r="E580" s="111" t="s">
        <v>320</v>
      </c>
      <c r="F580" s="183" t="s">
        <v>454</v>
      </c>
      <c r="G580" s="319">
        <v>49715.8</v>
      </c>
      <c r="H580" s="22"/>
      <c r="I580" s="22"/>
    </row>
    <row r="581" spans="1:9" ht="15">
      <c r="A581" s="101" t="s">
        <v>458</v>
      </c>
      <c r="B581" s="139"/>
      <c r="C581" s="111" t="s">
        <v>106</v>
      </c>
      <c r="D581" s="111" t="s">
        <v>419</v>
      </c>
      <c r="E581" s="111" t="s">
        <v>320</v>
      </c>
      <c r="F581" s="183" t="s">
        <v>109</v>
      </c>
      <c r="G581" s="319">
        <v>1293.4</v>
      </c>
      <c r="H581" s="22">
        <v>56722</v>
      </c>
      <c r="I581" s="22" t="e">
        <f>SUM(H581/G614*100)</f>
        <v>#DIV/0!</v>
      </c>
    </row>
    <row r="582" spans="1:9" ht="15">
      <c r="A582" s="101" t="s">
        <v>634</v>
      </c>
      <c r="B582" s="139"/>
      <c r="C582" s="111" t="s">
        <v>106</v>
      </c>
      <c r="D582" s="111" t="s">
        <v>419</v>
      </c>
      <c r="E582" s="111" t="s">
        <v>636</v>
      </c>
      <c r="F582" s="183"/>
      <c r="G582" s="319">
        <f>SUM(G583)</f>
        <v>17968.7</v>
      </c>
      <c r="H582" s="22"/>
      <c r="I582" s="22"/>
    </row>
    <row r="583" spans="1:9" ht="28.5">
      <c r="A583" s="101" t="s">
        <v>646</v>
      </c>
      <c r="B583" s="139"/>
      <c r="C583" s="111" t="s">
        <v>106</v>
      </c>
      <c r="D583" s="111" t="s">
        <v>419</v>
      </c>
      <c r="E583" s="111" t="s">
        <v>647</v>
      </c>
      <c r="F583" s="183"/>
      <c r="G583" s="319">
        <f>SUM(G584:G586)</f>
        <v>17968.7</v>
      </c>
      <c r="H583" s="22"/>
      <c r="I583" s="22"/>
    </row>
    <row r="584" spans="1:9" ht="15">
      <c r="A584" s="101" t="s">
        <v>458</v>
      </c>
      <c r="B584" s="139"/>
      <c r="C584" s="111" t="s">
        <v>106</v>
      </c>
      <c r="D584" s="111" t="s">
        <v>419</v>
      </c>
      <c r="E584" s="111" t="s">
        <v>647</v>
      </c>
      <c r="F584" s="183" t="s">
        <v>109</v>
      </c>
      <c r="G584" s="319">
        <v>6213</v>
      </c>
      <c r="H584" s="22"/>
      <c r="I584" s="22"/>
    </row>
    <row r="585" spans="1:9" ht="15">
      <c r="A585" s="103" t="s">
        <v>463</v>
      </c>
      <c r="B585" s="139"/>
      <c r="C585" s="111" t="s">
        <v>106</v>
      </c>
      <c r="D585" s="111" t="s">
        <v>419</v>
      </c>
      <c r="E585" s="111" t="s">
        <v>647</v>
      </c>
      <c r="F585" s="183" t="s">
        <v>464</v>
      </c>
      <c r="G585" s="319">
        <v>808.1</v>
      </c>
      <c r="H585" s="22"/>
      <c r="I585" s="22"/>
    </row>
    <row r="586" spans="1:9" ht="28.5">
      <c r="A586" s="101" t="s">
        <v>482</v>
      </c>
      <c r="B586" s="139"/>
      <c r="C586" s="111" t="s">
        <v>106</v>
      </c>
      <c r="D586" s="111" t="s">
        <v>419</v>
      </c>
      <c r="E586" s="111" t="s">
        <v>647</v>
      </c>
      <c r="F586" s="183" t="s">
        <v>471</v>
      </c>
      <c r="G586" s="319">
        <v>10947.6</v>
      </c>
      <c r="H586" s="22"/>
      <c r="I586" s="22"/>
    </row>
    <row r="587" spans="1:9" ht="15">
      <c r="A587" s="101" t="s">
        <v>552</v>
      </c>
      <c r="B587" s="140"/>
      <c r="C587" s="111" t="s">
        <v>106</v>
      </c>
      <c r="D587" s="111" t="s">
        <v>419</v>
      </c>
      <c r="E587" s="111" t="s">
        <v>118</v>
      </c>
      <c r="F587" s="183"/>
      <c r="G587" s="319">
        <f>G588</f>
        <v>4200</v>
      </c>
      <c r="H587" s="22"/>
      <c r="I587" s="22"/>
    </row>
    <row r="588" spans="1:9" ht="28.5">
      <c r="A588" s="101" t="s">
        <v>567</v>
      </c>
      <c r="B588" s="139"/>
      <c r="C588" s="111" t="s">
        <v>106</v>
      </c>
      <c r="D588" s="111" t="s">
        <v>419</v>
      </c>
      <c r="E588" s="111" t="s">
        <v>327</v>
      </c>
      <c r="F588" s="183"/>
      <c r="G588" s="319">
        <f>SUM(G589:G590)</f>
        <v>4200</v>
      </c>
      <c r="H588" s="22">
        <f>SUM(H589)</f>
        <v>1236.7</v>
      </c>
      <c r="I588" s="22">
        <f>SUM(H588/G616*100)</f>
        <v>2.4950772309827784</v>
      </c>
    </row>
    <row r="589" spans="1:9" ht="15">
      <c r="A589" s="103" t="s">
        <v>463</v>
      </c>
      <c r="B589" s="185"/>
      <c r="C589" s="111" t="s">
        <v>106</v>
      </c>
      <c r="D589" s="111" t="s">
        <v>419</v>
      </c>
      <c r="E589" s="111" t="s">
        <v>327</v>
      </c>
      <c r="F589" s="183" t="s">
        <v>464</v>
      </c>
      <c r="G589" s="319">
        <v>1700</v>
      </c>
      <c r="H589" s="22">
        <v>1236.7</v>
      </c>
      <c r="I589" s="22">
        <f>SUM(H589/G617*100)</f>
        <v>2.4950772309827784</v>
      </c>
    </row>
    <row r="590" spans="1:9" ht="15">
      <c r="A590" s="101" t="s">
        <v>458</v>
      </c>
      <c r="B590" s="185"/>
      <c r="C590" s="111" t="s">
        <v>106</v>
      </c>
      <c r="D590" s="111" t="s">
        <v>419</v>
      </c>
      <c r="E590" s="111" t="s">
        <v>327</v>
      </c>
      <c r="F590" s="183" t="s">
        <v>109</v>
      </c>
      <c r="G590" s="319">
        <v>2500</v>
      </c>
      <c r="H590" s="22"/>
      <c r="I590" s="22"/>
    </row>
    <row r="591" spans="1:9" ht="15">
      <c r="A591" s="101" t="s">
        <v>321</v>
      </c>
      <c r="B591" s="139"/>
      <c r="C591" s="111" t="s">
        <v>106</v>
      </c>
      <c r="D591" s="111" t="s">
        <v>421</v>
      </c>
      <c r="E591" s="111"/>
      <c r="F591" s="183"/>
      <c r="G591" s="319">
        <f>SUM(G592+G612+G621+G629+G633)</f>
        <v>892710.7999999999</v>
      </c>
      <c r="H591" s="22">
        <f>SUM(H593)</f>
        <v>0</v>
      </c>
      <c r="I591" s="22" t="e">
        <f>SUM(H591/#REF!*100)</f>
        <v>#REF!</v>
      </c>
    </row>
    <row r="592" spans="1:9" ht="15">
      <c r="A592" s="101" t="s">
        <v>322</v>
      </c>
      <c r="B592" s="139"/>
      <c r="C592" s="111" t="s">
        <v>106</v>
      </c>
      <c r="D592" s="111" t="s">
        <v>421</v>
      </c>
      <c r="E592" s="111" t="s">
        <v>323</v>
      </c>
      <c r="F592" s="183"/>
      <c r="G592" s="319">
        <f>G593+G603</f>
        <v>777082.3999999999</v>
      </c>
      <c r="H592" s="22"/>
      <c r="I592" s="22" t="e">
        <f>SUM(H592/#REF!*100)</f>
        <v>#REF!</v>
      </c>
    </row>
    <row r="593" spans="1:9" ht="15">
      <c r="A593" s="101" t="s">
        <v>11</v>
      </c>
      <c r="B593" s="139"/>
      <c r="C593" s="111" t="s">
        <v>106</v>
      </c>
      <c r="D593" s="111" t="s">
        <v>421</v>
      </c>
      <c r="E593" s="111" t="s">
        <v>76</v>
      </c>
      <c r="F593" s="183"/>
      <c r="G593" s="319">
        <f>G594+G601+G596+G599</f>
        <v>361246.99999999994</v>
      </c>
      <c r="H593" s="22"/>
      <c r="I593" s="22" t="e">
        <f>SUM(H593/#REF!*100)</f>
        <v>#REF!</v>
      </c>
    </row>
    <row r="594" spans="1:9" ht="28.5">
      <c r="A594" s="101" t="s">
        <v>191</v>
      </c>
      <c r="B594" s="139"/>
      <c r="C594" s="111" t="s">
        <v>106</v>
      </c>
      <c r="D594" s="111" t="s">
        <v>421</v>
      </c>
      <c r="E594" s="111" t="s">
        <v>77</v>
      </c>
      <c r="F594" s="183"/>
      <c r="G594" s="319">
        <f>SUM(G595)</f>
        <v>89450.1</v>
      </c>
      <c r="H594" s="22">
        <f>SUM(H595)</f>
        <v>9549.8</v>
      </c>
      <c r="I594" s="22" t="e">
        <f>SUM(H594/#REF!*100)</f>
        <v>#REF!</v>
      </c>
    </row>
    <row r="595" spans="1:9" ht="28.5">
      <c r="A595" s="101" t="s">
        <v>475</v>
      </c>
      <c r="B595" s="139"/>
      <c r="C595" s="111" t="s">
        <v>106</v>
      </c>
      <c r="D595" s="111" t="s">
        <v>421</v>
      </c>
      <c r="E595" s="111" t="s">
        <v>77</v>
      </c>
      <c r="F595" s="183" t="s">
        <v>471</v>
      </c>
      <c r="G595" s="319">
        <v>89450.1</v>
      </c>
      <c r="H595" s="22">
        <f>SUM(H601)</f>
        <v>9549.8</v>
      </c>
      <c r="I595" s="22" t="e">
        <f>SUM(H595/#REF!*100)</f>
        <v>#REF!</v>
      </c>
    </row>
    <row r="596" spans="1:9" ht="15">
      <c r="A596" s="209" t="s">
        <v>146</v>
      </c>
      <c r="B596" s="139"/>
      <c r="C596" s="196" t="s">
        <v>106</v>
      </c>
      <c r="D596" s="196" t="s">
        <v>421</v>
      </c>
      <c r="E596" s="196" t="s">
        <v>617</v>
      </c>
      <c r="F596" s="183"/>
      <c r="G596" s="319">
        <f>SUM(G597)</f>
        <v>1415.1</v>
      </c>
      <c r="H596" s="22"/>
      <c r="I596" s="22"/>
    </row>
    <row r="597" spans="1:9" ht="15">
      <c r="A597" s="207" t="s">
        <v>201</v>
      </c>
      <c r="B597" s="231"/>
      <c r="C597" s="196" t="s">
        <v>106</v>
      </c>
      <c r="D597" s="196" t="s">
        <v>421</v>
      </c>
      <c r="E597" s="196" t="s">
        <v>616</v>
      </c>
      <c r="F597" s="221"/>
      <c r="G597" s="204">
        <f>SUM(G598)</f>
        <v>1415.1</v>
      </c>
      <c r="H597" s="22"/>
      <c r="I597" s="22"/>
    </row>
    <row r="598" spans="1:9" ht="28.5">
      <c r="A598" s="101" t="s">
        <v>482</v>
      </c>
      <c r="B598" s="231"/>
      <c r="C598" s="196" t="s">
        <v>106</v>
      </c>
      <c r="D598" s="196" t="s">
        <v>421</v>
      </c>
      <c r="E598" s="196" t="s">
        <v>616</v>
      </c>
      <c r="F598" s="221" t="s">
        <v>471</v>
      </c>
      <c r="G598" s="204">
        <v>1415.1</v>
      </c>
      <c r="H598" s="22"/>
      <c r="I598" s="22"/>
    </row>
    <row r="599" spans="1:9" ht="42.75">
      <c r="A599" s="209" t="s">
        <v>619</v>
      </c>
      <c r="B599" s="227"/>
      <c r="C599" s="196" t="s">
        <v>106</v>
      </c>
      <c r="D599" s="196" t="s">
        <v>421</v>
      </c>
      <c r="E599" s="196" t="s">
        <v>621</v>
      </c>
      <c r="F599" s="221"/>
      <c r="G599" s="204">
        <f>SUM(G600)</f>
        <v>4698.3</v>
      </c>
      <c r="H599" s="22"/>
      <c r="I599" s="22"/>
    </row>
    <row r="600" spans="1:9" ht="28.5">
      <c r="A600" s="101" t="s">
        <v>482</v>
      </c>
      <c r="B600" s="231"/>
      <c r="C600" s="196" t="s">
        <v>106</v>
      </c>
      <c r="D600" s="196" t="s">
        <v>421</v>
      </c>
      <c r="E600" s="196" t="s">
        <v>621</v>
      </c>
      <c r="F600" s="221" t="s">
        <v>471</v>
      </c>
      <c r="G600" s="204">
        <v>4698.3</v>
      </c>
      <c r="H600" s="22"/>
      <c r="I600" s="22"/>
    </row>
    <row r="601" spans="1:9" ht="71.25">
      <c r="A601" s="101" t="s">
        <v>568</v>
      </c>
      <c r="B601" s="139"/>
      <c r="C601" s="111" t="s">
        <v>106</v>
      </c>
      <c r="D601" s="111" t="s">
        <v>421</v>
      </c>
      <c r="E601" s="111" t="s">
        <v>78</v>
      </c>
      <c r="F601" s="183"/>
      <c r="G601" s="319">
        <f>SUM(G602)</f>
        <v>265683.5</v>
      </c>
      <c r="H601" s="22">
        <v>9549.8</v>
      </c>
      <c r="I601" s="22" t="e">
        <f>SUM(H601/#REF!*100)</f>
        <v>#REF!</v>
      </c>
    </row>
    <row r="602" spans="1:9" ht="28.5">
      <c r="A602" s="101" t="s">
        <v>475</v>
      </c>
      <c r="B602" s="139"/>
      <c r="C602" s="111" t="s">
        <v>106</v>
      </c>
      <c r="D602" s="111" t="s">
        <v>421</v>
      </c>
      <c r="E602" s="111" t="s">
        <v>78</v>
      </c>
      <c r="F602" s="183" t="s">
        <v>471</v>
      </c>
      <c r="G602" s="319">
        <v>265683.5</v>
      </c>
      <c r="H602" s="22">
        <v>56722</v>
      </c>
      <c r="I602" s="22" t="e">
        <f>SUM(H602/#REF!*100)</f>
        <v>#REF!</v>
      </c>
    </row>
    <row r="603" spans="1:9" ht="28.5">
      <c r="A603" s="101" t="s">
        <v>46</v>
      </c>
      <c r="B603" s="139"/>
      <c r="C603" s="111" t="s">
        <v>106</v>
      </c>
      <c r="D603" s="111" t="s">
        <v>421</v>
      </c>
      <c r="E603" s="111" t="s">
        <v>324</v>
      </c>
      <c r="F603" s="183"/>
      <c r="G603" s="319">
        <f>SUM(G604+G605+G606+G609+G607)</f>
        <v>415835.4</v>
      </c>
      <c r="H603" s="22"/>
      <c r="I603" s="22"/>
    </row>
    <row r="604" spans="1:9" s="73" customFormat="1" ht="28.5">
      <c r="A604" s="101" t="s">
        <v>453</v>
      </c>
      <c r="B604" s="139"/>
      <c r="C604" s="111" t="s">
        <v>106</v>
      </c>
      <c r="D604" s="111" t="s">
        <v>421</v>
      </c>
      <c r="E604" s="111" t="s">
        <v>324</v>
      </c>
      <c r="F604" s="183" t="s">
        <v>454</v>
      </c>
      <c r="G604" s="319">
        <v>36545</v>
      </c>
      <c r="H604" s="22"/>
      <c r="I604" s="22"/>
    </row>
    <row r="605" spans="1:9" s="73" customFormat="1" ht="15">
      <c r="A605" s="101" t="s">
        <v>458</v>
      </c>
      <c r="B605" s="139"/>
      <c r="C605" s="111" t="s">
        <v>106</v>
      </c>
      <c r="D605" s="111" t="s">
        <v>421</v>
      </c>
      <c r="E605" s="111" t="s">
        <v>324</v>
      </c>
      <c r="F605" s="183" t="s">
        <v>109</v>
      </c>
      <c r="G605" s="319">
        <v>48698</v>
      </c>
      <c r="H605" s="22"/>
      <c r="I605" s="22"/>
    </row>
    <row r="606" spans="1:9" s="73" customFormat="1" ht="15">
      <c r="A606" s="101" t="s">
        <v>459</v>
      </c>
      <c r="B606" s="185"/>
      <c r="C606" s="111" t="s">
        <v>106</v>
      </c>
      <c r="D606" s="111" t="s">
        <v>421</v>
      </c>
      <c r="E606" s="111" t="s">
        <v>324</v>
      </c>
      <c r="F606" s="186">
        <v>800</v>
      </c>
      <c r="G606" s="319">
        <v>15547.9</v>
      </c>
      <c r="H606" s="22"/>
      <c r="I606" s="22"/>
    </row>
    <row r="607" spans="1:9" s="73" customFormat="1" ht="42.75">
      <c r="A607" s="209" t="s">
        <v>619</v>
      </c>
      <c r="B607" s="227"/>
      <c r="C607" s="196" t="s">
        <v>106</v>
      </c>
      <c r="D607" s="196" t="s">
        <v>421</v>
      </c>
      <c r="E607" s="196" t="s">
        <v>620</v>
      </c>
      <c r="F607" s="221"/>
      <c r="G607" s="204">
        <f>SUM(G608)</f>
        <v>4604.9</v>
      </c>
      <c r="H607" s="22"/>
      <c r="I607" s="22"/>
    </row>
    <row r="608" spans="1:9" s="73" customFormat="1" ht="15">
      <c r="A608" s="101" t="s">
        <v>458</v>
      </c>
      <c r="B608" s="185"/>
      <c r="C608" s="196" t="s">
        <v>106</v>
      </c>
      <c r="D608" s="196" t="s">
        <v>421</v>
      </c>
      <c r="E608" s="196" t="s">
        <v>620</v>
      </c>
      <c r="F608" s="186">
        <v>200</v>
      </c>
      <c r="G608" s="319">
        <v>4604.9</v>
      </c>
      <c r="H608" s="22"/>
      <c r="I608" s="22"/>
    </row>
    <row r="609" spans="1:9" s="73" customFormat="1" ht="71.25">
      <c r="A609" s="108" t="s">
        <v>568</v>
      </c>
      <c r="B609" s="139"/>
      <c r="C609" s="111" t="s">
        <v>106</v>
      </c>
      <c r="D609" s="111" t="s">
        <v>421</v>
      </c>
      <c r="E609" s="111" t="s">
        <v>297</v>
      </c>
      <c r="F609" s="183"/>
      <c r="G609" s="319">
        <f>SUM(G610+G611)</f>
        <v>310439.60000000003</v>
      </c>
      <c r="H609" s="22"/>
      <c r="I609" s="22"/>
    </row>
    <row r="610" spans="1:9" s="73" customFormat="1" ht="28.5">
      <c r="A610" s="101" t="s">
        <v>453</v>
      </c>
      <c r="B610" s="139"/>
      <c r="C610" s="111" t="s">
        <v>106</v>
      </c>
      <c r="D610" s="111" t="s">
        <v>421</v>
      </c>
      <c r="E610" s="111" t="s">
        <v>297</v>
      </c>
      <c r="F610" s="183" t="s">
        <v>454</v>
      </c>
      <c r="G610" s="319">
        <v>306359.9</v>
      </c>
      <c r="H610" s="22"/>
      <c r="I610" s="22"/>
    </row>
    <row r="611" spans="1:9" s="73" customFormat="1" ht="15">
      <c r="A611" s="101" t="s">
        <v>458</v>
      </c>
      <c r="B611" s="139"/>
      <c r="C611" s="111" t="s">
        <v>106</v>
      </c>
      <c r="D611" s="111" t="s">
        <v>421</v>
      </c>
      <c r="E611" s="111" t="s">
        <v>297</v>
      </c>
      <c r="F611" s="183" t="s">
        <v>109</v>
      </c>
      <c r="G611" s="319">
        <v>4079.7</v>
      </c>
      <c r="H611" s="22"/>
      <c r="I611" s="22"/>
    </row>
    <row r="612" spans="1:9" ht="15">
      <c r="A612" s="101" t="s">
        <v>298</v>
      </c>
      <c r="B612" s="56"/>
      <c r="C612" s="111" t="s">
        <v>106</v>
      </c>
      <c r="D612" s="111" t="s">
        <v>421</v>
      </c>
      <c r="E612" s="111" t="s">
        <v>299</v>
      </c>
      <c r="F612" s="183"/>
      <c r="G612" s="319">
        <f>SUM(G613)</f>
        <v>56537.2</v>
      </c>
      <c r="H612" s="22"/>
      <c r="I612" s="22"/>
    </row>
    <row r="613" spans="1:9" ht="15">
      <c r="A613" s="101" t="s">
        <v>564</v>
      </c>
      <c r="B613" s="139"/>
      <c r="C613" s="111" t="s">
        <v>106</v>
      </c>
      <c r="D613" s="111" t="s">
        <v>421</v>
      </c>
      <c r="E613" s="111" t="s">
        <v>67</v>
      </c>
      <c r="F613" s="183"/>
      <c r="G613" s="319">
        <f>SUM(G616)+G618</f>
        <v>56537.2</v>
      </c>
      <c r="H613" s="22"/>
      <c r="I613" s="22"/>
    </row>
    <row r="614" spans="1:9" ht="42.75" hidden="1">
      <c r="A614" s="101" t="s">
        <v>197</v>
      </c>
      <c r="B614" s="139"/>
      <c r="C614" s="111" t="s">
        <v>106</v>
      </c>
      <c r="D614" s="111" t="s">
        <v>421</v>
      </c>
      <c r="E614" s="111" t="s">
        <v>199</v>
      </c>
      <c r="F614" s="183"/>
      <c r="G614" s="319">
        <f>SUM(G615)</f>
        <v>0</v>
      </c>
      <c r="H614" s="22">
        <v>56722</v>
      </c>
      <c r="I614" s="22">
        <f>SUM(H614/G625*100)</f>
        <v>4656.978653530377</v>
      </c>
    </row>
    <row r="615" spans="1:9" ht="15" hidden="1">
      <c r="A615" s="101" t="s">
        <v>146</v>
      </c>
      <c r="B615" s="139"/>
      <c r="C615" s="111" t="s">
        <v>106</v>
      </c>
      <c r="D615" s="111" t="s">
        <v>421</v>
      </c>
      <c r="E615" s="111" t="s">
        <v>199</v>
      </c>
      <c r="F615" s="183" t="s">
        <v>72</v>
      </c>
      <c r="G615" s="319"/>
      <c r="H615" s="22"/>
      <c r="I615" s="22"/>
    </row>
    <row r="616" spans="1:9" ht="28.5">
      <c r="A616" s="101" t="s">
        <v>83</v>
      </c>
      <c r="B616" s="139"/>
      <c r="C616" s="111" t="s">
        <v>106</v>
      </c>
      <c r="D616" s="111" t="s">
        <v>421</v>
      </c>
      <c r="E616" s="111" t="s">
        <v>68</v>
      </c>
      <c r="F616" s="183"/>
      <c r="G616" s="319">
        <f>SUM(G617)</f>
        <v>49565.6</v>
      </c>
      <c r="H616" s="22" t="e">
        <f>SUM(#REF!+H647+H664+#REF!)+#REF!+H617</f>
        <v>#REF!</v>
      </c>
      <c r="I616" s="22" t="e">
        <f>SUM(H616/G627*100)</f>
        <v>#REF!</v>
      </c>
    </row>
    <row r="617" spans="1:9" ht="28.5">
      <c r="A617" s="101" t="s">
        <v>475</v>
      </c>
      <c r="B617" s="139"/>
      <c r="C617" s="111" t="s">
        <v>106</v>
      </c>
      <c r="D617" s="111" t="s">
        <v>421</v>
      </c>
      <c r="E617" s="111" t="s">
        <v>68</v>
      </c>
      <c r="F617" s="183" t="s">
        <v>471</v>
      </c>
      <c r="G617" s="319">
        <v>49565.6</v>
      </c>
      <c r="H617" s="22" t="e">
        <f>SUM(#REF!+#REF!)</f>
        <v>#REF!</v>
      </c>
      <c r="I617" s="22" t="e">
        <f>SUM(H617/#REF!*100)</f>
        <v>#REF!</v>
      </c>
    </row>
    <row r="618" spans="1:9" ht="15">
      <c r="A618" s="209" t="s">
        <v>146</v>
      </c>
      <c r="B618" s="139"/>
      <c r="C618" s="111" t="s">
        <v>106</v>
      </c>
      <c r="D618" s="111" t="s">
        <v>421</v>
      </c>
      <c r="E618" s="111" t="s">
        <v>140</v>
      </c>
      <c r="F618" s="183"/>
      <c r="G618" s="319">
        <f>SUM(G619)</f>
        <v>6971.6</v>
      </c>
      <c r="H618" s="22"/>
      <c r="I618" s="22"/>
    </row>
    <row r="619" spans="1:9" ht="15">
      <c r="A619" s="207" t="s">
        <v>201</v>
      </c>
      <c r="B619" s="139"/>
      <c r="C619" s="111" t="s">
        <v>106</v>
      </c>
      <c r="D619" s="111" t="s">
        <v>421</v>
      </c>
      <c r="E619" s="111" t="s">
        <v>206</v>
      </c>
      <c r="F619" s="183"/>
      <c r="G619" s="319">
        <f>SUM(G620)</f>
        <v>6971.6</v>
      </c>
      <c r="H619" s="22"/>
      <c r="I619" s="22"/>
    </row>
    <row r="620" spans="1:9" ht="28.5">
      <c r="A620" s="101" t="s">
        <v>482</v>
      </c>
      <c r="B620" s="139"/>
      <c r="C620" s="111" t="s">
        <v>106</v>
      </c>
      <c r="D620" s="111" t="s">
        <v>421</v>
      </c>
      <c r="E620" s="111" t="s">
        <v>206</v>
      </c>
      <c r="F620" s="183" t="s">
        <v>471</v>
      </c>
      <c r="G620" s="319">
        <v>6971.6</v>
      </c>
      <c r="H620" s="22"/>
      <c r="I620" s="22"/>
    </row>
    <row r="621" spans="1:9" ht="15">
      <c r="A621" s="101" t="s">
        <v>308</v>
      </c>
      <c r="B621" s="56"/>
      <c r="C621" s="111" t="s">
        <v>106</v>
      </c>
      <c r="D621" s="111" t="s">
        <v>421</v>
      </c>
      <c r="E621" s="111" t="s">
        <v>309</v>
      </c>
      <c r="F621" s="183"/>
      <c r="G621" s="319">
        <f>SUM(G622)</f>
        <v>52860.4</v>
      </c>
      <c r="H621" s="22"/>
      <c r="I621" s="22"/>
    </row>
    <row r="622" spans="1:9" ht="28.5">
      <c r="A622" s="101" t="s">
        <v>46</v>
      </c>
      <c r="B622" s="139"/>
      <c r="C622" s="111" t="s">
        <v>106</v>
      </c>
      <c r="D622" s="111" t="s">
        <v>421</v>
      </c>
      <c r="E622" s="111" t="s">
        <v>310</v>
      </c>
      <c r="F622" s="183"/>
      <c r="G622" s="319">
        <f>SUM(G623+G624+G625+G626)</f>
        <v>52860.4</v>
      </c>
      <c r="H622" s="22"/>
      <c r="I622" s="22"/>
    </row>
    <row r="623" spans="1:9" ht="28.5">
      <c r="A623" s="101" t="s">
        <v>453</v>
      </c>
      <c r="B623" s="139"/>
      <c r="C623" s="111" t="s">
        <v>106</v>
      </c>
      <c r="D623" s="111" t="s">
        <v>421</v>
      </c>
      <c r="E623" s="111" t="s">
        <v>569</v>
      </c>
      <c r="F623" s="183" t="s">
        <v>454</v>
      </c>
      <c r="G623" s="319">
        <v>3013.1</v>
      </c>
      <c r="H623" s="22"/>
      <c r="I623" s="22"/>
    </row>
    <row r="624" spans="1:9" ht="15">
      <c r="A624" s="101" t="s">
        <v>458</v>
      </c>
      <c r="B624" s="139"/>
      <c r="C624" s="111" t="s">
        <v>106</v>
      </c>
      <c r="D624" s="111" t="s">
        <v>421</v>
      </c>
      <c r="E624" s="111" t="s">
        <v>250</v>
      </c>
      <c r="F624" s="183" t="s">
        <v>109</v>
      </c>
      <c r="G624" s="319">
        <v>3101.9</v>
      </c>
      <c r="H624" s="22"/>
      <c r="I624" s="22"/>
    </row>
    <row r="625" spans="1:9" ht="15">
      <c r="A625" s="101" t="s">
        <v>459</v>
      </c>
      <c r="B625" s="139"/>
      <c r="C625" s="111" t="s">
        <v>106</v>
      </c>
      <c r="D625" s="111" t="s">
        <v>421</v>
      </c>
      <c r="E625" s="111" t="s">
        <v>250</v>
      </c>
      <c r="F625" s="183" t="s">
        <v>163</v>
      </c>
      <c r="G625" s="319">
        <v>1218</v>
      </c>
      <c r="H625" s="22"/>
      <c r="I625" s="22"/>
    </row>
    <row r="626" spans="1:11" ht="71.25">
      <c r="A626" s="101" t="s">
        <v>570</v>
      </c>
      <c r="B626" s="139"/>
      <c r="C626" s="111" t="s">
        <v>106</v>
      </c>
      <c r="D626" s="111" t="s">
        <v>421</v>
      </c>
      <c r="E626" s="111" t="s">
        <v>311</v>
      </c>
      <c r="F626" s="183"/>
      <c r="G626" s="319">
        <f>SUM(G627+G628)</f>
        <v>45527.4</v>
      </c>
      <c r="H626" s="22">
        <f>SUM(H627)</f>
        <v>56722</v>
      </c>
      <c r="I626" s="22">
        <f>SUM(H626/G646*100)</f>
        <v>3308.7557603686632</v>
      </c>
      <c r="K626" s="91"/>
    </row>
    <row r="627" spans="1:9" ht="28.5">
      <c r="A627" s="101" t="s">
        <v>453</v>
      </c>
      <c r="B627" s="139"/>
      <c r="C627" s="111" t="s">
        <v>106</v>
      </c>
      <c r="D627" s="111" t="s">
        <v>421</v>
      </c>
      <c r="E627" s="111" t="s">
        <v>311</v>
      </c>
      <c r="F627" s="183" t="s">
        <v>454</v>
      </c>
      <c r="G627" s="319">
        <f>33581.2+2.8</f>
        <v>33584</v>
      </c>
      <c r="H627" s="22">
        <v>56722</v>
      </c>
      <c r="I627" s="22" t="e">
        <f>SUM(H627/#REF!*100)</f>
        <v>#REF!</v>
      </c>
    </row>
    <row r="628" spans="1:9" ht="15">
      <c r="A628" s="101" t="s">
        <v>458</v>
      </c>
      <c r="B628" s="139"/>
      <c r="C628" s="111" t="s">
        <v>106</v>
      </c>
      <c r="D628" s="111" t="s">
        <v>421</v>
      </c>
      <c r="E628" s="111" t="s">
        <v>311</v>
      </c>
      <c r="F628" s="183" t="s">
        <v>109</v>
      </c>
      <c r="G628" s="319">
        <v>11943.4</v>
      </c>
      <c r="H628" s="22">
        <v>56722</v>
      </c>
      <c r="I628" s="22" t="e">
        <f>SUM(H628/#REF!*100)</f>
        <v>#REF!</v>
      </c>
    </row>
    <row r="629" spans="1:9" ht="15">
      <c r="A629" s="101" t="s">
        <v>312</v>
      </c>
      <c r="B629" s="56"/>
      <c r="C629" s="111" t="s">
        <v>106</v>
      </c>
      <c r="D629" s="111" t="s">
        <v>421</v>
      </c>
      <c r="E629" s="111" t="s">
        <v>313</v>
      </c>
      <c r="F629" s="183"/>
      <c r="G629" s="319">
        <f>G630</f>
        <v>6181.3</v>
      </c>
      <c r="H629" s="22" t="e">
        <f>SUM(H630+H642+H644+#REF!)+H646+H632+H640+#REF!</f>
        <v>#REF!</v>
      </c>
      <c r="I629" s="22" t="e">
        <f>SUM(H629/G647*100)</f>
        <v>#REF!</v>
      </c>
    </row>
    <row r="630" spans="1:9" ht="15">
      <c r="A630" s="101" t="s">
        <v>220</v>
      </c>
      <c r="B630" s="56"/>
      <c r="C630" s="111" t="s">
        <v>106</v>
      </c>
      <c r="D630" s="111" t="s">
        <v>421</v>
      </c>
      <c r="E630" s="111" t="s">
        <v>279</v>
      </c>
      <c r="F630" s="183"/>
      <c r="G630" s="319">
        <f>G631</f>
        <v>6181.3</v>
      </c>
      <c r="H630" s="22">
        <v>53118.9</v>
      </c>
      <c r="I630" s="22">
        <f>SUM(H630/G648*100)</f>
        <v>450160.16949152545</v>
      </c>
    </row>
    <row r="631" spans="1:9" ht="57">
      <c r="A631" s="101" t="s">
        <v>571</v>
      </c>
      <c r="B631" s="56"/>
      <c r="C631" s="111" t="s">
        <v>106</v>
      </c>
      <c r="D631" s="111" t="s">
        <v>421</v>
      </c>
      <c r="E631" s="111" t="s">
        <v>275</v>
      </c>
      <c r="F631" s="183"/>
      <c r="G631" s="319">
        <f>G632</f>
        <v>6181.3</v>
      </c>
      <c r="H631" s="22">
        <f>SUM(H632)</f>
        <v>0</v>
      </c>
      <c r="I631" s="22">
        <f>SUM(H631/G649*100)</f>
        <v>0</v>
      </c>
    </row>
    <row r="632" spans="1:9" ht="28.5">
      <c r="A632" s="101" t="s">
        <v>475</v>
      </c>
      <c r="B632" s="56"/>
      <c r="C632" s="111" t="s">
        <v>106</v>
      </c>
      <c r="D632" s="111" t="s">
        <v>421</v>
      </c>
      <c r="E632" s="111" t="s">
        <v>275</v>
      </c>
      <c r="F632" s="183" t="s">
        <v>471</v>
      </c>
      <c r="G632" s="319">
        <v>6181.3</v>
      </c>
      <c r="H632" s="22"/>
      <c r="I632" s="22">
        <f>SUM(H632/G650*100)</f>
        <v>0</v>
      </c>
    </row>
    <row r="633" spans="1:9" ht="15">
      <c r="A633" s="101" t="s">
        <v>634</v>
      </c>
      <c r="B633" s="56"/>
      <c r="C633" s="111" t="s">
        <v>106</v>
      </c>
      <c r="D633" s="111" t="s">
        <v>421</v>
      </c>
      <c r="E633" s="111" t="s">
        <v>636</v>
      </c>
      <c r="F633" s="183"/>
      <c r="G633" s="319">
        <f>SUM(G634)</f>
        <v>49.5</v>
      </c>
      <c r="H633" s="22"/>
      <c r="I633" s="22"/>
    </row>
    <row r="634" spans="1:9" ht="28.5">
      <c r="A634" s="101" t="s">
        <v>635</v>
      </c>
      <c r="B634" s="56"/>
      <c r="C634" s="111" t="s">
        <v>106</v>
      </c>
      <c r="D634" s="111" t="s">
        <v>421</v>
      </c>
      <c r="E634" s="111" t="s">
        <v>637</v>
      </c>
      <c r="F634" s="183"/>
      <c r="G634" s="319">
        <f>SUM(G635:G636)</f>
        <v>49.5</v>
      </c>
      <c r="H634" s="22"/>
      <c r="I634" s="22"/>
    </row>
    <row r="635" spans="1:9" ht="15">
      <c r="A635" s="101" t="s">
        <v>458</v>
      </c>
      <c r="B635" s="56"/>
      <c r="C635" s="111" t="s">
        <v>106</v>
      </c>
      <c r="D635" s="111" t="s">
        <v>421</v>
      </c>
      <c r="E635" s="111" t="s">
        <v>637</v>
      </c>
      <c r="F635" s="183" t="s">
        <v>109</v>
      </c>
      <c r="G635" s="319">
        <v>43.5</v>
      </c>
      <c r="H635" s="22"/>
      <c r="I635" s="22"/>
    </row>
    <row r="636" spans="1:9" ht="28.5">
      <c r="A636" s="101" t="s">
        <v>482</v>
      </c>
      <c r="B636" s="56"/>
      <c r="C636" s="111" t="s">
        <v>106</v>
      </c>
      <c r="D636" s="111" t="s">
        <v>421</v>
      </c>
      <c r="E636" s="111" t="s">
        <v>637</v>
      </c>
      <c r="F636" s="183" t="s">
        <v>471</v>
      </c>
      <c r="G636" s="319">
        <v>6</v>
      </c>
      <c r="H636" s="22"/>
      <c r="I636" s="22"/>
    </row>
    <row r="637" spans="1:9" ht="15">
      <c r="A637" s="101" t="s">
        <v>107</v>
      </c>
      <c r="B637" s="56"/>
      <c r="C637" s="111" t="s">
        <v>106</v>
      </c>
      <c r="D637" s="111" t="s">
        <v>106</v>
      </c>
      <c r="E637" s="111"/>
      <c r="F637" s="183"/>
      <c r="G637" s="319">
        <f>SUM(G642+G649+G638+G655)</f>
        <v>27433.800000000003</v>
      </c>
      <c r="H637" s="22"/>
      <c r="I637" s="22">
        <f>SUM(H637/G651*100)</f>
        <v>0</v>
      </c>
    </row>
    <row r="638" spans="1:9" ht="15" hidden="1">
      <c r="A638" s="101" t="s">
        <v>368</v>
      </c>
      <c r="B638" s="56"/>
      <c r="C638" s="111" t="s">
        <v>106</v>
      </c>
      <c r="D638" s="111" t="s">
        <v>106</v>
      </c>
      <c r="E638" s="111" t="s">
        <v>370</v>
      </c>
      <c r="F638" s="183"/>
      <c r="G638" s="319">
        <f>SUM(G639)</f>
        <v>0</v>
      </c>
      <c r="H638" s="22"/>
      <c r="I638" s="22" t="e">
        <f>SUM(H638/G652*100)</f>
        <v>#DIV/0!</v>
      </c>
    </row>
    <row r="639" spans="1:9" ht="15" hidden="1">
      <c r="A639" s="101" t="s">
        <v>348</v>
      </c>
      <c r="B639" s="56"/>
      <c r="C639" s="111" t="s">
        <v>106</v>
      </c>
      <c r="D639" s="111" t="s">
        <v>106</v>
      </c>
      <c r="E639" s="111" t="s">
        <v>349</v>
      </c>
      <c r="F639" s="183"/>
      <c r="G639" s="319">
        <f>SUM(G640+G641)</f>
        <v>0</v>
      </c>
      <c r="H639" s="22"/>
      <c r="I639" s="22">
        <f>SUM(H639/G653*100)</f>
        <v>0</v>
      </c>
    </row>
    <row r="640" spans="1:9" ht="15" hidden="1">
      <c r="A640" s="101" t="s">
        <v>232</v>
      </c>
      <c r="B640" s="56"/>
      <c r="C640" s="111" t="s">
        <v>106</v>
      </c>
      <c r="D640" s="111" t="s">
        <v>106</v>
      </c>
      <c r="E640" s="111" t="s">
        <v>349</v>
      </c>
      <c r="F640" s="183" t="s">
        <v>233</v>
      </c>
      <c r="G640" s="319"/>
      <c r="H640" s="22">
        <f>SUM(H641)</f>
        <v>0</v>
      </c>
      <c r="I640" s="22">
        <f aca="true" t="shared" si="10" ref="I640:I646">SUM(H640/G655*100)</f>
        <v>0</v>
      </c>
    </row>
    <row r="641" spans="1:9" ht="15" hidden="1">
      <c r="A641" s="101" t="s">
        <v>211</v>
      </c>
      <c r="B641" s="56"/>
      <c r="C641" s="111" t="s">
        <v>106</v>
      </c>
      <c r="D641" s="111" t="s">
        <v>106</v>
      </c>
      <c r="E641" s="111" t="s">
        <v>349</v>
      </c>
      <c r="F641" s="183" t="s">
        <v>212</v>
      </c>
      <c r="G641" s="319"/>
      <c r="H641" s="22"/>
      <c r="I641" s="22">
        <f t="shared" si="10"/>
        <v>0</v>
      </c>
    </row>
    <row r="642" spans="1:9" ht="15">
      <c r="A642" s="101" t="s">
        <v>213</v>
      </c>
      <c r="B642" s="56"/>
      <c r="C642" s="111" t="s">
        <v>106</v>
      </c>
      <c r="D642" s="111" t="s">
        <v>106</v>
      </c>
      <c r="E642" s="111" t="s">
        <v>214</v>
      </c>
      <c r="F642" s="183"/>
      <c r="G642" s="319">
        <f>SUM(G645+G643)</f>
        <v>1873.8999999999999</v>
      </c>
      <c r="H642" s="22">
        <f>SUM(H643)</f>
        <v>5014</v>
      </c>
      <c r="I642" s="22">
        <f t="shared" si="10"/>
        <v>629.1881039026226</v>
      </c>
    </row>
    <row r="643" spans="1:9" ht="28.5" hidden="1">
      <c r="A643" s="101" t="s">
        <v>243</v>
      </c>
      <c r="B643" s="56"/>
      <c r="C643" s="111" t="s">
        <v>106</v>
      </c>
      <c r="D643" s="111" t="s">
        <v>106</v>
      </c>
      <c r="E643" s="111" t="s">
        <v>200</v>
      </c>
      <c r="F643" s="183"/>
      <c r="G643" s="319"/>
      <c r="H643" s="22">
        <v>5014</v>
      </c>
      <c r="I643" s="22">
        <f t="shared" si="10"/>
        <v>16.549110988622896</v>
      </c>
    </row>
    <row r="644" spans="1:9" ht="15" hidden="1">
      <c r="A644" s="101" t="s">
        <v>47</v>
      </c>
      <c r="B644" s="56"/>
      <c r="C644" s="111" t="s">
        <v>106</v>
      </c>
      <c r="D644" s="111" t="s">
        <v>106</v>
      </c>
      <c r="E644" s="111" t="s">
        <v>200</v>
      </c>
      <c r="F644" s="183"/>
      <c r="G644" s="319"/>
      <c r="H644" s="22">
        <f>SUM(H645)</f>
        <v>0</v>
      </c>
      <c r="I644" s="22">
        <f t="shared" si="10"/>
        <v>0</v>
      </c>
    </row>
    <row r="645" spans="1:9" ht="28.5">
      <c r="A645" s="101" t="s">
        <v>46</v>
      </c>
      <c r="B645" s="56"/>
      <c r="C645" s="111" t="s">
        <v>106</v>
      </c>
      <c r="D645" s="111" t="s">
        <v>106</v>
      </c>
      <c r="E645" s="111" t="s">
        <v>217</v>
      </c>
      <c r="F645" s="183"/>
      <c r="G645" s="319">
        <f>SUM(G646+G647+G648)</f>
        <v>1873.8999999999999</v>
      </c>
      <c r="H645" s="22"/>
      <c r="I645" s="22">
        <f t="shared" si="10"/>
        <v>0</v>
      </c>
    </row>
    <row r="646" spans="1:9" ht="28.5">
      <c r="A646" s="101" t="s">
        <v>453</v>
      </c>
      <c r="B646" s="56"/>
      <c r="C646" s="111" t="s">
        <v>106</v>
      </c>
      <c r="D646" s="111" t="s">
        <v>106</v>
      </c>
      <c r="E646" s="111" t="s">
        <v>217</v>
      </c>
      <c r="F646" s="183" t="s">
        <v>454</v>
      </c>
      <c r="G646" s="319">
        <v>1714.3</v>
      </c>
      <c r="H646" s="22" t="e">
        <f>SUM(#REF!)</f>
        <v>#REF!</v>
      </c>
      <c r="I646" s="22" t="e">
        <f t="shared" si="10"/>
        <v>#REF!</v>
      </c>
    </row>
    <row r="647" spans="1:9" ht="15">
      <c r="A647" s="101" t="s">
        <v>458</v>
      </c>
      <c r="B647" s="56"/>
      <c r="C647" s="111" t="s">
        <v>106</v>
      </c>
      <c r="D647" s="111" t="s">
        <v>106</v>
      </c>
      <c r="E647" s="111" t="s">
        <v>217</v>
      </c>
      <c r="F647" s="183" t="s">
        <v>109</v>
      </c>
      <c r="G647" s="319">
        <v>147.8</v>
      </c>
      <c r="H647" s="22">
        <f>SUM(H655)</f>
        <v>39140.2</v>
      </c>
      <c r="I647" s="22">
        <f>SUM(H647/G668*100)</f>
        <v>413.9323371088338</v>
      </c>
    </row>
    <row r="648" spans="1:9" ht="15">
      <c r="A648" s="101" t="s">
        <v>459</v>
      </c>
      <c r="B648" s="56"/>
      <c r="C648" s="111" t="s">
        <v>106</v>
      </c>
      <c r="D648" s="111" t="s">
        <v>106</v>
      </c>
      <c r="E648" s="111" t="s">
        <v>217</v>
      </c>
      <c r="F648" s="183" t="s">
        <v>163</v>
      </c>
      <c r="G648" s="319">
        <v>11.8</v>
      </c>
      <c r="H648" s="22" t="e">
        <f>SUM(H652+#REF!+#REF!)</f>
        <v>#REF!</v>
      </c>
      <c r="I648" s="22" t="e">
        <f>SUM(H648/G669*100)</f>
        <v>#REF!</v>
      </c>
    </row>
    <row r="649" spans="1:9" ht="15">
      <c r="A649" s="107" t="s">
        <v>218</v>
      </c>
      <c r="B649" s="56"/>
      <c r="C649" s="111" t="s">
        <v>106</v>
      </c>
      <c r="D649" s="111" t="s">
        <v>106</v>
      </c>
      <c r="E649" s="111" t="s">
        <v>108</v>
      </c>
      <c r="F649" s="183"/>
      <c r="G649" s="319">
        <f>SUM(G650)</f>
        <v>24763</v>
      </c>
      <c r="H649" s="22"/>
      <c r="I649" s="22"/>
    </row>
    <row r="650" spans="1:9" ht="28.5">
      <c r="A650" s="107" t="s">
        <v>79</v>
      </c>
      <c r="B650" s="56"/>
      <c r="C650" s="111" t="s">
        <v>106</v>
      </c>
      <c r="D650" s="111" t="s">
        <v>106</v>
      </c>
      <c r="E650" s="111" t="s">
        <v>80</v>
      </c>
      <c r="F650" s="183"/>
      <c r="G650" s="319">
        <f>SUM(G651)</f>
        <v>24763</v>
      </c>
      <c r="H650" s="22"/>
      <c r="I650" s="22"/>
    </row>
    <row r="651" spans="1:9" ht="42.75">
      <c r="A651" s="107" t="s">
        <v>81</v>
      </c>
      <c r="B651" s="56"/>
      <c r="C651" s="111" t="s">
        <v>106</v>
      </c>
      <c r="D651" s="111" t="s">
        <v>106</v>
      </c>
      <c r="E651" s="111" t="s">
        <v>82</v>
      </c>
      <c r="F651" s="183"/>
      <c r="G651" s="319">
        <f>SUM(G653:G654)</f>
        <v>24763</v>
      </c>
      <c r="H651" s="22"/>
      <c r="I651" s="22"/>
    </row>
    <row r="652" spans="1:9" ht="15" hidden="1">
      <c r="A652" s="101" t="s">
        <v>47</v>
      </c>
      <c r="B652" s="56"/>
      <c r="C652" s="111" t="s">
        <v>106</v>
      </c>
      <c r="D652" s="111" t="s">
        <v>106</v>
      </c>
      <c r="E652" s="111" t="s">
        <v>82</v>
      </c>
      <c r="F652" s="183"/>
      <c r="G652" s="319"/>
      <c r="H652" s="22">
        <v>56722</v>
      </c>
      <c r="I652" s="22" t="e">
        <f>SUM(H652/#REF!*100)</f>
        <v>#REF!</v>
      </c>
    </row>
    <row r="653" spans="1:9" ht="15">
      <c r="A653" s="101" t="s">
        <v>458</v>
      </c>
      <c r="B653" s="56"/>
      <c r="C653" s="111" t="s">
        <v>106</v>
      </c>
      <c r="D653" s="111" t="s">
        <v>106</v>
      </c>
      <c r="E653" s="111" t="s">
        <v>82</v>
      </c>
      <c r="F653" s="183" t="s">
        <v>109</v>
      </c>
      <c r="G653" s="319">
        <v>23213.5</v>
      </c>
      <c r="H653" s="22"/>
      <c r="I653" s="22"/>
    </row>
    <row r="654" spans="1:9" ht="28.5">
      <c r="A654" s="101" t="s">
        <v>482</v>
      </c>
      <c r="B654" s="56"/>
      <c r="C654" s="111" t="s">
        <v>106</v>
      </c>
      <c r="D654" s="111" t="s">
        <v>106</v>
      </c>
      <c r="E654" s="111" t="s">
        <v>82</v>
      </c>
      <c r="F654" s="183" t="s">
        <v>471</v>
      </c>
      <c r="G654" s="319">
        <v>1549.5</v>
      </c>
      <c r="H654" s="22"/>
      <c r="I654" s="22"/>
    </row>
    <row r="655" spans="1:9" ht="15">
      <c r="A655" s="101" t="s">
        <v>552</v>
      </c>
      <c r="B655" s="140"/>
      <c r="C655" s="111" t="s">
        <v>106</v>
      </c>
      <c r="D655" s="111" t="s">
        <v>106</v>
      </c>
      <c r="E655" s="111" t="s">
        <v>118</v>
      </c>
      <c r="F655" s="183"/>
      <c r="G655" s="319">
        <f>SUM(G656)</f>
        <v>796.9</v>
      </c>
      <c r="H655" s="22">
        <f>SUM(H656+H661+H657)</f>
        <v>39140.2</v>
      </c>
      <c r="I655" s="22" t="e">
        <f>SUM(H655/#REF!*100)</f>
        <v>#REF!</v>
      </c>
    </row>
    <row r="656" spans="1:9" ht="15">
      <c r="A656" s="184" t="s">
        <v>572</v>
      </c>
      <c r="B656" s="140"/>
      <c r="C656" s="111" t="s">
        <v>106</v>
      </c>
      <c r="D656" s="111" t="s">
        <v>106</v>
      </c>
      <c r="E656" s="111" t="s">
        <v>86</v>
      </c>
      <c r="F656" s="183"/>
      <c r="G656" s="322">
        <f>SUM(G657)</f>
        <v>796.9</v>
      </c>
      <c r="H656" s="22">
        <v>39061.6</v>
      </c>
      <c r="I656" s="22" t="e">
        <f>SUM(H656/#REF!*100)</f>
        <v>#REF!</v>
      </c>
    </row>
    <row r="657" spans="1:9" ht="15">
      <c r="A657" s="101" t="s">
        <v>458</v>
      </c>
      <c r="B657" s="140"/>
      <c r="C657" s="111" t="s">
        <v>106</v>
      </c>
      <c r="D657" s="111" t="s">
        <v>106</v>
      </c>
      <c r="E657" s="111" t="s">
        <v>86</v>
      </c>
      <c r="F657" s="183" t="s">
        <v>109</v>
      </c>
      <c r="G657" s="322">
        <v>796.9</v>
      </c>
      <c r="H657" s="22">
        <f>SUM(H658)</f>
        <v>78.6</v>
      </c>
      <c r="I657" s="22" t="e">
        <f>SUM(H657/#REF!*100)</f>
        <v>#REF!</v>
      </c>
    </row>
    <row r="658" spans="1:9" ht="15">
      <c r="A658" s="101" t="s">
        <v>219</v>
      </c>
      <c r="B658" s="56"/>
      <c r="C658" s="111" t="s">
        <v>106</v>
      </c>
      <c r="D658" s="111" t="s">
        <v>285</v>
      </c>
      <c r="E658" s="111"/>
      <c r="F658" s="183"/>
      <c r="G658" s="319">
        <f>G659</f>
        <v>30297.7</v>
      </c>
      <c r="H658" s="22">
        <v>78.6</v>
      </c>
      <c r="I658" s="22" t="e">
        <f>SUM(H658/#REF!*100)</f>
        <v>#REF!</v>
      </c>
    </row>
    <row r="659" spans="1:9" ht="42.75">
      <c r="A659" s="107" t="s">
        <v>276</v>
      </c>
      <c r="B659" s="56"/>
      <c r="C659" s="111" t="s">
        <v>106</v>
      </c>
      <c r="D659" s="111" t="s">
        <v>285</v>
      </c>
      <c r="E659" s="111" t="s">
        <v>277</v>
      </c>
      <c r="F659" s="183"/>
      <c r="G659" s="319">
        <f>SUM(G660)</f>
        <v>30297.7</v>
      </c>
      <c r="H659" s="22"/>
      <c r="I659" s="22" t="e">
        <f>SUM(H659/#REF!*100)</f>
        <v>#REF!</v>
      </c>
    </row>
    <row r="660" spans="1:9" ht="28.5">
      <c r="A660" s="101" t="s">
        <v>46</v>
      </c>
      <c r="B660" s="56"/>
      <c r="C660" s="111" t="s">
        <v>106</v>
      </c>
      <c r="D660" s="111" t="s">
        <v>285</v>
      </c>
      <c r="E660" s="111" t="s">
        <v>278</v>
      </c>
      <c r="F660" s="183"/>
      <c r="G660" s="319">
        <f>SUM(G661+G662+G663)</f>
        <v>30297.7</v>
      </c>
      <c r="H660" s="22"/>
      <c r="I660" s="22" t="e">
        <f>SUM(H660/#REF!*100)</f>
        <v>#REF!</v>
      </c>
    </row>
    <row r="661" spans="1:9" s="79" customFormat="1" ht="28.5">
      <c r="A661" s="101" t="s">
        <v>453</v>
      </c>
      <c r="B661" s="56"/>
      <c r="C661" s="111" t="s">
        <v>106</v>
      </c>
      <c r="D661" s="111" t="s">
        <v>285</v>
      </c>
      <c r="E661" s="111" t="s">
        <v>278</v>
      </c>
      <c r="F661" s="183" t="s">
        <v>454</v>
      </c>
      <c r="G661" s="319">
        <v>26775</v>
      </c>
      <c r="H661" s="22">
        <f>SUM(H663)</f>
        <v>0</v>
      </c>
      <c r="I661" s="22" t="e">
        <f>SUM(H661/#REF!*100)</f>
        <v>#REF!</v>
      </c>
    </row>
    <row r="662" spans="1:9" ht="15">
      <c r="A662" s="101" t="s">
        <v>458</v>
      </c>
      <c r="B662" s="140"/>
      <c r="C662" s="111" t="s">
        <v>106</v>
      </c>
      <c r="D662" s="111" t="s">
        <v>285</v>
      </c>
      <c r="E662" s="111" t="s">
        <v>278</v>
      </c>
      <c r="F662" s="183" t="s">
        <v>109</v>
      </c>
      <c r="G662" s="319">
        <v>3119.3</v>
      </c>
      <c r="H662" s="22"/>
      <c r="I662" s="22" t="e">
        <f>SUM(H662/#REF!*100)</f>
        <v>#REF!</v>
      </c>
    </row>
    <row r="663" spans="1:9" ht="15">
      <c r="A663" s="101" t="s">
        <v>459</v>
      </c>
      <c r="B663" s="56"/>
      <c r="C663" s="111" t="s">
        <v>106</v>
      </c>
      <c r="D663" s="111" t="s">
        <v>285</v>
      </c>
      <c r="E663" s="111" t="s">
        <v>278</v>
      </c>
      <c r="F663" s="183" t="s">
        <v>163</v>
      </c>
      <c r="G663" s="319">
        <v>403.4</v>
      </c>
      <c r="H663" s="22"/>
      <c r="I663" s="22" t="e">
        <f>SUM(H663/#REF!*100)</f>
        <v>#REF!</v>
      </c>
    </row>
    <row r="664" spans="1:9" ht="15">
      <c r="A664" s="101" t="s">
        <v>174</v>
      </c>
      <c r="B664" s="56"/>
      <c r="C664" s="111" t="s">
        <v>5</v>
      </c>
      <c r="D664" s="111"/>
      <c r="E664" s="111"/>
      <c r="F664" s="183"/>
      <c r="G664" s="319">
        <f>SUM(G669)+G665</f>
        <v>36519.2</v>
      </c>
      <c r="H664" s="22">
        <f>SUM(H665)</f>
        <v>13875.4</v>
      </c>
      <c r="I664" s="22" t="e">
        <f>SUM(H664/#REF!*100)</f>
        <v>#REF!</v>
      </c>
    </row>
    <row r="665" spans="1:9" ht="15">
      <c r="A665" s="107" t="s">
        <v>21</v>
      </c>
      <c r="B665" s="56"/>
      <c r="C665" s="111" t="s">
        <v>5</v>
      </c>
      <c r="D665" s="111" t="s">
        <v>95</v>
      </c>
      <c r="E665" s="111"/>
      <c r="F665" s="183"/>
      <c r="G665" s="319">
        <f>SUM(G666)</f>
        <v>9455.7</v>
      </c>
      <c r="H665" s="22">
        <f>SUM(H667+H669+H671)</f>
        <v>13875.4</v>
      </c>
      <c r="I665" s="22" t="e">
        <f>SUM(H665/#REF!*100)</f>
        <v>#REF!</v>
      </c>
    </row>
    <row r="666" spans="1:9" ht="15">
      <c r="A666" s="103" t="s">
        <v>22</v>
      </c>
      <c r="B666" s="56"/>
      <c r="C666" s="111" t="s">
        <v>5</v>
      </c>
      <c r="D666" s="111" t="s">
        <v>95</v>
      </c>
      <c r="E666" s="111" t="s">
        <v>23</v>
      </c>
      <c r="F666" s="183"/>
      <c r="G666" s="319">
        <f>SUM(G667)</f>
        <v>9455.7</v>
      </c>
      <c r="H666" s="22"/>
      <c r="I666" s="22" t="e">
        <f>SUM(H666/#REF!*100)</f>
        <v>#REF!</v>
      </c>
    </row>
    <row r="667" spans="1:9" ht="42.75">
      <c r="A667" s="103" t="s">
        <v>573</v>
      </c>
      <c r="B667" s="56"/>
      <c r="C667" s="111" t="s">
        <v>5</v>
      </c>
      <c r="D667" s="111" t="s">
        <v>95</v>
      </c>
      <c r="E667" s="111" t="s">
        <v>169</v>
      </c>
      <c r="F667" s="183"/>
      <c r="G667" s="319">
        <f>SUM(G668)</f>
        <v>9455.7</v>
      </c>
      <c r="H667" s="22">
        <f>SUM(H668)</f>
        <v>0</v>
      </c>
      <c r="I667" s="22" t="e">
        <f>SUM(H667/#REF!*100)</f>
        <v>#REF!</v>
      </c>
    </row>
    <row r="668" spans="1:9" ht="15">
      <c r="A668" s="103" t="s">
        <v>463</v>
      </c>
      <c r="B668" s="56"/>
      <c r="C668" s="111" t="s">
        <v>5</v>
      </c>
      <c r="D668" s="111" t="s">
        <v>95</v>
      </c>
      <c r="E668" s="111" t="s">
        <v>169</v>
      </c>
      <c r="F668" s="183" t="s">
        <v>464</v>
      </c>
      <c r="G668" s="319">
        <v>9455.7</v>
      </c>
      <c r="H668" s="22"/>
      <c r="I668" s="22" t="e">
        <f>SUM(H668/#REF!*100)</f>
        <v>#REF!</v>
      </c>
    </row>
    <row r="669" spans="1:9" ht="15">
      <c r="A669" s="107" t="s">
        <v>147</v>
      </c>
      <c r="B669" s="56"/>
      <c r="C669" s="111" t="s">
        <v>5</v>
      </c>
      <c r="D669" s="111" t="s">
        <v>111</v>
      </c>
      <c r="E669" s="111"/>
      <c r="F669" s="183"/>
      <c r="G669" s="319">
        <f>SUM(G670)</f>
        <v>27063.5</v>
      </c>
      <c r="H669" s="22">
        <f>SUM(H670)</f>
        <v>12.8</v>
      </c>
      <c r="I669" s="22" t="e">
        <f>SUM(H669/#REF!*100)</f>
        <v>#REF!</v>
      </c>
    </row>
    <row r="670" spans="1:9" ht="15">
      <c r="A670" s="103" t="s">
        <v>314</v>
      </c>
      <c r="B670" s="56"/>
      <c r="C670" s="111" t="s">
        <v>5</v>
      </c>
      <c r="D670" s="111" t="s">
        <v>111</v>
      </c>
      <c r="E670" s="111" t="s">
        <v>315</v>
      </c>
      <c r="F670" s="183"/>
      <c r="G670" s="319">
        <f>SUM(G671)</f>
        <v>27063.5</v>
      </c>
      <c r="H670" s="22">
        <v>12.8</v>
      </c>
      <c r="I670" s="22" t="e">
        <f>SUM(H670/#REF!*100)</f>
        <v>#REF!</v>
      </c>
    </row>
    <row r="671" spans="1:9" ht="42.75">
      <c r="A671" s="103" t="s">
        <v>149</v>
      </c>
      <c r="B671" s="56"/>
      <c r="C671" s="111" t="s">
        <v>5</v>
      </c>
      <c r="D671" s="111" t="s">
        <v>111</v>
      </c>
      <c r="E671" s="111" t="s">
        <v>150</v>
      </c>
      <c r="F671" s="183"/>
      <c r="G671" s="319">
        <f>SUM(G672)</f>
        <v>27063.5</v>
      </c>
      <c r="H671" s="22">
        <f>SUM(H672)</f>
        <v>13862.6</v>
      </c>
      <c r="I671" s="22" t="e">
        <f>SUM(H671/#REF!*100)</f>
        <v>#REF!</v>
      </c>
    </row>
    <row r="672" spans="1:9" ht="15">
      <c r="A672" s="103" t="s">
        <v>463</v>
      </c>
      <c r="B672" s="56"/>
      <c r="C672" s="111" t="s">
        <v>5</v>
      </c>
      <c r="D672" s="111" t="s">
        <v>111</v>
      </c>
      <c r="E672" s="111" t="s">
        <v>150</v>
      </c>
      <c r="F672" s="183" t="s">
        <v>464</v>
      </c>
      <c r="G672" s="319">
        <v>27063.5</v>
      </c>
      <c r="H672" s="22">
        <v>13862.6</v>
      </c>
      <c r="I672" s="22" t="e">
        <f>SUM(H672/#REF!*100)</f>
        <v>#REF!</v>
      </c>
    </row>
    <row r="673" spans="1:9" ht="15">
      <c r="A673" s="99" t="s">
        <v>291</v>
      </c>
      <c r="B673" s="132" t="s">
        <v>251</v>
      </c>
      <c r="C673" s="116"/>
      <c r="D673" s="116"/>
      <c r="E673" s="116"/>
      <c r="F673" s="130"/>
      <c r="G673" s="321">
        <f>SUM(G674+G703)</f>
        <v>172947</v>
      </c>
      <c r="H673" s="22">
        <f>SUM(H674)</f>
        <v>199.3</v>
      </c>
      <c r="I673" s="22" t="e">
        <f>SUM(H673/G697*100)</f>
        <v>#DIV/0!</v>
      </c>
    </row>
    <row r="674" spans="1:9" ht="15">
      <c r="A674" s="96" t="s">
        <v>105</v>
      </c>
      <c r="B674" s="45"/>
      <c r="C674" s="116" t="s">
        <v>106</v>
      </c>
      <c r="D674" s="116"/>
      <c r="E674" s="116"/>
      <c r="F674" s="130"/>
      <c r="G674" s="312">
        <f>SUM(G675)+G690</f>
        <v>58127.2</v>
      </c>
      <c r="H674" s="22">
        <v>199.3</v>
      </c>
      <c r="I674" s="22" t="e">
        <f>SUM(H674/G698*100)</f>
        <v>#DIV/0!</v>
      </c>
    </row>
    <row r="675" spans="1:9" ht="15">
      <c r="A675" s="96" t="s">
        <v>321</v>
      </c>
      <c r="B675" s="132"/>
      <c r="C675" s="116" t="s">
        <v>106</v>
      </c>
      <c r="D675" s="116" t="s">
        <v>421</v>
      </c>
      <c r="E675" s="116"/>
      <c r="F675" s="130"/>
      <c r="G675" s="312">
        <f>SUM(G676+G687)</f>
        <v>58127.2</v>
      </c>
      <c r="H675" s="22"/>
      <c r="I675" s="22"/>
    </row>
    <row r="676" spans="1:9" ht="15">
      <c r="A676" s="96" t="s">
        <v>298</v>
      </c>
      <c r="B676" s="45"/>
      <c r="C676" s="116" t="s">
        <v>106</v>
      </c>
      <c r="D676" s="116" t="s">
        <v>421</v>
      </c>
      <c r="E676" s="116" t="s">
        <v>299</v>
      </c>
      <c r="F676" s="130"/>
      <c r="G676" s="312">
        <f>SUM(G677)</f>
        <v>58127.2</v>
      </c>
      <c r="H676" s="22" t="e">
        <f>SUM(#REF!)</f>
        <v>#REF!</v>
      </c>
      <c r="I676" s="22" t="e">
        <f>SUM(H676/G700*100)</f>
        <v>#REF!</v>
      </c>
    </row>
    <row r="677" spans="1:9" ht="15">
      <c r="A677" s="96" t="s">
        <v>11</v>
      </c>
      <c r="B677" s="132"/>
      <c r="C677" s="116" t="s">
        <v>106</v>
      </c>
      <c r="D677" s="116" t="s">
        <v>421</v>
      </c>
      <c r="E677" s="116" t="s">
        <v>67</v>
      </c>
      <c r="F677" s="130"/>
      <c r="G677" s="312">
        <f>SUM(G678)+G685+G680</f>
        <v>58127.2</v>
      </c>
      <c r="H677" s="22"/>
      <c r="I677" s="22"/>
    </row>
    <row r="678" spans="1:9" ht="28.5">
      <c r="A678" s="96" t="s">
        <v>83</v>
      </c>
      <c r="B678" s="132"/>
      <c r="C678" s="116" t="s">
        <v>106</v>
      </c>
      <c r="D678" s="116" t="s">
        <v>421</v>
      </c>
      <c r="E678" s="116" t="s">
        <v>68</v>
      </c>
      <c r="F678" s="130"/>
      <c r="G678" s="312">
        <f>SUM(G679)</f>
        <v>58077.2</v>
      </c>
      <c r="H678" s="22"/>
      <c r="I678" s="22"/>
    </row>
    <row r="679" spans="1:9" ht="28.5">
      <c r="A679" s="101" t="s">
        <v>475</v>
      </c>
      <c r="B679" s="139"/>
      <c r="C679" s="116" t="s">
        <v>106</v>
      </c>
      <c r="D679" s="116" t="s">
        <v>421</v>
      </c>
      <c r="E679" s="116" t="s">
        <v>68</v>
      </c>
      <c r="F679" s="131" t="s">
        <v>471</v>
      </c>
      <c r="G679" s="312">
        <v>58077.2</v>
      </c>
      <c r="H679" s="22" t="e">
        <f>SUM(H680+H731)</f>
        <v>#REF!</v>
      </c>
      <c r="I679" s="22" t="e">
        <f>SUM(H679/G703*100)</f>
        <v>#REF!</v>
      </c>
    </row>
    <row r="680" spans="1:9" ht="20.25" customHeight="1">
      <c r="A680" s="101" t="s">
        <v>146</v>
      </c>
      <c r="B680" s="139"/>
      <c r="C680" s="116" t="s">
        <v>106</v>
      </c>
      <c r="D680" s="116" t="s">
        <v>421</v>
      </c>
      <c r="E680" s="116" t="s">
        <v>140</v>
      </c>
      <c r="F680" s="131"/>
      <c r="G680" s="312">
        <f>SUM(G683)</f>
        <v>50</v>
      </c>
      <c r="H680" s="22" t="e">
        <f>SUM(#REF!+H704+H681+H724)</f>
        <v>#REF!</v>
      </c>
      <c r="I680" s="22" t="e">
        <f>SUM(H680/G704*100)</f>
        <v>#REF!</v>
      </c>
    </row>
    <row r="681" spans="1:9" ht="28.5" hidden="1">
      <c r="A681" s="101" t="s">
        <v>422</v>
      </c>
      <c r="B681" s="139"/>
      <c r="C681" s="116" t="s">
        <v>106</v>
      </c>
      <c r="D681" s="116" t="s">
        <v>421</v>
      </c>
      <c r="E681" s="116" t="s">
        <v>423</v>
      </c>
      <c r="F681" s="131"/>
      <c r="G681" s="312">
        <f>SUM(G682)</f>
        <v>0</v>
      </c>
      <c r="H681" s="22">
        <f>SUM(H699)</f>
        <v>14679.5</v>
      </c>
      <c r="I681" s="22">
        <f>SUM(H681/G705*100)</f>
        <v>24.723701540399702</v>
      </c>
    </row>
    <row r="682" spans="1:9" ht="15" hidden="1">
      <c r="A682" s="101" t="s">
        <v>146</v>
      </c>
      <c r="B682" s="139"/>
      <c r="C682" s="116" t="s">
        <v>106</v>
      </c>
      <c r="D682" s="116" t="s">
        <v>421</v>
      </c>
      <c r="E682" s="116" t="s">
        <v>423</v>
      </c>
      <c r="F682" s="131" t="s">
        <v>72</v>
      </c>
      <c r="G682" s="312"/>
      <c r="H682" s="22">
        <f>SUM(H683)</f>
        <v>0</v>
      </c>
      <c r="I682" s="22">
        <f>SUM(H682/G712*100)</f>
        <v>0</v>
      </c>
    </row>
    <row r="683" spans="1:9" ht="26.25" customHeight="1">
      <c r="A683" s="101" t="s">
        <v>143</v>
      </c>
      <c r="B683" s="139"/>
      <c r="C683" s="116" t="s">
        <v>106</v>
      </c>
      <c r="D683" s="116" t="s">
        <v>421</v>
      </c>
      <c r="E683" s="116" t="s">
        <v>206</v>
      </c>
      <c r="F683" s="131"/>
      <c r="G683" s="312">
        <f>SUM(G684)</f>
        <v>50</v>
      </c>
      <c r="H683" s="22"/>
      <c r="I683" s="22"/>
    </row>
    <row r="684" spans="1:9" ht="28.5">
      <c r="A684" s="101" t="s">
        <v>475</v>
      </c>
      <c r="B684" s="139"/>
      <c r="C684" s="116" t="s">
        <v>106</v>
      </c>
      <c r="D684" s="116" t="s">
        <v>421</v>
      </c>
      <c r="E684" s="116" t="s">
        <v>206</v>
      </c>
      <c r="F684" s="131" t="s">
        <v>471</v>
      </c>
      <c r="G684" s="312">
        <v>50</v>
      </c>
      <c r="H684" s="22">
        <f>SUM(H686+H735+H733)</f>
        <v>61355.8</v>
      </c>
      <c r="I684" s="22" t="e">
        <f>SUM(H684/G716*100)</f>
        <v>#DIV/0!</v>
      </c>
    </row>
    <row r="685" spans="1:9" ht="42.75" hidden="1">
      <c r="A685" s="101" t="s">
        <v>52</v>
      </c>
      <c r="B685" s="139"/>
      <c r="C685" s="116" t="s">
        <v>106</v>
      </c>
      <c r="D685" s="116" t="s">
        <v>421</v>
      </c>
      <c r="E685" s="116" t="s">
        <v>69</v>
      </c>
      <c r="F685" s="131"/>
      <c r="G685" s="312">
        <f>SUM(G686)</f>
        <v>0</v>
      </c>
      <c r="H685" s="22"/>
      <c r="I685" s="22"/>
    </row>
    <row r="686" spans="1:9" ht="15" hidden="1">
      <c r="A686" s="101" t="s">
        <v>146</v>
      </c>
      <c r="B686" s="139"/>
      <c r="C686" s="116" t="s">
        <v>106</v>
      </c>
      <c r="D686" s="116" t="s">
        <v>421</v>
      </c>
      <c r="E686" s="116" t="s">
        <v>69</v>
      </c>
      <c r="F686" s="131" t="s">
        <v>72</v>
      </c>
      <c r="G686" s="312"/>
      <c r="H686" s="22">
        <v>56722</v>
      </c>
      <c r="I686" s="22" t="e">
        <f>SUM(H686/G718*100)</f>
        <v>#DIV/0!</v>
      </c>
    </row>
    <row r="687" spans="1:9" ht="15" hidden="1">
      <c r="A687" s="101" t="s">
        <v>117</v>
      </c>
      <c r="B687" s="132"/>
      <c r="C687" s="116" t="s">
        <v>106</v>
      </c>
      <c r="D687" s="116" t="s">
        <v>421</v>
      </c>
      <c r="E687" s="116" t="s">
        <v>118</v>
      </c>
      <c r="F687" s="130"/>
      <c r="G687" s="312">
        <f>SUM(G688)+G691</f>
        <v>0</v>
      </c>
      <c r="H687" s="22"/>
      <c r="I687" s="22"/>
    </row>
    <row r="688" spans="1:9" ht="42.75" hidden="1">
      <c r="A688" s="96" t="s">
        <v>194</v>
      </c>
      <c r="B688" s="132"/>
      <c r="C688" s="116" t="s">
        <v>106</v>
      </c>
      <c r="D688" s="116" t="s">
        <v>421</v>
      </c>
      <c r="E688" s="116" t="s">
        <v>283</v>
      </c>
      <c r="F688" s="130"/>
      <c r="G688" s="312">
        <f>SUM(G689)</f>
        <v>0</v>
      </c>
      <c r="H688" s="22"/>
      <c r="I688" s="22"/>
    </row>
    <row r="689" spans="1:9" ht="15" hidden="1">
      <c r="A689" s="101" t="s">
        <v>132</v>
      </c>
      <c r="B689" s="132"/>
      <c r="C689" s="116" t="s">
        <v>106</v>
      </c>
      <c r="D689" s="116" t="s">
        <v>421</v>
      </c>
      <c r="E689" s="116" t="s">
        <v>283</v>
      </c>
      <c r="F689" s="130" t="s">
        <v>72</v>
      </c>
      <c r="G689" s="312"/>
      <c r="H689" s="22"/>
      <c r="I689" s="22"/>
    </row>
    <row r="690" spans="1:9" ht="15" hidden="1">
      <c r="A690" s="96" t="s">
        <v>107</v>
      </c>
      <c r="B690" s="45"/>
      <c r="C690" s="54" t="s">
        <v>106</v>
      </c>
      <c r="D690" s="54" t="s">
        <v>106</v>
      </c>
      <c r="E690" s="116"/>
      <c r="F690" s="131"/>
      <c r="G690" s="312">
        <f>SUM(G696+G691+G694+G700)</f>
        <v>0</v>
      </c>
      <c r="H690" s="22"/>
      <c r="I690" s="22"/>
    </row>
    <row r="691" spans="1:9" ht="15" hidden="1">
      <c r="A691" s="100" t="s">
        <v>213</v>
      </c>
      <c r="B691" s="53"/>
      <c r="C691" s="116" t="s">
        <v>106</v>
      </c>
      <c r="D691" s="116" t="s">
        <v>106</v>
      </c>
      <c r="E691" s="116" t="s">
        <v>214</v>
      </c>
      <c r="F691" s="130"/>
      <c r="G691" s="312">
        <f>SUM(G692)</f>
        <v>0</v>
      </c>
      <c r="H691" s="22"/>
      <c r="I691" s="22"/>
    </row>
    <row r="692" spans="1:9" ht="15" hidden="1">
      <c r="A692" s="100" t="s">
        <v>215</v>
      </c>
      <c r="B692" s="53"/>
      <c r="C692" s="116" t="s">
        <v>106</v>
      </c>
      <c r="D692" s="116" t="s">
        <v>106</v>
      </c>
      <c r="E692" s="116" t="s">
        <v>216</v>
      </c>
      <c r="F692" s="130"/>
      <c r="G692" s="312">
        <f>SUM(G693)</f>
        <v>0</v>
      </c>
      <c r="H692" s="22"/>
      <c r="I692" s="22"/>
    </row>
    <row r="693" spans="1:9" ht="15" hidden="1">
      <c r="A693" s="101" t="s">
        <v>232</v>
      </c>
      <c r="B693" s="53"/>
      <c r="C693" s="116" t="s">
        <v>106</v>
      </c>
      <c r="D693" s="116" t="s">
        <v>106</v>
      </c>
      <c r="E693" s="116" t="s">
        <v>216</v>
      </c>
      <c r="F693" s="130" t="s">
        <v>233</v>
      </c>
      <c r="G693" s="312"/>
      <c r="H693" s="22"/>
      <c r="I693" s="22"/>
    </row>
    <row r="694" spans="1:9" ht="15" hidden="1">
      <c r="A694" s="101" t="s">
        <v>348</v>
      </c>
      <c r="B694" s="53"/>
      <c r="C694" s="116" t="s">
        <v>106</v>
      </c>
      <c r="D694" s="116" t="s">
        <v>106</v>
      </c>
      <c r="E694" s="116" t="s">
        <v>349</v>
      </c>
      <c r="F694" s="130"/>
      <c r="G694" s="312">
        <f>SUM(G695)</f>
        <v>0</v>
      </c>
      <c r="H694" s="22"/>
      <c r="I694" s="22"/>
    </row>
    <row r="695" spans="1:9" ht="15" hidden="1">
      <c r="A695" s="101" t="s">
        <v>211</v>
      </c>
      <c r="B695" s="53"/>
      <c r="C695" s="116" t="s">
        <v>106</v>
      </c>
      <c r="D695" s="116" t="s">
        <v>106</v>
      </c>
      <c r="E695" s="116" t="s">
        <v>349</v>
      </c>
      <c r="F695" s="130" t="s">
        <v>212</v>
      </c>
      <c r="G695" s="312"/>
      <c r="H695" s="22"/>
      <c r="I695" s="22"/>
    </row>
    <row r="696" spans="1:9" ht="15" hidden="1">
      <c r="A696" s="97" t="s">
        <v>218</v>
      </c>
      <c r="B696" s="45"/>
      <c r="C696" s="54" t="s">
        <v>106</v>
      </c>
      <c r="D696" s="54" t="s">
        <v>106</v>
      </c>
      <c r="E696" s="54" t="s">
        <v>108</v>
      </c>
      <c r="F696" s="129"/>
      <c r="G696" s="312">
        <f>SUM(G697)</f>
        <v>0</v>
      </c>
      <c r="H696" s="22"/>
      <c r="I696" s="22"/>
    </row>
    <row r="697" spans="1:9" ht="42.75" hidden="1">
      <c r="A697" s="97" t="s">
        <v>81</v>
      </c>
      <c r="B697" s="45"/>
      <c r="C697" s="54" t="s">
        <v>106</v>
      </c>
      <c r="D697" s="54" t="s">
        <v>106</v>
      </c>
      <c r="E697" s="54" t="s">
        <v>82</v>
      </c>
      <c r="F697" s="129"/>
      <c r="G697" s="312">
        <f>SUM(G698)+G699</f>
        <v>0</v>
      </c>
      <c r="H697" s="22"/>
      <c r="I697" s="22"/>
    </row>
    <row r="698" spans="1:9" ht="15" hidden="1">
      <c r="A698" s="101" t="s">
        <v>232</v>
      </c>
      <c r="B698" s="45"/>
      <c r="C698" s="54" t="s">
        <v>106</v>
      </c>
      <c r="D698" s="54" t="s">
        <v>106</v>
      </c>
      <c r="E698" s="54" t="s">
        <v>82</v>
      </c>
      <c r="F698" s="129" t="s">
        <v>233</v>
      </c>
      <c r="G698" s="312"/>
      <c r="H698" s="22"/>
      <c r="I698" s="22"/>
    </row>
    <row r="699" spans="1:9" ht="15" hidden="1">
      <c r="A699" s="101" t="s">
        <v>132</v>
      </c>
      <c r="B699" s="45"/>
      <c r="C699" s="54" t="s">
        <v>106</v>
      </c>
      <c r="D699" s="54" t="s">
        <v>106</v>
      </c>
      <c r="E699" s="54" t="s">
        <v>82</v>
      </c>
      <c r="F699" s="129" t="s">
        <v>72</v>
      </c>
      <c r="G699" s="312"/>
      <c r="H699" s="22">
        <f>SUM(H700:H702)</f>
        <v>14679.5</v>
      </c>
      <c r="I699" s="22" t="e">
        <f aca="true" t="shared" si="11" ref="I699:I705">SUM(H699/G726*100)</f>
        <v>#DIV/0!</v>
      </c>
    </row>
    <row r="700" spans="1:9" ht="15" hidden="1">
      <c r="A700" s="101" t="s">
        <v>117</v>
      </c>
      <c r="B700" s="140"/>
      <c r="C700" s="116" t="s">
        <v>106</v>
      </c>
      <c r="D700" s="116" t="s">
        <v>106</v>
      </c>
      <c r="E700" s="116" t="s">
        <v>118</v>
      </c>
      <c r="F700" s="131"/>
      <c r="G700" s="312">
        <f>SUM(G701)</f>
        <v>0</v>
      </c>
      <c r="H700" s="22">
        <v>14679.5</v>
      </c>
      <c r="I700" s="22" t="e">
        <f t="shared" si="11"/>
        <v>#DIV/0!</v>
      </c>
    </row>
    <row r="701" spans="1:9" ht="42.75" hidden="1">
      <c r="A701" s="104" t="s">
        <v>330</v>
      </c>
      <c r="B701" s="140"/>
      <c r="C701" s="116" t="s">
        <v>106</v>
      </c>
      <c r="D701" s="116" t="s">
        <v>106</v>
      </c>
      <c r="E701" s="116" t="s">
        <v>329</v>
      </c>
      <c r="F701" s="131"/>
      <c r="G701" s="312">
        <f>SUM(G702)</f>
        <v>0</v>
      </c>
      <c r="H701" s="22"/>
      <c r="I701" s="22" t="e">
        <f t="shared" si="11"/>
        <v>#DIV/0!</v>
      </c>
    </row>
    <row r="702" spans="1:9" ht="15" hidden="1">
      <c r="A702" s="101" t="s">
        <v>211</v>
      </c>
      <c r="B702" s="140"/>
      <c r="C702" s="116" t="s">
        <v>106</v>
      </c>
      <c r="D702" s="116" t="s">
        <v>106</v>
      </c>
      <c r="E702" s="116" t="s">
        <v>329</v>
      </c>
      <c r="F702" s="131" t="s">
        <v>212</v>
      </c>
      <c r="G702" s="312"/>
      <c r="H702" s="22">
        <f>SUM(H703)</f>
        <v>0</v>
      </c>
      <c r="I702" s="22" t="e">
        <f t="shared" si="11"/>
        <v>#DIV/0!</v>
      </c>
    </row>
    <row r="703" spans="1:9" ht="15">
      <c r="A703" s="96" t="s">
        <v>306</v>
      </c>
      <c r="B703" s="45"/>
      <c r="C703" s="116" t="s">
        <v>113</v>
      </c>
      <c r="D703" s="116"/>
      <c r="E703" s="116"/>
      <c r="F703" s="130"/>
      <c r="G703" s="312">
        <f>SUM(G704+G757)</f>
        <v>114819.79999999999</v>
      </c>
      <c r="H703" s="22"/>
      <c r="I703" s="22" t="e">
        <f t="shared" si="11"/>
        <v>#DIV/0!</v>
      </c>
    </row>
    <row r="704" spans="1:9" ht="15">
      <c r="A704" s="96" t="s">
        <v>328</v>
      </c>
      <c r="B704" s="45"/>
      <c r="C704" s="116" t="s">
        <v>113</v>
      </c>
      <c r="D704" s="116" t="s">
        <v>419</v>
      </c>
      <c r="E704" s="116"/>
      <c r="F704" s="130"/>
      <c r="G704" s="312">
        <f>SUM(G705+G731+G742)</f>
        <v>106619.29999999999</v>
      </c>
      <c r="H704" s="22">
        <f>SUM(H705)</f>
        <v>56722</v>
      </c>
      <c r="I704" s="22">
        <f t="shared" si="11"/>
        <v>735.7034462184984</v>
      </c>
    </row>
    <row r="705" spans="1:9" ht="28.5">
      <c r="A705" s="100" t="s">
        <v>557</v>
      </c>
      <c r="B705" s="45"/>
      <c r="C705" s="116" t="s">
        <v>113</v>
      </c>
      <c r="D705" s="116" t="s">
        <v>419</v>
      </c>
      <c r="E705" s="116" t="s">
        <v>125</v>
      </c>
      <c r="F705" s="130"/>
      <c r="G705" s="312">
        <f>SUM(G706+G712)</f>
        <v>59374.2</v>
      </c>
      <c r="H705" s="22">
        <f>SUM(H707+H750+H748)</f>
        <v>56722</v>
      </c>
      <c r="I705" s="22">
        <f t="shared" si="11"/>
        <v>735.7034462184984</v>
      </c>
    </row>
    <row r="706" spans="1:9" ht="15">
      <c r="A706" s="96" t="s">
        <v>11</v>
      </c>
      <c r="B706" s="132"/>
      <c r="C706" s="116" t="s">
        <v>113</v>
      </c>
      <c r="D706" s="116" t="s">
        <v>419</v>
      </c>
      <c r="E706" s="116" t="s">
        <v>190</v>
      </c>
      <c r="F706" s="130"/>
      <c r="G706" s="312">
        <f>SUM(G707)+G709</f>
        <v>38342.5</v>
      </c>
      <c r="H706" s="22"/>
      <c r="I706" s="22"/>
    </row>
    <row r="707" spans="1:9" ht="28.5">
      <c r="A707" s="96" t="s">
        <v>83</v>
      </c>
      <c r="B707" s="132"/>
      <c r="C707" s="116" t="s">
        <v>113</v>
      </c>
      <c r="D707" s="116" t="s">
        <v>419</v>
      </c>
      <c r="E707" s="116" t="s">
        <v>192</v>
      </c>
      <c r="F707" s="130"/>
      <c r="G707" s="312">
        <f>SUM(G708)</f>
        <v>38299.5</v>
      </c>
      <c r="H707" s="22">
        <v>56722</v>
      </c>
      <c r="I707" s="22">
        <f>SUM(H707/G734*100)</f>
        <v>743.4173449193306</v>
      </c>
    </row>
    <row r="708" spans="1:9" ht="28.5">
      <c r="A708" s="101" t="s">
        <v>475</v>
      </c>
      <c r="B708" s="139"/>
      <c r="C708" s="116" t="s">
        <v>113</v>
      </c>
      <c r="D708" s="116" t="s">
        <v>419</v>
      </c>
      <c r="E708" s="116" t="s">
        <v>192</v>
      </c>
      <c r="F708" s="131" t="s">
        <v>471</v>
      </c>
      <c r="G708" s="312">
        <v>38299.5</v>
      </c>
      <c r="H708" s="22">
        <f>SUM(H712)</f>
        <v>0</v>
      </c>
      <c r="I708" s="22" t="e">
        <f>SUM(H708/#REF!*100)</f>
        <v>#REF!</v>
      </c>
    </row>
    <row r="709" spans="1:9" ht="15">
      <c r="A709" s="96" t="s">
        <v>146</v>
      </c>
      <c r="B709" s="139"/>
      <c r="C709" s="116" t="s">
        <v>113</v>
      </c>
      <c r="D709" s="116" t="s">
        <v>419</v>
      </c>
      <c r="E709" s="116" t="s">
        <v>376</v>
      </c>
      <c r="F709" s="131"/>
      <c r="G709" s="312">
        <f>SUM(G710)</f>
        <v>43</v>
      </c>
      <c r="H709" s="22"/>
      <c r="I709" s="22"/>
    </row>
    <row r="710" spans="1:9" ht="28.5">
      <c r="A710" s="101" t="s">
        <v>133</v>
      </c>
      <c r="B710" s="139"/>
      <c r="C710" s="116" t="s">
        <v>113</v>
      </c>
      <c r="D710" s="116" t="s">
        <v>419</v>
      </c>
      <c r="E710" s="116" t="s">
        <v>377</v>
      </c>
      <c r="F710" s="131"/>
      <c r="G710" s="312">
        <f>SUM(G711)</f>
        <v>43</v>
      </c>
      <c r="H710" s="22"/>
      <c r="I710" s="22"/>
    </row>
    <row r="711" spans="1:9" ht="28.5">
      <c r="A711" s="101" t="s">
        <v>475</v>
      </c>
      <c r="B711" s="139"/>
      <c r="C711" s="116" t="s">
        <v>113</v>
      </c>
      <c r="D711" s="116" t="s">
        <v>419</v>
      </c>
      <c r="E711" s="116" t="s">
        <v>377</v>
      </c>
      <c r="F711" s="131" t="s">
        <v>471</v>
      </c>
      <c r="G711" s="312">
        <v>43</v>
      </c>
      <c r="H711" s="22"/>
      <c r="I711" s="22"/>
    </row>
    <row r="712" spans="1:9" ht="28.5">
      <c r="A712" s="96" t="s">
        <v>46</v>
      </c>
      <c r="B712" s="139"/>
      <c r="C712" s="116" t="s">
        <v>113</v>
      </c>
      <c r="D712" s="116" t="s">
        <v>419</v>
      </c>
      <c r="E712" s="116" t="s">
        <v>126</v>
      </c>
      <c r="F712" s="131"/>
      <c r="G712" s="312">
        <f>SUM(G713:G715)</f>
        <v>21031.7</v>
      </c>
      <c r="H712" s="22"/>
      <c r="I712" s="22" t="e">
        <f>SUM(H712/#REF!*100)</f>
        <v>#REF!</v>
      </c>
    </row>
    <row r="713" spans="1:9" ht="28.5">
      <c r="A713" s="96" t="s">
        <v>453</v>
      </c>
      <c r="B713" s="45"/>
      <c r="C713" s="116" t="s">
        <v>113</v>
      </c>
      <c r="D713" s="116" t="s">
        <v>419</v>
      </c>
      <c r="E713" s="116" t="s">
        <v>126</v>
      </c>
      <c r="F713" s="129" t="s">
        <v>454</v>
      </c>
      <c r="G713" s="312">
        <v>17343.9</v>
      </c>
      <c r="H713" s="22"/>
      <c r="I713" s="22"/>
    </row>
    <row r="714" spans="1:9" ht="21" customHeight="1">
      <c r="A714" s="96" t="s">
        <v>458</v>
      </c>
      <c r="B714" s="45"/>
      <c r="C714" s="116" t="s">
        <v>113</v>
      </c>
      <c r="D714" s="116" t="s">
        <v>419</v>
      </c>
      <c r="E714" s="116" t="s">
        <v>126</v>
      </c>
      <c r="F714" s="129" t="s">
        <v>109</v>
      </c>
      <c r="G714" s="313">
        <v>3304</v>
      </c>
      <c r="H714" s="22"/>
      <c r="I714" s="22"/>
    </row>
    <row r="715" spans="1:9" ht="19.5" customHeight="1">
      <c r="A715" s="96" t="s">
        <v>459</v>
      </c>
      <c r="B715" s="45"/>
      <c r="C715" s="116" t="s">
        <v>113</v>
      </c>
      <c r="D715" s="116" t="s">
        <v>419</v>
      </c>
      <c r="E715" s="116" t="s">
        <v>126</v>
      </c>
      <c r="F715" s="130" t="s">
        <v>163</v>
      </c>
      <c r="G715" s="312">
        <v>383.8</v>
      </c>
      <c r="H715" s="22"/>
      <c r="I715" s="22"/>
    </row>
    <row r="716" spans="1:9" ht="15" hidden="1">
      <c r="A716" s="96" t="s">
        <v>84</v>
      </c>
      <c r="B716" s="132"/>
      <c r="C716" s="116" t="s">
        <v>113</v>
      </c>
      <c r="D716" s="116" t="s">
        <v>419</v>
      </c>
      <c r="E716" s="116" t="s">
        <v>190</v>
      </c>
      <c r="F716" s="130"/>
      <c r="G716" s="312">
        <f>SUM(G717+G719)</f>
        <v>0</v>
      </c>
      <c r="H716" s="22"/>
      <c r="I716" s="22"/>
    </row>
    <row r="717" spans="1:9" ht="28.5" hidden="1">
      <c r="A717" s="96" t="s">
        <v>191</v>
      </c>
      <c r="B717" s="132"/>
      <c r="C717" s="116" t="s">
        <v>113</v>
      </c>
      <c r="D717" s="116" t="s">
        <v>419</v>
      </c>
      <c r="E717" s="116" t="s">
        <v>192</v>
      </c>
      <c r="F717" s="130"/>
      <c r="G717" s="312">
        <f>SUM(G718)</f>
        <v>0</v>
      </c>
      <c r="H717" s="22">
        <f>SUM(H718+H721+H723)</f>
        <v>10268.9</v>
      </c>
      <c r="I717" s="22">
        <f>SUM(H717/G743*100)</f>
        <v>25.974068678038808</v>
      </c>
    </row>
    <row r="718" spans="1:9" ht="42.75" hidden="1">
      <c r="A718" s="101" t="s">
        <v>145</v>
      </c>
      <c r="B718" s="139"/>
      <c r="C718" s="116" t="s">
        <v>113</v>
      </c>
      <c r="D718" s="116" t="s">
        <v>419</v>
      </c>
      <c r="E718" s="116" t="s">
        <v>192</v>
      </c>
      <c r="F718" s="131" t="s">
        <v>48</v>
      </c>
      <c r="G718" s="312"/>
      <c r="H718" s="22">
        <v>8963.8</v>
      </c>
      <c r="I718" s="22">
        <f>SUM(H718/G744*100)</f>
        <v>25.432177927078044</v>
      </c>
    </row>
    <row r="719" spans="1:9" ht="15" hidden="1">
      <c r="A719" s="96" t="s">
        <v>146</v>
      </c>
      <c r="B719" s="45"/>
      <c r="C719" s="116" t="s">
        <v>113</v>
      </c>
      <c r="D719" s="116" t="s">
        <v>419</v>
      </c>
      <c r="E719" s="54" t="s">
        <v>376</v>
      </c>
      <c r="F719" s="131"/>
      <c r="G719" s="312">
        <f>SUM(G722+G724)+G720</f>
        <v>0</v>
      </c>
      <c r="H719" s="22"/>
      <c r="I719" s="22">
        <f>SUM(H719/G746*100)</f>
        <v>0</v>
      </c>
    </row>
    <row r="720" spans="1:9" ht="28.5" hidden="1">
      <c r="A720" s="96" t="s">
        <v>422</v>
      </c>
      <c r="B720" s="45"/>
      <c r="C720" s="116" t="s">
        <v>113</v>
      </c>
      <c r="D720" s="116" t="s">
        <v>419</v>
      </c>
      <c r="E720" s="54" t="s">
        <v>377</v>
      </c>
      <c r="F720" s="131"/>
      <c r="G720" s="312">
        <f>SUM(G721)</f>
        <v>0</v>
      </c>
      <c r="H720" s="22">
        <f>SUM(H721)</f>
        <v>0</v>
      </c>
      <c r="I720" s="22" t="e">
        <f>SUM(H720/#REF!*100)</f>
        <v>#REF!</v>
      </c>
    </row>
    <row r="721" spans="1:9" ht="15" hidden="1">
      <c r="A721" s="96" t="s">
        <v>146</v>
      </c>
      <c r="B721" s="45"/>
      <c r="C721" s="116" t="s">
        <v>113</v>
      </c>
      <c r="D721" s="116" t="s">
        <v>419</v>
      </c>
      <c r="E721" s="54" t="s">
        <v>377</v>
      </c>
      <c r="F721" s="131" t="s">
        <v>72</v>
      </c>
      <c r="G721" s="312"/>
      <c r="H721" s="22"/>
      <c r="I721" s="22" t="e">
        <f>SUM(H721/#REF!*100)</f>
        <v>#REF!</v>
      </c>
    </row>
    <row r="722" spans="1:9" ht="28.5" hidden="1">
      <c r="A722" s="101" t="s">
        <v>375</v>
      </c>
      <c r="B722" s="139"/>
      <c r="C722" s="116" t="s">
        <v>113</v>
      </c>
      <c r="D722" s="116" t="s">
        <v>419</v>
      </c>
      <c r="E722" s="116" t="s">
        <v>374</v>
      </c>
      <c r="F722" s="131"/>
      <c r="G722" s="312">
        <f>SUM(G723)</f>
        <v>0</v>
      </c>
      <c r="H722" s="22">
        <f>SUM(H723)</f>
        <v>1305.1</v>
      </c>
      <c r="I722" s="22" t="e">
        <f>SUM(H722/G747*100)</f>
        <v>#DIV/0!</v>
      </c>
    </row>
    <row r="723" spans="1:9" ht="15" hidden="1">
      <c r="A723" s="101" t="s">
        <v>132</v>
      </c>
      <c r="B723" s="139"/>
      <c r="C723" s="116" t="s">
        <v>113</v>
      </c>
      <c r="D723" s="116" t="s">
        <v>419</v>
      </c>
      <c r="E723" s="116" t="s">
        <v>374</v>
      </c>
      <c r="F723" s="131" t="s">
        <v>72</v>
      </c>
      <c r="G723" s="312"/>
      <c r="H723" s="22">
        <v>1305.1</v>
      </c>
      <c r="I723" s="22" t="e">
        <f>SUM(H723/G748*100)</f>
        <v>#DIV/0!</v>
      </c>
    </row>
    <row r="724" spans="1:9" ht="15" hidden="1">
      <c r="A724" s="101" t="s">
        <v>143</v>
      </c>
      <c r="B724" s="139"/>
      <c r="C724" s="116" t="s">
        <v>113</v>
      </c>
      <c r="D724" s="116" t="s">
        <v>419</v>
      </c>
      <c r="E724" s="116" t="s">
        <v>202</v>
      </c>
      <c r="F724" s="131"/>
      <c r="G724" s="312">
        <f>SUM(G725)</f>
        <v>0</v>
      </c>
      <c r="H724" s="22" t="e">
        <f>SUM(#REF!+H726)</f>
        <v>#REF!</v>
      </c>
      <c r="I724" s="22" t="e">
        <f>SUM(H724/G749*100)</f>
        <v>#REF!</v>
      </c>
    </row>
    <row r="725" spans="1:9" ht="15" hidden="1">
      <c r="A725" s="101" t="s">
        <v>132</v>
      </c>
      <c r="B725" s="139"/>
      <c r="C725" s="116" t="s">
        <v>113</v>
      </c>
      <c r="D725" s="116" t="s">
        <v>419</v>
      </c>
      <c r="E725" s="116" t="s">
        <v>202</v>
      </c>
      <c r="F725" s="131" t="s">
        <v>72</v>
      </c>
      <c r="G725" s="312"/>
      <c r="H725" s="22"/>
      <c r="I725" s="22"/>
    </row>
    <row r="726" spans="1:9" ht="28.5" hidden="1">
      <c r="A726" s="96" t="s">
        <v>46</v>
      </c>
      <c r="B726" s="53"/>
      <c r="C726" s="116" t="s">
        <v>113</v>
      </c>
      <c r="D726" s="116" t="s">
        <v>419</v>
      </c>
      <c r="E726" s="116" t="s">
        <v>126</v>
      </c>
      <c r="F726" s="130"/>
      <c r="G726" s="312">
        <f>SUM(G727:G729)</f>
        <v>0</v>
      </c>
      <c r="H726" s="22"/>
      <c r="I726" s="22" t="e">
        <f>SUM(H726/G750*100)</f>
        <v>#DIV/0!</v>
      </c>
    </row>
    <row r="727" spans="1:9" ht="15" hidden="1">
      <c r="A727" s="101" t="s">
        <v>47</v>
      </c>
      <c r="B727" s="53"/>
      <c r="C727" s="116" t="s">
        <v>113</v>
      </c>
      <c r="D727" s="116" t="s">
        <v>419</v>
      </c>
      <c r="E727" s="116" t="s">
        <v>126</v>
      </c>
      <c r="F727" s="130" t="s">
        <v>233</v>
      </c>
      <c r="G727" s="312"/>
      <c r="H727" s="22">
        <f>SUM(H728)</f>
        <v>7333.8</v>
      </c>
      <c r="I727" s="22" t="e">
        <f>SUM(H727/G753*100)</f>
        <v>#DIV/0!</v>
      </c>
    </row>
    <row r="728" spans="1:9" ht="28.5" hidden="1">
      <c r="A728" s="101" t="s">
        <v>331</v>
      </c>
      <c r="B728" s="139"/>
      <c r="C728" s="116" t="s">
        <v>113</v>
      </c>
      <c r="D728" s="116" t="s">
        <v>419</v>
      </c>
      <c r="E728" s="116" t="s">
        <v>126</v>
      </c>
      <c r="F728" s="131" t="s">
        <v>332</v>
      </c>
      <c r="G728" s="312"/>
      <c r="H728" s="22">
        <f>SUM(H730:H734)</f>
        <v>7333.8</v>
      </c>
      <c r="I728" s="22" t="e">
        <f>SUM(H728/G754*100)</f>
        <v>#DIV/0!</v>
      </c>
    </row>
    <row r="729" spans="1:9" ht="42.75" hidden="1">
      <c r="A729" s="96" t="s">
        <v>244</v>
      </c>
      <c r="B729" s="45"/>
      <c r="C729" s="116" t="s">
        <v>113</v>
      </c>
      <c r="D729" s="116" t="s">
        <v>419</v>
      </c>
      <c r="E729" s="116" t="s">
        <v>333</v>
      </c>
      <c r="F729" s="131"/>
      <c r="G729" s="312">
        <f>SUM(G730)</f>
        <v>0</v>
      </c>
      <c r="H729" s="22"/>
      <c r="I729" s="22"/>
    </row>
    <row r="730" spans="1:9" ht="5.25" customHeight="1" hidden="1">
      <c r="A730" s="101" t="s">
        <v>232</v>
      </c>
      <c r="B730" s="139"/>
      <c r="C730" s="116" t="s">
        <v>113</v>
      </c>
      <c r="D730" s="116" t="s">
        <v>419</v>
      </c>
      <c r="E730" s="116" t="s">
        <v>333</v>
      </c>
      <c r="F730" s="131" t="s">
        <v>233</v>
      </c>
      <c r="G730" s="312"/>
      <c r="H730" s="22"/>
      <c r="I730" s="22" t="e">
        <f aca="true" t="shared" si="12" ref="I730:I737">SUM(H730/G756*100)</f>
        <v>#DIV/0!</v>
      </c>
    </row>
    <row r="731" spans="1:9" ht="15">
      <c r="A731" s="96" t="s">
        <v>334</v>
      </c>
      <c r="B731" s="45"/>
      <c r="C731" s="116" t="s">
        <v>113</v>
      </c>
      <c r="D731" s="116" t="s">
        <v>419</v>
      </c>
      <c r="E731" s="116" t="s">
        <v>335</v>
      </c>
      <c r="F731" s="130"/>
      <c r="G731" s="312">
        <f>SUM(G732)</f>
        <v>7709.9</v>
      </c>
      <c r="H731" s="22">
        <f>SUM(H735+H738+H733)</f>
        <v>4633.8</v>
      </c>
      <c r="I731" s="22">
        <f t="shared" si="12"/>
        <v>56.506310590817634</v>
      </c>
    </row>
    <row r="732" spans="1:9" ht="15">
      <c r="A732" s="96" t="s">
        <v>84</v>
      </c>
      <c r="B732" s="132"/>
      <c r="C732" s="116" t="s">
        <v>113</v>
      </c>
      <c r="D732" s="116" t="s">
        <v>419</v>
      </c>
      <c r="E732" s="116" t="s">
        <v>70</v>
      </c>
      <c r="F732" s="130"/>
      <c r="G732" s="312">
        <f>SUM(G733)+G735</f>
        <v>7709.9</v>
      </c>
      <c r="H732" s="22">
        <f>SUM(H733)</f>
        <v>900</v>
      </c>
      <c r="I732" s="22" t="e">
        <f t="shared" si="12"/>
        <v>#DIV/0!</v>
      </c>
    </row>
    <row r="733" spans="1:9" ht="28.5">
      <c r="A733" s="96" t="s">
        <v>191</v>
      </c>
      <c r="B733" s="132"/>
      <c r="C733" s="116" t="s">
        <v>113</v>
      </c>
      <c r="D733" s="116" t="s">
        <v>419</v>
      </c>
      <c r="E733" s="116" t="s">
        <v>71</v>
      </c>
      <c r="F733" s="130"/>
      <c r="G733" s="312">
        <f>SUM(G734)</f>
        <v>7629.9</v>
      </c>
      <c r="H733" s="22">
        <f>SUM(H734)</f>
        <v>900</v>
      </c>
      <c r="I733" s="22" t="e">
        <f t="shared" si="12"/>
        <v>#DIV/0!</v>
      </c>
    </row>
    <row r="734" spans="1:9" ht="28.5">
      <c r="A734" s="101" t="s">
        <v>475</v>
      </c>
      <c r="B734" s="139"/>
      <c r="C734" s="116" t="s">
        <v>113</v>
      </c>
      <c r="D734" s="116" t="s">
        <v>419</v>
      </c>
      <c r="E734" s="116" t="s">
        <v>71</v>
      </c>
      <c r="F734" s="131" t="s">
        <v>471</v>
      </c>
      <c r="G734" s="312">
        <v>7629.9</v>
      </c>
      <c r="H734" s="22">
        <v>900</v>
      </c>
      <c r="I734" s="22" t="e">
        <f t="shared" si="12"/>
        <v>#DIV/0!</v>
      </c>
    </row>
    <row r="735" spans="1:9" ht="16.5" customHeight="1">
      <c r="A735" s="96" t="s">
        <v>146</v>
      </c>
      <c r="B735" s="139"/>
      <c r="C735" s="116" t="s">
        <v>113</v>
      </c>
      <c r="D735" s="116" t="s">
        <v>419</v>
      </c>
      <c r="E735" s="116" t="s">
        <v>203</v>
      </c>
      <c r="F735" s="131"/>
      <c r="G735" s="312">
        <f>SUM(G740)</f>
        <v>80</v>
      </c>
      <c r="H735" s="22">
        <f>SUM(H736)</f>
        <v>3733.8</v>
      </c>
      <c r="I735" s="22">
        <f t="shared" si="12"/>
        <v>53.33619027212343</v>
      </c>
    </row>
    <row r="736" spans="1:9" ht="28.5" hidden="1">
      <c r="A736" s="96" t="s">
        <v>422</v>
      </c>
      <c r="B736" s="139"/>
      <c r="C736" s="116" t="s">
        <v>113</v>
      </c>
      <c r="D736" s="116" t="s">
        <v>419</v>
      </c>
      <c r="E736" s="116" t="s">
        <v>424</v>
      </c>
      <c r="F736" s="131"/>
      <c r="G736" s="312">
        <f>SUM(G737)</f>
        <v>0</v>
      </c>
      <c r="H736" s="22">
        <f>SUM(H737)</f>
        <v>3733.8</v>
      </c>
      <c r="I736" s="22">
        <f t="shared" si="12"/>
        <v>53.33619027212343</v>
      </c>
    </row>
    <row r="737" spans="1:9" ht="15" hidden="1">
      <c r="A737" s="96" t="s">
        <v>146</v>
      </c>
      <c r="B737" s="139"/>
      <c r="C737" s="116" t="s">
        <v>113</v>
      </c>
      <c r="D737" s="116" t="s">
        <v>419</v>
      </c>
      <c r="E737" s="116" t="s">
        <v>424</v>
      </c>
      <c r="F737" s="131" t="s">
        <v>471</v>
      </c>
      <c r="G737" s="312"/>
      <c r="H737" s="22">
        <v>3733.8</v>
      </c>
      <c r="I737" s="22">
        <f t="shared" si="12"/>
        <v>58.9141171087303</v>
      </c>
    </row>
    <row r="738" spans="1:9" ht="28.5" hidden="1">
      <c r="A738" s="101" t="s">
        <v>375</v>
      </c>
      <c r="B738" s="139"/>
      <c r="C738" s="116" t="s">
        <v>113</v>
      </c>
      <c r="D738" s="116" t="s">
        <v>419</v>
      </c>
      <c r="E738" s="116" t="s">
        <v>142</v>
      </c>
      <c r="F738" s="131"/>
      <c r="G738" s="312">
        <f>SUM(G739)</f>
        <v>0</v>
      </c>
      <c r="H738" s="22">
        <f>SUM(H743)</f>
        <v>0</v>
      </c>
      <c r="I738" s="22">
        <f>SUM(H738/G766*100)</f>
        <v>0</v>
      </c>
    </row>
    <row r="739" spans="1:9" ht="15" hidden="1">
      <c r="A739" s="101" t="s">
        <v>132</v>
      </c>
      <c r="B739" s="139"/>
      <c r="C739" s="116" t="s">
        <v>113</v>
      </c>
      <c r="D739" s="116" t="s">
        <v>419</v>
      </c>
      <c r="E739" s="116" t="s">
        <v>142</v>
      </c>
      <c r="F739" s="131" t="s">
        <v>471</v>
      </c>
      <c r="G739" s="312"/>
      <c r="H739" s="22"/>
      <c r="I739" s="22"/>
    </row>
    <row r="740" spans="1:9" ht="21" customHeight="1">
      <c r="A740" s="209" t="s">
        <v>143</v>
      </c>
      <c r="B740" s="139"/>
      <c r="C740" s="116" t="s">
        <v>113</v>
      </c>
      <c r="D740" s="116" t="s">
        <v>419</v>
      </c>
      <c r="E740" s="116" t="s">
        <v>589</v>
      </c>
      <c r="F740" s="131"/>
      <c r="G740" s="312">
        <f>SUM(G741)</f>
        <v>80</v>
      </c>
      <c r="H740" s="22"/>
      <c r="I740" s="22"/>
    </row>
    <row r="741" spans="1:9" ht="33.75" customHeight="1">
      <c r="A741" s="101" t="s">
        <v>475</v>
      </c>
      <c r="B741" s="139"/>
      <c r="C741" s="116" t="s">
        <v>113</v>
      </c>
      <c r="D741" s="116" t="s">
        <v>419</v>
      </c>
      <c r="E741" s="116" t="s">
        <v>589</v>
      </c>
      <c r="F741" s="131" t="s">
        <v>471</v>
      </c>
      <c r="G741" s="312">
        <v>80</v>
      </c>
      <c r="H741" s="22"/>
      <c r="I741" s="22"/>
    </row>
    <row r="742" spans="1:9" ht="15">
      <c r="A742" s="96" t="s">
        <v>336</v>
      </c>
      <c r="B742" s="45"/>
      <c r="C742" s="116" t="s">
        <v>113</v>
      </c>
      <c r="D742" s="116" t="s">
        <v>419</v>
      </c>
      <c r="E742" s="116" t="s">
        <v>337</v>
      </c>
      <c r="F742" s="130"/>
      <c r="G742" s="312">
        <f>SUM(G743)</f>
        <v>39535.200000000004</v>
      </c>
      <c r="H742" s="22"/>
      <c r="I742" s="22"/>
    </row>
    <row r="743" spans="1:9" ht="28.5">
      <c r="A743" s="96" t="s">
        <v>46</v>
      </c>
      <c r="B743" s="132"/>
      <c r="C743" s="116" t="s">
        <v>113</v>
      </c>
      <c r="D743" s="116" t="s">
        <v>419</v>
      </c>
      <c r="E743" s="116" t="s">
        <v>338</v>
      </c>
      <c r="F743" s="130"/>
      <c r="G743" s="312">
        <f>SUM(G744:G746)</f>
        <v>39535.200000000004</v>
      </c>
      <c r="H743" s="22">
        <f>SUM(H744:H750)</f>
        <v>0</v>
      </c>
      <c r="I743" s="22" t="e">
        <f>SUM(H743/G769*100)</f>
        <v>#DIV/0!</v>
      </c>
    </row>
    <row r="744" spans="1:9" ht="28.5">
      <c r="A744" s="96" t="s">
        <v>453</v>
      </c>
      <c r="B744" s="45"/>
      <c r="C744" s="116" t="s">
        <v>113</v>
      </c>
      <c r="D744" s="116" t="s">
        <v>419</v>
      </c>
      <c r="E744" s="116" t="s">
        <v>338</v>
      </c>
      <c r="F744" s="129" t="s">
        <v>454</v>
      </c>
      <c r="G744" s="312">
        <v>35245.9</v>
      </c>
      <c r="H744" s="22"/>
      <c r="I744" s="22" t="e">
        <f>SUM(H744/G770*100)</f>
        <v>#DIV/0!</v>
      </c>
    </row>
    <row r="745" spans="1:9" ht="15">
      <c r="A745" s="96" t="s">
        <v>458</v>
      </c>
      <c r="B745" s="45"/>
      <c r="C745" s="116" t="s">
        <v>113</v>
      </c>
      <c r="D745" s="116" t="s">
        <v>419</v>
      </c>
      <c r="E745" s="116" t="s">
        <v>338</v>
      </c>
      <c r="F745" s="129" t="s">
        <v>109</v>
      </c>
      <c r="G745" s="313">
        <v>3733</v>
      </c>
      <c r="H745" s="22"/>
      <c r="I745" s="22" t="e">
        <f>SUM(H745/G771*100)</f>
        <v>#DIV/0!</v>
      </c>
    </row>
    <row r="746" spans="1:9" ht="15">
      <c r="A746" s="96" t="s">
        <v>459</v>
      </c>
      <c r="B746" s="45"/>
      <c r="C746" s="116" t="s">
        <v>113</v>
      </c>
      <c r="D746" s="116" t="s">
        <v>419</v>
      </c>
      <c r="E746" s="116" t="s">
        <v>338</v>
      </c>
      <c r="F746" s="130" t="s">
        <v>163</v>
      </c>
      <c r="G746" s="312">
        <v>556.3</v>
      </c>
      <c r="H746" s="22"/>
      <c r="I746" s="22"/>
    </row>
    <row r="747" spans="1:9" ht="42.75" hidden="1">
      <c r="A747" s="101" t="s">
        <v>52</v>
      </c>
      <c r="B747" s="139"/>
      <c r="C747" s="116" t="s">
        <v>113</v>
      </c>
      <c r="D747" s="116" t="s">
        <v>419</v>
      </c>
      <c r="E747" s="116" t="s">
        <v>339</v>
      </c>
      <c r="F747" s="131"/>
      <c r="G747" s="312">
        <f>SUM(G748)</f>
        <v>0</v>
      </c>
      <c r="H747" s="22"/>
      <c r="I747" s="22"/>
    </row>
    <row r="748" spans="1:9" ht="15" hidden="1">
      <c r="A748" s="101" t="s">
        <v>47</v>
      </c>
      <c r="B748" s="139"/>
      <c r="C748" s="116" t="s">
        <v>113</v>
      </c>
      <c r="D748" s="116" t="s">
        <v>419</v>
      </c>
      <c r="E748" s="116" t="s">
        <v>339</v>
      </c>
      <c r="F748" s="131" t="s">
        <v>233</v>
      </c>
      <c r="G748" s="312"/>
      <c r="H748" s="22"/>
      <c r="I748" s="22"/>
    </row>
    <row r="749" spans="1:9" ht="15" hidden="1">
      <c r="A749" s="101" t="s">
        <v>340</v>
      </c>
      <c r="B749" s="139"/>
      <c r="C749" s="116" t="s">
        <v>113</v>
      </c>
      <c r="D749" s="116" t="s">
        <v>419</v>
      </c>
      <c r="E749" s="116" t="s">
        <v>341</v>
      </c>
      <c r="F749" s="131"/>
      <c r="G749" s="312">
        <f>SUM(G752+G750)</f>
        <v>0</v>
      </c>
      <c r="H749" s="22"/>
      <c r="I749" s="22" t="e">
        <f>SUM(H749/G775*100)</f>
        <v>#DIV/0!</v>
      </c>
    </row>
    <row r="750" spans="1:9" ht="15" hidden="1">
      <c r="A750" s="101" t="s">
        <v>232</v>
      </c>
      <c r="B750" s="139"/>
      <c r="C750" s="116" t="s">
        <v>113</v>
      </c>
      <c r="D750" s="116" t="s">
        <v>419</v>
      </c>
      <c r="E750" s="116" t="s">
        <v>341</v>
      </c>
      <c r="F750" s="131" t="s">
        <v>233</v>
      </c>
      <c r="G750" s="312"/>
      <c r="H750" s="22"/>
      <c r="I750" s="22" t="e">
        <f>SUM(H750/G776*100)</f>
        <v>#DIV/0!</v>
      </c>
    </row>
    <row r="751" spans="1:9" ht="28.5" hidden="1">
      <c r="A751" s="101" t="s">
        <v>342</v>
      </c>
      <c r="B751" s="139"/>
      <c r="C751" s="116" t="s">
        <v>113</v>
      </c>
      <c r="D751" s="116" t="s">
        <v>419</v>
      </c>
      <c r="E751" s="116" t="s">
        <v>343</v>
      </c>
      <c r="F751" s="131"/>
      <c r="G751" s="312">
        <f>SUM(G752)</f>
        <v>0</v>
      </c>
      <c r="H751" s="64" t="e">
        <f>SUM(H752+H762)</f>
        <v>#REF!</v>
      </c>
      <c r="I751" s="64" t="e">
        <f>SUM(H751/G777*100)</f>
        <v>#REF!</v>
      </c>
    </row>
    <row r="752" spans="1:9" ht="15" hidden="1">
      <c r="A752" s="101" t="s">
        <v>232</v>
      </c>
      <c r="B752" s="139"/>
      <c r="C752" s="116" t="s">
        <v>113</v>
      </c>
      <c r="D752" s="116" t="s">
        <v>419</v>
      </c>
      <c r="E752" s="116" t="s">
        <v>343</v>
      </c>
      <c r="F752" s="131" t="s">
        <v>233</v>
      </c>
      <c r="G752" s="312"/>
      <c r="H752" s="22">
        <f>SUM(H753)+H759</f>
        <v>0</v>
      </c>
      <c r="I752" s="22" t="e">
        <f>SUM(H752/#REF!*100)</f>
        <v>#REF!</v>
      </c>
    </row>
    <row r="753" spans="1:9" ht="15" hidden="1">
      <c r="A753" s="101" t="s">
        <v>117</v>
      </c>
      <c r="B753" s="132"/>
      <c r="C753" s="116" t="s">
        <v>113</v>
      </c>
      <c r="D753" s="116" t="s">
        <v>419</v>
      </c>
      <c r="E753" s="116" t="s">
        <v>118</v>
      </c>
      <c r="F753" s="130"/>
      <c r="G753" s="312">
        <f>SUM(G754)</f>
        <v>0</v>
      </c>
      <c r="H753" s="22">
        <f>SUM(H754)</f>
        <v>0</v>
      </c>
      <c r="I753" s="22" t="e">
        <f>SUM(H753/#REF!*100)</f>
        <v>#REF!</v>
      </c>
    </row>
    <row r="754" spans="1:9" ht="42.75" hidden="1">
      <c r="A754" s="96" t="s">
        <v>194</v>
      </c>
      <c r="B754" s="132"/>
      <c r="C754" s="116" t="s">
        <v>113</v>
      </c>
      <c r="D754" s="116" t="s">
        <v>419</v>
      </c>
      <c r="E754" s="116" t="s">
        <v>283</v>
      </c>
      <c r="F754" s="130"/>
      <c r="G754" s="312">
        <f>SUM(G755:G756)</f>
        <v>0</v>
      </c>
      <c r="H754" s="22">
        <f>SUM(H757)</f>
        <v>0</v>
      </c>
      <c r="I754" s="22" t="e">
        <f>SUM(H754/#REF!*100)</f>
        <v>#REF!</v>
      </c>
    </row>
    <row r="755" spans="1:9" ht="15" hidden="1">
      <c r="A755" s="101" t="s">
        <v>47</v>
      </c>
      <c r="B755" s="132"/>
      <c r="C755" s="116" t="s">
        <v>113</v>
      </c>
      <c r="D755" s="116" t="s">
        <v>419</v>
      </c>
      <c r="E755" s="116" t="s">
        <v>283</v>
      </c>
      <c r="F755" s="130" t="s">
        <v>233</v>
      </c>
      <c r="G755" s="312"/>
      <c r="H755" s="22"/>
      <c r="I755" s="22"/>
    </row>
    <row r="756" spans="1:9" ht="15" hidden="1">
      <c r="A756" s="101" t="s">
        <v>132</v>
      </c>
      <c r="B756" s="132"/>
      <c r="C756" s="116" t="s">
        <v>113</v>
      </c>
      <c r="D756" s="116" t="s">
        <v>419</v>
      </c>
      <c r="E756" s="116" t="s">
        <v>283</v>
      </c>
      <c r="F756" s="130" t="s">
        <v>72</v>
      </c>
      <c r="G756" s="312"/>
      <c r="H756" s="22"/>
      <c r="I756" s="22"/>
    </row>
    <row r="757" spans="1:9" ht="15">
      <c r="A757" s="97" t="s">
        <v>221</v>
      </c>
      <c r="B757" s="132"/>
      <c r="C757" s="116" t="s">
        <v>113</v>
      </c>
      <c r="D757" s="116" t="s">
        <v>111</v>
      </c>
      <c r="E757" s="116"/>
      <c r="F757" s="130"/>
      <c r="G757" s="312">
        <f>SUM(G761+G766+G759)</f>
        <v>8200.5</v>
      </c>
      <c r="H757" s="22">
        <f>SUM(H758)</f>
        <v>0</v>
      </c>
      <c r="I757" s="22" t="e">
        <f>SUM(H757/#REF!*100)</f>
        <v>#REF!</v>
      </c>
    </row>
    <row r="758" spans="1:9" ht="15" hidden="1">
      <c r="A758" s="96" t="s">
        <v>368</v>
      </c>
      <c r="B758" s="132"/>
      <c r="C758" s="116" t="s">
        <v>113</v>
      </c>
      <c r="D758" s="116" t="s">
        <v>111</v>
      </c>
      <c r="E758" s="116" t="s">
        <v>370</v>
      </c>
      <c r="F758" s="130"/>
      <c r="G758" s="312">
        <f>SUM(G759)</f>
        <v>0</v>
      </c>
      <c r="H758" s="22"/>
      <c r="I758" s="22" t="e">
        <f>SUM(H758/#REF!*100)</f>
        <v>#REF!</v>
      </c>
    </row>
    <row r="759" spans="1:9" ht="15" hidden="1">
      <c r="A759" s="96" t="s">
        <v>348</v>
      </c>
      <c r="B759" s="132"/>
      <c r="C759" s="116" t="s">
        <v>113</v>
      </c>
      <c r="D759" s="116" t="s">
        <v>111</v>
      </c>
      <c r="E759" s="116" t="s">
        <v>349</v>
      </c>
      <c r="F759" s="130"/>
      <c r="G759" s="312">
        <f>SUM(G760)</f>
        <v>0</v>
      </c>
      <c r="H759" s="22">
        <f>SUM(H760)</f>
        <v>0</v>
      </c>
      <c r="I759" s="22" t="e">
        <f>SUM(H759/#REF!*100)</f>
        <v>#REF!</v>
      </c>
    </row>
    <row r="760" spans="1:9" ht="28.5" hidden="1">
      <c r="A760" s="96" t="s">
        <v>293</v>
      </c>
      <c r="B760" s="132"/>
      <c r="C760" s="116" t="s">
        <v>113</v>
      </c>
      <c r="D760" s="116" t="s">
        <v>111</v>
      </c>
      <c r="E760" s="116" t="s">
        <v>349</v>
      </c>
      <c r="F760" s="130" t="s">
        <v>294</v>
      </c>
      <c r="G760" s="312"/>
      <c r="H760" s="22">
        <f>SUM(H761)</f>
        <v>0</v>
      </c>
      <c r="I760" s="22" t="e">
        <f>SUM(H760/#REF!*100)</f>
        <v>#REF!</v>
      </c>
    </row>
    <row r="761" spans="1:9" ht="42.75">
      <c r="A761" s="97" t="s">
        <v>276</v>
      </c>
      <c r="B761" s="132"/>
      <c r="C761" s="116" t="s">
        <v>113</v>
      </c>
      <c r="D761" s="116" t="s">
        <v>111</v>
      </c>
      <c r="E761" s="116" t="s">
        <v>277</v>
      </c>
      <c r="F761" s="130"/>
      <c r="G761" s="312">
        <f>SUM(G762)</f>
        <v>7000.499999999999</v>
      </c>
      <c r="H761" s="22"/>
      <c r="I761" s="22" t="e">
        <f>SUM(H761/#REF!*100)</f>
        <v>#REF!</v>
      </c>
    </row>
    <row r="762" spans="1:11" ht="28.5">
      <c r="A762" s="96" t="s">
        <v>46</v>
      </c>
      <c r="B762" s="132"/>
      <c r="C762" s="116" t="s">
        <v>113</v>
      </c>
      <c r="D762" s="116" t="s">
        <v>111</v>
      </c>
      <c r="E762" s="116" t="s">
        <v>278</v>
      </c>
      <c r="F762" s="130"/>
      <c r="G762" s="312">
        <f>SUM(G763:G765)</f>
        <v>7000.499999999999</v>
      </c>
      <c r="H762" s="22" t="e">
        <f>SUM(H763+H777+#REF!+#REF!+H795)</f>
        <v>#REF!</v>
      </c>
      <c r="I762" s="22" t="e">
        <f>SUM(H762/G778*100)</f>
        <v>#REF!</v>
      </c>
      <c r="K762" s="91"/>
    </row>
    <row r="763" spans="1:9" ht="28.5">
      <c r="A763" s="96" t="s">
        <v>453</v>
      </c>
      <c r="B763" s="139"/>
      <c r="C763" s="116" t="s">
        <v>113</v>
      </c>
      <c r="D763" s="116" t="s">
        <v>111</v>
      </c>
      <c r="E763" s="116" t="s">
        <v>278</v>
      </c>
      <c r="F763" s="131" t="s">
        <v>454</v>
      </c>
      <c r="G763" s="312">
        <v>6337.7</v>
      </c>
      <c r="H763" s="22">
        <f>SUM(H764+H767)</f>
        <v>46235.5</v>
      </c>
      <c r="I763" s="22">
        <f>SUM(H763/G779*100)</f>
        <v>721.9897250113212</v>
      </c>
    </row>
    <row r="764" spans="1:9" ht="15">
      <c r="A764" s="96" t="s">
        <v>458</v>
      </c>
      <c r="B764" s="139"/>
      <c r="C764" s="116" t="s">
        <v>113</v>
      </c>
      <c r="D764" s="116" t="s">
        <v>111</v>
      </c>
      <c r="E764" s="116" t="s">
        <v>278</v>
      </c>
      <c r="F764" s="131" t="s">
        <v>109</v>
      </c>
      <c r="G764" s="312">
        <v>658.4</v>
      </c>
      <c r="H764" s="22">
        <f>SUM(H765)</f>
        <v>146.8</v>
      </c>
      <c r="I764" s="22" t="e">
        <f>SUM(H764/#REF!*100)</f>
        <v>#REF!</v>
      </c>
    </row>
    <row r="765" spans="1:9" ht="15">
      <c r="A765" s="96" t="s">
        <v>459</v>
      </c>
      <c r="B765" s="139"/>
      <c r="C765" s="116" t="s">
        <v>113</v>
      </c>
      <c r="D765" s="116" t="s">
        <v>111</v>
      </c>
      <c r="E765" s="116" t="s">
        <v>278</v>
      </c>
      <c r="F765" s="131" t="s">
        <v>163</v>
      </c>
      <c r="G765" s="312">
        <v>4.4</v>
      </c>
      <c r="H765" s="22">
        <f>SUM(H766)</f>
        <v>146.8</v>
      </c>
      <c r="I765" s="22" t="e">
        <f>SUM(H765/#REF!*100)</f>
        <v>#REF!</v>
      </c>
    </row>
    <row r="766" spans="1:9" ht="15">
      <c r="A766" s="101" t="s">
        <v>117</v>
      </c>
      <c r="B766" s="132"/>
      <c r="C766" s="116" t="s">
        <v>113</v>
      </c>
      <c r="D766" s="116" t="s">
        <v>111</v>
      </c>
      <c r="E766" s="116" t="s">
        <v>118</v>
      </c>
      <c r="F766" s="130"/>
      <c r="G766" s="312">
        <f>SUM(G769)+G772+G767</f>
        <v>1200</v>
      </c>
      <c r="H766" s="22">
        <v>146.8</v>
      </c>
      <c r="I766" s="22" t="e">
        <f>SUM(H766/#REF!*100)</f>
        <v>#REF!</v>
      </c>
    </row>
    <row r="767" spans="1:9" ht="42.75" hidden="1">
      <c r="A767" s="96" t="s">
        <v>194</v>
      </c>
      <c r="B767" s="132"/>
      <c r="C767" s="116" t="s">
        <v>113</v>
      </c>
      <c r="D767" s="116" t="s">
        <v>111</v>
      </c>
      <c r="E767" s="116" t="s">
        <v>283</v>
      </c>
      <c r="F767" s="130"/>
      <c r="G767" s="312">
        <f>SUM(G768)</f>
        <v>0</v>
      </c>
      <c r="H767" s="22">
        <f>SUM(H768)</f>
        <v>46088.7</v>
      </c>
      <c r="I767" s="22" t="e">
        <f>SUM(H767/#REF!*100)</f>
        <v>#REF!</v>
      </c>
    </row>
    <row r="768" spans="1:9" ht="15" hidden="1">
      <c r="A768" s="101" t="s">
        <v>47</v>
      </c>
      <c r="B768" s="132"/>
      <c r="C768" s="116" t="s">
        <v>113</v>
      </c>
      <c r="D768" s="116" t="s">
        <v>111</v>
      </c>
      <c r="E768" s="116" t="s">
        <v>283</v>
      </c>
      <c r="F768" s="130" t="s">
        <v>233</v>
      </c>
      <c r="G768" s="312"/>
      <c r="H768" s="22">
        <f>SUM(H772:H775)</f>
        <v>46088.7</v>
      </c>
      <c r="I768" s="22">
        <f>SUM(H768/G781*100)</f>
        <v>719.69737191399</v>
      </c>
    </row>
    <row r="769" spans="1:9" ht="28.5" hidden="1">
      <c r="A769" s="96" t="s">
        <v>442</v>
      </c>
      <c r="B769" s="132"/>
      <c r="C769" s="116" t="s">
        <v>113</v>
      </c>
      <c r="D769" s="116" t="s">
        <v>111</v>
      </c>
      <c r="E769" s="116" t="s">
        <v>295</v>
      </c>
      <c r="F769" s="130"/>
      <c r="G769" s="312">
        <f>SUM(G770:G771)</f>
        <v>0</v>
      </c>
      <c r="H769" s="22"/>
      <c r="I769" s="22"/>
    </row>
    <row r="770" spans="1:9" ht="42.75" hidden="1">
      <c r="A770" s="101" t="s">
        <v>85</v>
      </c>
      <c r="B770" s="132"/>
      <c r="C770" s="116" t="s">
        <v>113</v>
      </c>
      <c r="D770" s="116" t="s">
        <v>111</v>
      </c>
      <c r="E770" s="116" t="s">
        <v>295</v>
      </c>
      <c r="F770" s="130" t="s">
        <v>294</v>
      </c>
      <c r="G770" s="312"/>
      <c r="H770" s="22">
        <f>SUM(H771)</f>
        <v>0</v>
      </c>
      <c r="I770" s="22">
        <f>SUM(H770/G780*100)</f>
        <v>0</v>
      </c>
    </row>
    <row r="771" spans="1:9" ht="15" hidden="1">
      <c r="A771" s="96" t="s">
        <v>146</v>
      </c>
      <c r="B771" s="132"/>
      <c r="C771" s="116" t="s">
        <v>113</v>
      </c>
      <c r="D771" s="116" t="s">
        <v>111</v>
      </c>
      <c r="E771" s="116" t="s">
        <v>295</v>
      </c>
      <c r="F771" s="130" t="s">
        <v>72</v>
      </c>
      <c r="G771" s="312"/>
      <c r="H771" s="22"/>
      <c r="I771" s="22"/>
    </row>
    <row r="772" spans="1:9" ht="15">
      <c r="A772" s="96" t="s">
        <v>474</v>
      </c>
      <c r="B772" s="132"/>
      <c r="C772" s="116" t="s">
        <v>113</v>
      </c>
      <c r="D772" s="116" t="s">
        <v>111</v>
      </c>
      <c r="E772" s="116" t="s">
        <v>296</v>
      </c>
      <c r="F772" s="130"/>
      <c r="G772" s="312">
        <f>SUM(G773:G775)</f>
        <v>1200</v>
      </c>
      <c r="H772" s="22">
        <v>46088.7</v>
      </c>
      <c r="I772" s="22">
        <f>SUM(H772/G788*100)</f>
        <v>719.69737191399</v>
      </c>
    </row>
    <row r="773" spans="1:9" ht="28.5">
      <c r="A773" s="96" t="s">
        <v>453</v>
      </c>
      <c r="B773" s="132"/>
      <c r="C773" s="116" t="s">
        <v>113</v>
      </c>
      <c r="D773" s="116" t="s">
        <v>111</v>
      </c>
      <c r="E773" s="116" t="s">
        <v>296</v>
      </c>
      <c r="F773" s="130" t="s">
        <v>454</v>
      </c>
      <c r="G773" s="312">
        <v>900</v>
      </c>
      <c r="H773" s="22"/>
      <c r="I773" s="22">
        <f>SUM(H773/G789*100)</f>
        <v>0</v>
      </c>
    </row>
    <row r="774" spans="1:9" ht="15">
      <c r="A774" s="96" t="s">
        <v>458</v>
      </c>
      <c r="B774" s="132"/>
      <c r="C774" s="116" t="s">
        <v>113</v>
      </c>
      <c r="D774" s="116" t="s">
        <v>111</v>
      </c>
      <c r="E774" s="116" t="s">
        <v>296</v>
      </c>
      <c r="F774" s="130" t="s">
        <v>109</v>
      </c>
      <c r="G774" s="312">
        <v>300</v>
      </c>
      <c r="H774" s="22"/>
      <c r="I774" s="22" t="e">
        <f>SUM(H774/#REF!*100)</f>
        <v>#REF!</v>
      </c>
    </row>
    <row r="775" spans="1:9" ht="15" hidden="1">
      <c r="A775" s="96" t="s">
        <v>459</v>
      </c>
      <c r="B775" s="132"/>
      <c r="C775" s="116" t="s">
        <v>113</v>
      </c>
      <c r="D775" s="116" t="s">
        <v>111</v>
      </c>
      <c r="E775" s="116" t="s">
        <v>296</v>
      </c>
      <c r="F775" s="130" t="s">
        <v>163</v>
      </c>
      <c r="G775" s="312"/>
      <c r="H775" s="22">
        <f>SUM(H776)</f>
        <v>0</v>
      </c>
      <c r="I775" s="22" t="e">
        <f>SUM(H775/#REF!*100)</f>
        <v>#REF!</v>
      </c>
    </row>
    <row r="776" spans="1:9" ht="15" hidden="1">
      <c r="A776" s="96" t="s">
        <v>146</v>
      </c>
      <c r="B776" s="132"/>
      <c r="C776" s="116" t="s">
        <v>113</v>
      </c>
      <c r="D776" s="116" t="s">
        <v>111</v>
      </c>
      <c r="E776" s="116" t="s">
        <v>296</v>
      </c>
      <c r="F776" s="130" t="s">
        <v>72</v>
      </c>
      <c r="G776" s="312"/>
      <c r="H776" s="22"/>
      <c r="I776" s="22" t="e">
        <f>SUM(H776/#REF!*100)</f>
        <v>#REF!</v>
      </c>
    </row>
    <row r="777" spans="1:9" ht="15">
      <c r="A777" s="99" t="s">
        <v>292</v>
      </c>
      <c r="B777" s="132" t="s">
        <v>252</v>
      </c>
      <c r="C777" s="116"/>
      <c r="D777" s="116"/>
      <c r="E777" s="116"/>
      <c r="F777" s="130"/>
      <c r="G777" s="314">
        <f>SUM(G778)</f>
        <v>41884.100000000006</v>
      </c>
      <c r="H777" s="22" t="e">
        <f>SUM(#REF!+#REF!+#REF!+#REF!)</f>
        <v>#REF!</v>
      </c>
      <c r="I777" s="22" t="e">
        <f>SUM(H777/G790*100)</f>
        <v>#REF!</v>
      </c>
    </row>
    <row r="778" spans="1:9" ht="15">
      <c r="A778" s="96" t="s">
        <v>305</v>
      </c>
      <c r="B778" s="45"/>
      <c r="C778" s="116" t="s">
        <v>285</v>
      </c>
      <c r="D778" s="116"/>
      <c r="E778" s="116"/>
      <c r="F778" s="130"/>
      <c r="G778" s="312">
        <f>SUM(G779+G790+G811+G819)</f>
        <v>41884.100000000006</v>
      </c>
      <c r="H778" s="22"/>
      <c r="I778" s="22"/>
    </row>
    <row r="779" spans="1:9" ht="15">
      <c r="A779" s="96" t="s">
        <v>164</v>
      </c>
      <c r="B779" s="45"/>
      <c r="C779" s="116" t="s">
        <v>285</v>
      </c>
      <c r="D779" s="116" t="s">
        <v>419</v>
      </c>
      <c r="E779" s="116"/>
      <c r="F779" s="130"/>
      <c r="G779" s="312">
        <f>SUM(G780)</f>
        <v>6403.9</v>
      </c>
      <c r="H779" s="22">
        <v>21799.8</v>
      </c>
      <c r="I779" s="22">
        <f>SUM(H779/G798*100)</f>
        <v>275.2117761422025</v>
      </c>
    </row>
    <row r="780" spans="1:9" ht="15">
      <c r="A780" s="96" t="s">
        <v>188</v>
      </c>
      <c r="B780" s="45"/>
      <c r="C780" s="116" t="s">
        <v>285</v>
      </c>
      <c r="D780" s="116" t="s">
        <v>419</v>
      </c>
      <c r="E780" s="116" t="s">
        <v>168</v>
      </c>
      <c r="F780" s="130"/>
      <c r="G780" s="313">
        <f>SUM(G781)</f>
        <v>6403.9</v>
      </c>
      <c r="H780" s="22"/>
      <c r="I780" s="22" t="e">
        <f>SUM(H780/#REF!*100)</f>
        <v>#REF!</v>
      </c>
    </row>
    <row r="781" spans="1:9" ht="15">
      <c r="A781" s="96" t="s">
        <v>84</v>
      </c>
      <c r="B781" s="132"/>
      <c r="C781" s="116" t="s">
        <v>285</v>
      </c>
      <c r="D781" s="116" t="s">
        <v>419</v>
      </c>
      <c r="E781" s="116" t="s">
        <v>73</v>
      </c>
      <c r="F781" s="130"/>
      <c r="G781" s="312">
        <f>SUM(G789)+G782</f>
        <v>6403.9</v>
      </c>
      <c r="H781" s="22"/>
      <c r="I781" s="22" t="e">
        <f>SUM(H781/#REF!*100)</f>
        <v>#REF!</v>
      </c>
    </row>
    <row r="782" spans="1:9" ht="15" hidden="1">
      <c r="A782" s="101" t="s">
        <v>146</v>
      </c>
      <c r="B782" s="132"/>
      <c r="C782" s="116" t="s">
        <v>285</v>
      </c>
      <c r="D782" s="116" t="s">
        <v>419</v>
      </c>
      <c r="E782" s="116" t="s">
        <v>130</v>
      </c>
      <c r="F782" s="130"/>
      <c r="G782" s="312">
        <f>SUM(G784+G786)</f>
        <v>0</v>
      </c>
      <c r="H782" s="22" t="e">
        <f>SUM(#REF!)</f>
        <v>#REF!</v>
      </c>
      <c r="I782" s="22" t="e">
        <f>SUM(H782/#REF!*100)</f>
        <v>#REF!</v>
      </c>
    </row>
    <row r="783" spans="1:9" ht="15" hidden="1">
      <c r="A783" s="101" t="s">
        <v>132</v>
      </c>
      <c r="B783" s="132"/>
      <c r="C783" s="116" t="s">
        <v>285</v>
      </c>
      <c r="D783" s="116" t="s">
        <v>419</v>
      </c>
      <c r="E783" s="116" t="s">
        <v>130</v>
      </c>
      <c r="F783" s="130" t="s">
        <v>72</v>
      </c>
      <c r="G783" s="312"/>
      <c r="H783" s="22">
        <f>SUM(H789:H789)</f>
        <v>7467.6</v>
      </c>
      <c r="I783" s="22">
        <f>SUM(H783/G801*100)</f>
        <v>66.1470051552784</v>
      </c>
    </row>
    <row r="784" spans="1:9" ht="28.5" hidden="1">
      <c r="A784" s="101" t="s">
        <v>375</v>
      </c>
      <c r="B784" s="132"/>
      <c r="C784" s="116" t="s">
        <v>285</v>
      </c>
      <c r="D784" s="116" t="s">
        <v>419</v>
      </c>
      <c r="E784" s="116" t="s">
        <v>131</v>
      </c>
      <c r="F784" s="130"/>
      <c r="G784" s="312">
        <f>SUM(G785)</f>
        <v>0</v>
      </c>
      <c r="H784" s="22"/>
      <c r="I784" s="22"/>
    </row>
    <row r="785" spans="1:9" ht="15" hidden="1">
      <c r="A785" s="101" t="s">
        <v>132</v>
      </c>
      <c r="B785" s="132"/>
      <c r="C785" s="116" t="s">
        <v>285</v>
      </c>
      <c r="D785" s="116" t="s">
        <v>419</v>
      </c>
      <c r="E785" s="116" t="s">
        <v>131</v>
      </c>
      <c r="F785" s="130" t="s">
        <v>72</v>
      </c>
      <c r="G785" s="312"/>
      <c r="H785" s="22"/>
      <c r="I785" s="22"/>
    </row>
    <row r="786" spans="1:9" ht="15" hidden="1">
      <c r="A786" s="96" t="s">
        <v>201</v>
      </c>
      <c r="B786" s="132"/>
      <c r="C786" s="116" t="s">
        <v>285</v>
      </c>
      <c r="D786" s="116" t="s">
        <v>419</v>
      </c>
      <c r="E786" s="116" t="s">
        <v>204</v>
      </c>
      <c r="F786" s="130"/>
      <c r="G786" s="312">
        <f>SUM(G787)</f>
        <v>0</v>
      </c>
      <c r="H786" s="22"/>
      <c r="I786" s="22"/>
    </row>
    <row r="787" spans="1:9" ht="15" hidden="1">
      <c r="A787" s="96" t="s">
        <v>146</v>
      </c>
      <c r="B787" s="132"/>
      <c r="C787" s="116" t="s">
        <v>285</v>
      </c>
      <c r="D787" s="116" t="s">
        <v>419</v>
      </c>
      <c r="E787" s="116" t="s">
        <v>204</v>
      </c>
      <c r="F787" s="130" t="s">
        <v>72</v>
      </c>
      <c r="G787" s="312"/>
      <c r="H787" s="22"/>
      <c r="I787" s="22"/>
    </row>
    <row r="788" spans="1:9" ht="28.5">
      <c r="A788" s="96" t="s">
        <v>287</v>
      </c>
      <c r="B788" s="132"/>
      <c r="C788" s="116" t="s">
        <v>285</v>
      </c>
      <c r="D788" s="116" t="s">
        <v>419</v>
      </c>
      <c r="E788" s="116" t="s">
        <v>286</v>
      </c>
      <c r="F788" s="130"/>
      <c r="G788" s="312">
        <f>SUM(G789)</f>
        <v>6403.9</v>
      </c>
      <c r="H788" s="22"/>
      <c r="I788" s="22"/>
    </row>
    <row r="789" spans="1:9" ht="28.5">
      <c r="A789" s="101" t="s">
        <v>475</v>
      </c>
      <c r="B789" s="139"/>
      <c r="C789" s="116" t="s">
        <v>285</v>
      </c>
      <c r="D789" s="116" t="s">
        <v>419</v>
      </c>
      <c r="E789" s="116" t="s">
        <v>286</v>
      </c>
      <c r="F789" s="131" t="s">
        <v>471</v>
      </c>
      <c r="G789" s="312">
        <v>6403.9</v>
      </c>
      <c r="H789" s="22">
        <v>7467.6</v>
      </c>
      <c r="I789" s="22">
        <f>SUM(H789/G809*100)</f>
        <v>66.73816290417717</v>
      </c>
    </row>
    <row r="790" spans="1:9" ht="15">
      <c r="A790" s="96" t="s">
        <v>227</v>
      </c>
      <c r="B790" s="45"/>
      <c r="C790" s="116" t="s">
        <v>285</v>
      </c>
      <c r="D790" s="116" t="s">
        <v>421</v>
      </c>
      <c r="E790" s="116"/>
      <c r="F790" s="130"/>
      <c r="G790" s="312">
        <f>SUM(G791+G800)</f>
        <v>19210.5</v>
      </c>
      <c r="H790" s="22">
        <f>SUM(H791:H792)</f>
        <v>1817.2</v>
      </c>
      <c r="I790" s="22" t="e">
        <f>SUM(H790/#REF!*100)</f>
        <v>#REF!</v>
      </c>
    </row>
    <row r="791" spans="1:9" ht="15">
      <c r="A791" s="96" t="s">
        <v>188</v>
      </c>
      <c r="B791" s="45"/>
      <c r="C791" s="116" t="s">
        <v>285</v>
      </c>
      <c r="D791" s="116" t="s">
        <v>421</v>
      </c>
      <c r="E791" s="116" t="s">
        <v>168</v>
      </c>
      <c r="F791" s="130"/>
      <c r="G791" s="312">
        <f>SUM(G792)</f>
        <v>7921.1</v>
      </c>
      <c r="H791" s="22">
        <v>1817.2</v>
      </c>
      <c r="I791" s="22" t="e">
        <f>SUM(H791/#REF!*100)</f>
        <v>#REF!</v>
      </c>
    </row>
    <row r="792" spans="1:9" ht="15">
      <c r="A792" s="96" t="s">
        <v>84</v>
      </c>
      <c r="B792" s="132"/>
      <c r="C792" s="116" t="s">
        <v>285</v>
      </c>
      <c r="D792" s="116" t="s">
        <v>421</v>
      </c>
      <c r="E792" s="116" t="s">
        <v>73</v>
      </c>
      <c r="F792" s="130"/>
      <c r="G792" s="312">
        <f>SUM(G793+G798)</f>
        <v>7921.1</v>
      </c>
      <c r="H792" s="22"/>
      <c r="I792" s="22" t="e">
        <f>SUM(H792/#REF!*100)</f>
        <v>#REF!</v>
      </c>
    </row>
    <row r="793" spans="1:9" ht="15" hidden="1">
      <c r="A793" s="101" t="s">
        <v>146</v>
      </c>
      <c r="B793" s="132"/>
      <c r="C793" s="116" t="s">
        <v>285</v>
      </c>
      <c r="D793" s="116" t="s">
        <v>421</v>
      </c>
      <c r="E793" s="116" t="s">
        <v>130</v>
      </c>
      <c r="F793" s="130"/>
      <c r="G793" s="312">
        <f>SUM(G796)+G794</f>
        <v>0</v>
      </c>
      <c r="H793" s="22">
        <f>SUM(H794)</f>
        <v>340</v>
      </c>
      <c r="I793" s="22" t="e">
        <f>SUM(H793/#REF!*100)</f>
        <v>#REF!</v>
      </c>
    </row>
    <row r="794" spans="1:9" ht="28.5" hidden="1">
      <c r="A794" s="101" t="s">
        <v>375</v>
      </c>
      <c r="B794" s="132"/>
      <c r="C794" s="116" t="s">
        <v>285</v>
      </c>
      <c r="D794" s="116" t="s">
        <v>421</v>
      </c>
      <c r="E794" s="116" t="s">
        <v>131</v>
      </c>
      <c r="F794" s="130"/>
      <c r="G794" s="312">
        <f>SUM(G795)</f>
        <v>0</v>
      </c>
      <c r="H794" s="22">
        <v>340</v>
      </c>
      <c r="I794" s="22" t="e">
        <f>SUM(H794/#REF!*100)</f>
        <v>#REF!</v>
      </c>
    </row>
    <row r="795" spans="1:9" ht="15" hidden="1">
      <c r="A795" s="101" t="s">
        <v>132</v>
      </c>
      <c r="B795" s="132"/>
      <c r="C795" s="116" t="s">
        <v>285</v>
      </c>
      <c r="D795" s="116" t="s">
        <v>421</v>
      </c>
      <c r="E795" s="116" t="s">
        <v>131</v>
      </c>
      <c r="F795" s="130" t="s">
        <v>72</v>
      </c>
      <c r="G795" s="312"/>
      <c r="H795" s="22">
        <f>SUM(H796)</f>
        <v>9494.7</v>
      </c>
      <c r="I795" s="22" t="e">
        <f>SUM(H795/#REF!*100)</f>
        <v>#REF!</v>
      </c>
    </row>
    <row r="796" spans="1:9" ht="15" hidden="1">
      <c r="A796" s="96" t="s">
        <v>201</v>
      </c>
      <c r="B796" s="132"/>
      <c r="C796" s="116" t="s">
        <v>285</v>
      </c>
      <c r="D796" s="116" t="s">
        <v>421</v>
      </c>
      <c r="E796" s="116" t="s">
        <v>204</v>
      </c>
      <c r="F796" s="130"/>
      <c r="G796" s="312">
        <f>SUM(G797)</f>
        <v>0</v>
      </c>
      <c r="H796" s="22">
        <f>SUM(H797)</f>
        <v>9494.7</v>
      </c>
      <c r="I796" s="22" t="e">
        <f>SUM(H796/#REF!*100)</f>
        <v>#REF!</v>
      </c>
    </row>
    <row r="797" spans="1:9" ht="15" hidden="1">
      <c r="A797" s="101" t="s">
        <v>132</v>
      </c>
      <c r="B797" s="132"/>
      <c r="C797" s="116" t="s">
        <v>285</v>
      </c>
      <c r="D797" s="116" t="s">
        <v>421</v>
      </c>
      <c r="E797" s="116" t="s">
        <v>204</v>
      </c>
      <c r="F797" s="130" t="s">
        <v>72</v>
      </c>
      <c r="G797" s="312"/>
      <c r="H797" s="22">
        <f>SUM(H798:H799)</f>
        <v>9494.7</v>
      </c>
      <c r="I797" s="22" t="e">
        <f>SUM(H797/#REF!*100)</f>
        <v>#REF!</v>
      </c>
    </row>
    <row r="798" spans="1:9" ht="28.5">
      <c r="A798" s="96" t="s">
        <v>287</v>
      </c>
      <c r="B798" s="132"/>
      <c r="C798" s="116" t="s">
        <v>285</v>
      </c>
      <c r="D798" s="116" t="s">
        <v>421</v>
      </c>
      <c r="E798" s="116" t="s">
        <v>286</v>
      </c>
      <c r="F798" s="130"/>
      <c r="G798" s="312">
        <f>SUM(G799)</f>
        <v>7921.1</v>
      </c>
      <c r="H798" s="22">
        <v>9494.7</v>
      </c>
      <c r="I798" s="22" t="e">
        <f>SUM(H798/#REF!*100)</f>
        <v>#REF!</v>
      </c>
    </row>
    <row r="799" spans="1:9" ht="28.5">
      <c r="A799" s="101" t="s">
        <v>475</v>
      </c>
      <c r="B799" s="139"/>
      <c r="C799" s="116" t="s">
        <v>285</v>
      </c>
      <c r="D799" s="116" t="s">
        <v>421</v>
      </c>
      <c r="E799" s="116" t="s">
        <v>286</v>
      </c>
      <c r="F799" s="131" t="s">
        <v>471</v>
      </c>
      <c r="G799" s="312">
        <v>7921.1</v>
      </c>
      <c r="H799" s="22"/>
      <c r="I799" s="22" t="e">
        <f>SUM(H799/#REF!*100)</f>
        <v>#REF!</v>
      </c>
    </row>
    <row r="800" spans="1:9" ht="15">
      <c r="A800" s="96" t="s">
        <v>228</v>
      </c>
      <c r="B800" s="45"/>
      <c r="C800" s="116" t="s">
        <v>285</v>
      </c>
      <c r="D800" s="116" t="s">
        <v>421</v>
      </c>
      <c r="E800" s="116" t="s">
        <v>229</v>
      </c>
      <c r="F800" s="130"/>
      <c r="G800" s="312">
        <f>SUM(G801)</f>
        <v>11289.4</v>
      </c>
      <c r="H800" s="22">
        <f>SUM(H801)</f>
        <v>7467.6</v>
      </c>
      <c r="I800" s="22" t="e">
        <f>SUM(H800/#REF!*100)</f>
        <v>#REF!</v>
      </c>
    </row>
    <row r="801" spans="1:9" ht="15">
      <c r="A801" s="96" t="s">
        <v>84</v>
      </c>
      <c r="B801" s="45"/>
      <c r="C801" s="116" t="s">
        <v>285</v>
      </c>
      <c r="D801" s="116" t="s">
        <v>421</v>
      </c>
      <c r="E801" s="116" t="s">
        <v>288</v>
      </c>
      <c r="F801" s="130"/>
      <c r="G801" s="312">
        <f>SUM(G809:G809)+G802</f>
        <v>11289.4</v>
      </c>
      <c r="H801" s="22">
        <v>7467.6</v>
      </c>
      <c r="I801" s="22" t="e">
        <f>SUM(H801/#REF!*100)</f>
        <v>#REF!</v>
      </c>
    </row>
    <row r="802" spans="1:9" ht="15">
      <c r="A802" s="101" t="s">
        <v>146</v>
      </c>
      <c r="B802" s="45"/>
      <c r="C802" s="116" t="s">
        <v>285</v>
      </c>
      <c r="D802" s="116" t="s">
        <v>421</v>
      </c>
      <c r="E802" s="116" t="s">
        <v>205</v>
      </c>
      <c r="F802" s="130"/>
      <c r="G802" s="312">
        <f>SUM(G803)+G805+G807</f>
        <v>100</v>
      </c>
      <c r="H802" s="22">
        <f>SUM(H803)</f>
        <v>0</v>
      </c>
      <c r="I802" s="22" t="e">
        <f>SUM(H802/G817*100)</f>
        <v>#DIV/0!</v>
      </c>
    </row>
    <row r="803" spans="1:9" ht="28.5">
      <c r="A803" s="101" t="s">
        <v>133</v>
      </c>
      <c r="B803" s="132"/>
      <c r="C803" s="116" t="s">
        <v>285</v>
      </c>
      <c r="D803" s="116" t="s">
        <v>421</v>
      </c>
      <c r="E803" s="116" t="s">
        <v>134</v>
      </c>
      <c r="F803" s="130"/>
      <c r="G803" s="312">
        <f>SUM(G804)</f>
        <v>58.4</v>
      </c>
      <c r="H803" s="22"/>
      <c r="I803" s="22" t="e">
        <f>SUM(H803/G818*100)</f>
        <v>#DIV/0!</v>
      </c>
    </row>
    <row r="804" spans="1:9" ht="27.75" customHeight="1">
      <c r="A804" s="101" t="s">
        <v>475</v>
      </c>
      <c r="B804" s="139"/>
      <c r="C804" s="116" t="s">
        <v>285</v>
      </c>
      <c r="D804" s="116" t="s">
        <v>421</v>
      </c>
      <c r="E804" s="116" t="s">
        <v>134</v>
      </c>
      <c r="F804" s="131" t="s">
        <v>471</v>
      </c>
      <c r="G804" s="312">
        <v>58.4</v>
      </c>
      <c r="H804" s="22">
        <f>SUM(H805:H806)</f>
        <v>6864.8</v>
      </c>
      <c r="I804" s="22">
        <f>SUM(H804/G823*100)</f>
        <v>53.32380493715919</v>
      </c>
    </row>
    <row r="805" spans="1:9" ht="28.5" hidden="1">
      <c r="A805" s="101" t="s">
        <v>375</v>
      </c>
      <c r="B805" s="132"/>
      <c r="C805" s="116" t="s">
        <v>285</v>
      </c>
      <c r="D805" s="116" t="s">
        <v>421</v>
      </c>
      <c r="E805" s="116" t="s">
        <v>443</v>
      </c>
      <c r="F805" s="130"/>
      <c r="G805" s="312">
        <f>SUM(G806)</f>
        <v>0</v>
      </c>
      <c r="H805" s="22">
        <v>6864.8</v>
      </c>
      <c r="I805" s="22">
        <f>SUM(H805/G824*100)</f>
        <v>60.52174526347343</v>
      </c>
    </row>
    <row r="806" spans="1:9" ht="15" hidden="1">
      <c r="A806" s="101" t="s">
        <v>132</v>
      </c>
      <c r="B806" s="132"/>
      <c r="C806" s="116" t="s">
        <v>285</v>
      </c>
      <c r="D806" s="116" t="s">
        <v>421</v>
      </c>
      <c r="E806" s="116" t="s">
        <v>443</v>
      </c>
      <c r="F806" s="130" t="s">
        <v>72</v>
      </c>
      <c r="G806" s="312"/>
      <c r="H806" s="22"/>
      <c r="I806" s="22" t="e">
        <f>SUM(H806/#REF!*100)</f>
        <v>#REF!</v>
      </c>
    </row>
    <row r="807" spans="1:9" ht="19.5" customHeight="1">
      <c r="A807" s="209" t="s">
        <v>143</v>
      </c>
      <c r="B807" s="139"/>
      <c r="C807" s="116" t="s">
        <v>285</v>
      </c>
      <c r="D807" s="116" t="s">
        <v>421</v>
      </c>
      <c r="E807" s="116" t="s">
        <v>592</v>
      </c>
      <c r="F807" s="131"/>
      <c r="G807" s="312">
        <f>SUM(G808)</f>
        <v>41.6</v>
      </c>
      <c r="H807" s="22"/>
      <c r="I807" s="22"/>
    </row>
    <row r="808" spans="1:9" ht="28.5">
      <c r="A808" s="101" t="s">
        <v>475</v>
      </c>
      <c r="B808" s="139"/>
      <c r="C808" s="116" t="s">
        <v>285</v>
      </c>
      <c r="D808" s="116" t="s">
        <v>421</v>
      </c>
      <c r="E808" s="116" t="s">
        <v>592</v>
      </c>
      <c r="F808" s="131" t="s">
        <v>471</v>
      </c>
      <c r="G808" s="312">
        <v>41.6</v>
      </c>
      <c r="H808" s="22"/>
      <c r="I808" s="22"/>
    </row>
    <row r="809" spans="1:9" ht="28.5">
      <c r="A809" s="101" t="s">
        <v>287</v>
      </c>
      <c r="B809" s="45"/>
      <c r="C809" s="116" t="s">
        <v>285</v>
      </c>
      <c r="D809" s="116" t="s">
        <v>421</v>
      </c>
      <c r="E809" s="116" t="s">
        <v>289</v>
      </c>
      <c r="F809" s="130"/>
      <c r="G809" s="312">
        <f>SUM(G810)</f>
        <v>11189.4</v>
      </c>
      <c r="H809" s="22" t="e">
        <f>SUM(H810+#REF!)</f>
        <v>#REF!</v>
      </c>
      <c r="I809" s="22" t="e">
        <f>SUM(H809/#REF!*100)</f>
        <v>#REF!</v>
      </c>
    </row>
    <row r="810" spans="1:9" ht="28.5">
      <c r="A810" s="101" t="s">
        <v>475</v>
      </c>
      <c r="B810" s="139"/>
      <c r="C810" s="116" t="s">
        <v>285</v>
      </c>
      <c r="D810" s="116" t="s">
        <v>421</v>
      </c>
      <c r="E810" s="116" t="s">
        <v>289</v>
      </c>
      <c r="F810" s="131" t="s">
        <v>471</v>
      </c>
      <c r="G810" s="312">
        <v>11189.4</v>
      </c>
      <c r="H810" s="22" t="e">
        <f>SUM(#REF!)</f>
        <v>#REF!</v>
      </c>
      <c r="I810" s="22" t="e">
        <f>SUM(H810/#REF!*100)</f>
        <v>#REF!</v>
      </c>
    </row>
    <row r="811" spans="1:9" ht="15">
      <c r="A811" s="101" t="s">
        <v>230</v>
      </c>
      <c r="B811" s="45"/>
      <c r="C811" s="116" t="s">
        <v>285</v>
      </c>
      <c r="D811" s="116" t="s">
        <v>111</v>
      </c>
      <c r="E811" s="116"/>
      <c r="F811" s="130"/>
      <c r="G811" s="312">
        <f>SUM(G814+G817)</f>
        <v>530.1</v>
      </c>
      <c r="H811" s="22"/>
      <c r="I811" s="22"/>
    </row>
    <row r="812" spans="1:9" ht="15" hidden="1">
      <c r="A812" s="101" t="s">
        <v>348</v>
      </c>
      <c r="B812" s="45"/>
      <c r="C812" s="116" t="s">
        <v>285</v>
      </c>
      <c r="D812" s="116" t="s">
        <v>111</v>
      </c>
      <c r="E812" s="116" t="s">
        <v>349</v>
      </c>
      <c r="F812" s="130"/>
      <c r="G812" s="312">
        <f>SUM(G813)</f>
        <v>0</v>
      </c>
      <c r="H812" s="22">
        <v>340</v>
      </c>
      <c r="I812" s="22" t="e">
        <f>SUM(H812/#REF!*100)</f>
        <v>#REF!</v>
      </c>
    </row>
    <row r="813" spans="1:9" ht="15" hidden="1">
      <c r="A813" s="101" t="s">
        <v>232</v>
      </c>
      <c r="B813" s="45"/>
      <c r="C813" s="116" t="s">
        <v>285</v>
      </c>
      <c r="D813" s="116" t="s">
        <v>111</v>
      </c>
      <c r="E813" s="116" t="s">
        <v>349</v>
      </c>
      <c r="F813" s="130" t="s">
        <v>233</v>
      </c>
      <c r="G813" s="312"/>
      <c r="H813" s="22">
        <v>1424.2</v>
      </c>
      <c r="I813" s="22" t="e">
        <f>SUM(H813/#REF!*100)</f>
        <v>#REF!</v>
      </c>
    </row>
    <row r="814" spans="1:9" ht="15">
      <c r="A814" s="96" t="s">
        <v>84</v>
      </c>
      <c r="B814" s="45"/>
      <c r="C814" s="116" t="s">
        <v>285</v>
      </c>
      <c r="D814" s="116" t="s">
        <v>111</v>
      </c>
      <c r="E814" s="116" t="s">
        <v>472</v>
      </c>
      <c r="F814" s="130"/>
      <c r="G814" s="312">
        <f>SUM(G815)</f>
        <v>530.1</v>
      </c>
      <c r="H814" s="22"/>
      <c r="I814" s="22"/>
    </row>
    <row r="815" spans="1:9" ht="28.5">
      <c r="A815" s="101" t="s">
        <v>287</v>
      </c>
      <c r="B815" s="45"/>
      <c r="C815" s="116" t="s">
        <v>285</v>
      </c>
      <c r="D815" s="116" t="s">
        <v>111</v>
      </c>
      <c r="E815" s="116" t="s">
        <v>473</v>
      </c>
      <c r="F815" s="130"/>
      <c r="G815" s="312">
        <f>SUM(G816)</f>
        <v>530.1</v>
      </c>
      <c r="H815" s="22"/>
      <c r="I815" s="22" t="e">
        <f>SUM(H815/#REF!*100)</f>
        <v>#REF!</v>
      </c>
    </row>
    <row r="816" spans="1:9" ht="29.25" thickBot="1">
      <c r="A816" s="101" t="s">
        <v>475</v>
      </c>
      <c r="B816" s="139"/>
      <c r="C816" s="116" t="s">
        <v>285</v>
      </c>
      <c r="D816" s="116" t="s">
        <v>111</v>
      </c>
      <c r="E816" s="116" t="s">
        <v>473</v>
      </c>
      <c r="F816" s="131" t="s">
        <v>471</v>
      </c>
      <c r="G816" s="312">
        <v>530.1</v>
      </c>
      <c r="H816" s="22"/>
      <c r="I816" s="22" t="e">
        <f>SUM(H816/#REF!*100)</f>
        <v>#REF!</v>
      </c>
    </row>
    <row r="817" spans="1:9" ht="15" hidden="1">
      <c r="A817" s="97" t="s">
        <v>3</v>
      </c>
      <c r="B817" s="45"/>
      <c r="C817" s="116" t="s">
        <v>285</v>
      </c>
      <c r="D817" s="116" t="s">
        <v>419</v>
      </c>
      <c r="E817" s="116" t="s">
        <v>253</v>
      </c>
      <c r="F817" s="129"/>
      <c r="G817" s="312">
        <f>SUM(G818)</f>
        <v>0</v>
      </c>
      <c r="H817" s="22"/>
      <c r="I817" s="22" t="e">
        <f>SUM(H817/#REF!*100)</f>
        <v>#REF!</v>
      </c>
    </row>
    <row r="818" spans="1:9" ht="29.25" hidden="1" thickBot="1">
      <c r="A818" s="96" t="s">
        <v>325</v>
      </c>
      <c r="B818" s="45"/>
      <c r="C818" s="116" t="s">
        <v>285</v>
      </c>
      <c r="D818" s="116" t="s">
        <v>419</v>
      </c>
      <c r="E818" s="116" t="s">
        <v>253</v>
      </c>
      <c r="F818" s="129" t="s">
        <v>254</v>
      </c>
      <c r="G818" s="312"/>
      <c r="H818" s="67"/>
      <c r="I818" s="67" t="e">
        <f>SUM(H818/#REF!*100)</f>
        <v>#REF!</v>
      </c>
    </row>
    <row r="819" spans="1:9" ht="16.5" thickBot="1">
      <c r="A819" s="97" t="s">
        <v>226</v>
      </c>
      <c r="B819" s="53"/>
      <c r="C819" s="116" t="s">
        <v>285</v>
      </c>
      <c r="D819" s="116" t="s">
        <v>285</v>
      </c>
      <c r="E819" s="116"/>
      <c r="F819" s="130"/>
      <c r="G819" s="312">
        <f>SUM(G822)+G827</f>
        <v>15739.600000000002</v>
      </c>
      <c r="H819" s="68" t="e">
        <f>SUM(H11+H35+H54+#REF!+H349+#REF!+H542+#REF!+#REF!+H751)</f>
        <v>#REF!</v>
      </c>
      <c r="I819" s="68" t="e">
        <f>SUM(H819/G830*100)</f>
        <v>#REF!</v>
      </c>
    </row>
    <row r="820" spans="1:9" ht="43.5" hidden="1" thickBot="1">
      <c r="A820" s="97" t="s">
        <v>207</v>
      </c>
      <c r="B820" s="53"/>
      <c r="C820" s="116" t="s">
        <v>285</v>
      </c>
      <c r="D820" s="116" t="s">
        <v>285</v>
      </c>
      <c r="E820" s="116" t="s">
        <v>208</v>
      </c>
      <c r="F820" s="130"/>
      <c r="G820" s="312">
        <f>SUM(G821)</f>
        <v>0</v>
      </c>
      <c r="H820" s="69">
        <f>-76000-174.5-350</f>
        <v>-76524.5</v>
      </c>
      <c r="I820" s="69">
        <f>-76000-174.5-350</f>
        <v>-76524.5</v>
      </c>
    </row>
    <row r="821" spans="1:7" ht="15" hidden="1">
      <c r="A821" s="101" t="s">
        <v>146</v>
      </c>
      <c r="B821" s="53"/>
      <c r="C821" s="116" t="s">
        <v>285</v>
      </c>
      <c r="D821" s="116" t="s">
        <v>285</v>
      </c>
      <c r="E821" s="116" t="s">
        <v>208</v>
      </c>
      <c r="F821" s="130" t="s">
        <v>72</v>
      </c>
      <c r="G821" s="312"/>
    </row>
    <row r="822" spans="1:7" ht="28.5">
      <c r="A822" s="97" t="s">
        <v>165</v>
      </c>
      <c r="B822" s="45"/>
      <c r="C822" s="116" t="s">
        <v>285</v>
      </c>
      <c r="D822" s="116" t="s">
        <v>285</v>
      </c>
      <c r="E822" s="116" t="s">
        <v>166</v>
      </c>
      <c r="F822" s="130"/>
      <c r="G822" s="312">
        <f>SUM(G823)</f>
        <v>12873.800000000001</v>
      </c>
    </row>
    <row r="823" spans="1:7" ht="28.5">
      <c r="A823" s="96" t="s">
        <v>46</v>
      </c>
      <c r="B823" s="45"/>
      <c r="C823" s="116" t="s">
        <v>285</v>
      </c>
      <c r="D823" s="116" t="s">
        <v>285</v>
      </c>
      <c r="E823" s="116" t="s">
        <v>167</v>
      </c>
      <c r="F823" s="130"/>
      <c r="G823" s="312">
        <f>SUM(G824:G826)</f>
        <v>12873.800000000001</v>
      </c>
    </row>
    <row r="824" spans="1:7" ht="28.5">
      <c r="A824" s="96" t="s">
        <v>453</v>
      </c>
      <c r="B824" s="45"/>
      <c r="C824" s="116" t="s">
        <v>285</v>
      </c>
      <c r="D824" s="116" t="s">
        <v>285</v>
      </c>
      <c r="E824" s="116" t="s">
        <v>167</v>
      </c>
      <c r="F824" s="129" t="s">
        <v>454</v>
      </c>
      <c r="G824" s="312">
        <v>11342.7</v>
      </c>
    </row>
    <row r="825" spans="1:7" ht="15">
      <c r="A825" s="96" t="s">
        <v>458</v>
      </c>
      <c r="B825" s="45"/>
      <c r="C825" s="116" t="s">
        <v>285</v>
      </c>
      <c r="D825" s="116" t="s">
        <v>285</v>
      </c>
      <c r="E825" s="116" t="s">
        <v>167</v>
      </c>
      <c r="F825" s="129" t="s">
        <v>109</v>
      </c>
      <c r="G825" s="313">
        <v>1483.6</v>
      </c>
    </row>
    <row r="826" spans="1:7" ht="15">
      <c r="A826" s="96" t="s">
        <v>459</v>
      </c>
      <c r="B826" s="45"/>
      <c r="C826" s="116" t="s">
        <v>285</v>
      </c>
      <c r="D826" s="116" t="s">
        <v>285</v>
      </c>
      <c r="E826" s="116" t="s">
        <v>167</v>
      </c>
      <c r="F826" s="130" t="s">
        <v>163</v>
      </c>
      <c r="G826" s="312">
        <v>47.5</v>
      </c>
    </row>
    <row r="827" spans="1:7" ht="15">
      <c r="A827" s="101" t="s">
        <v>117</v>
      </c>
      <c r="B827" s="45"/>
      <c r="C827" s="116" t="s">
        <v>285</v>
      </c>
      <c r="D827" s="116" t="s">
        <v>285</v>
      </c>
      <c r="E827" s="116" t="s">
        <v>118</v>
      </c>
      <c r="F827" s="130"/>
      <c r="G827" s="312">
        <f>SUM(G828)</f>
        <v>2865.8</v>
      </c>
    </row>
    <row r="828" spans="1:7" ht="28.5">
      <c r="A828" s="96" t="s">
        <v>593</v>
      </c>
      <c r="B828" s="45"/>
      <c r="C828" s="116" t="s">
        <v>285</v>
      </c>
      <c r="D828" s="116" t="s">
        <v>285</v>
      </c>
      <c r="E828" s="116" t="s">
        <v>594</v>
      </c>
      <c r="F828" s="130"/>
      <c r="G828" s="312">
        <f>SUM(G829)</f>
        <v>2865.8</v>
      </c>
    </row>
    <row r="829" spans="1:7" ht="29.25" thickBot="1">
      <c r="A829" s="195" t="s">
        <v>475</v>
      </c>
      <c r="B829" s="190"/>
      <c r="C829" s="194" t="s">
        <v>285</v>
      </c>
      <c r="D829" s="194" t="s">
        <v>285</v>
      </c>
      <c r="E829" s="191" t="s">
        <v>594</v>
      </c>
      <c r="F829" s="192" t="s">
        <v>471</v>
      </c>
      <c r="G829" s="323">
        <v>2865.8</v>
      </c>
    </row>
    <row r="830" spans="1:7" ht="21.75" customHeight="1" thickBot="1">
      <c r="A830" s="123" t="s">
        <v>161</v>
      </c>
      <c r="B830" s="142"/>
      <c r="C830" s="122"/>
      <c r="D830" s="122"/>
      <c r="E830" s="122"/>
      <c r="F830" s="143"/>
      <c r="G830" s="324">
        <f>SUM(G11+G35+G54+G312+G356+G522+G563+G673+G777)</f>
        <v>3573291.9</v>
      </c>
    </row>
    <row r="831" ht="12.75" customHeight="1">
      <c r="G831" s="92"/>
    </row>
    <row r="832" ht="15" hidden="1">
      <c r="G832" s="109">
        <v>3276110.9</v>
      </c>
    </row>
    <row r="833" ht="15" hidden="1"/>
    <row r="834" ht="15" hidden="1">
      <c r="G834" s="93">
        <f>SUM(G830-G832)</f>
        <v>297181</v>
      </c>
    </row>
    <row r="835" ht="15" hidden="1">
      <c r="G835" s="94">
        <f>SUM(G830-2951239.5)</f>
        <v>622052.3999999999</v>
      </c>
    </row>
  </sheetData>
  <sheetProtection/>
  <mergeCells count="2">
    <mergeCell ref="F5:G5"/>
    <mergeCell ref="A9:A10"/>
  </mergeCells>
  <printOptions/>
  <pageMargins left="1.062992125984252" right="0.15748031496062992" top="0.15748031496062992" bottom="0.03937007874015748" header="0.5118110236220472" footer="0.2362204724409449"/>
  <pageSetup fitToHeight="16" fitToWidth="1" horizontalDpi="600" verticalDpi="600" orientation="portrait" paperSize="9" scale="57" r:id="rId1"/>
  <ignoredErrors>
    <ignoredError sqref="B11 C12:C14 D13:D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2014-04-24T06:36:44Z</cp:lastPrinted>
  <dcterms:created xsi:type="dcterms:W3CDTF">2010-10-13T06:28:56Z</dcterms:created>
  <dcterms:modified xsi:type="dcterms:W3CDTF">2014-04-28T04:18:36Z</dcterms:modified>
  <cp:category/>
  <cp:version/>
  <cp:contentType/>
  <cp:contentStatus/>
</cp:coreProperties>
</file>