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7"/>
  </bookViews>
  <sheets>
    <sheet name="%" sheetId="1" r:id="rId1"/>
    <sheet name="ГАДы" sheetId="2" r:id="rId2"/>
    <sheet name="функцион.2014" sheetId="3" r:id="rId3"/>
    <sheet name="ведомствен.2014" sheetId="4" r:id="rId4"/>
    <sheet name="Прогр.заимств." sheetId="5" r:id="rId5"/>
    <sheet name="прогр.заимств.2014-2015" sheetId="6" r:id="rId6"/>
    <sheet name="источн.2014" sheetId="7" r:id="rId7"/>
    <sheet name="Уточн.источн2014-2016" sheetId="8" r:id="rId8"/>
    <sheet name="Ожидаемое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<sst xmlns="http://schemas.openxmlformats.org/spreadsheetml/2006/main" count="6787" uniqueCount="1025">
  <si>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</si>
  <si>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</si>
  <si>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</si>
  <si>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</si>
  <si>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</si>
  <si>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</si>
  <si>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</si>
  <si>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</si>
  <si>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</si>
  <si>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</si>
  <si>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</si>
  <si>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</si>
  <si>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</si>
  <si>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</si>
  <si>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</si>
  <si>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</si>
  <si>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</si>
  <si>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</si>
  <si>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</si>
  <si>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</si>
  <si>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</si>
  <si>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</si>
  <si>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</si>
  <si>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</si>
  <si>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</si>
  <si>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</si>
  <si>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</si>
  <si>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</si>
  <si>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</si>
  <si>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</si>
  <si>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</si>
  <si>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</si>
  <si>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</si>
  <si>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</si>
  <si>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</si>
  <si>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</si>
  <si>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</si>
  <si>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</si>
  <si>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</si>
  <si>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</si>
  <si>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</si>
  <si>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</si>
  <si>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</si>
  <si>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</si>
  <si>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</si>
  <si>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</si>
  <si>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</si>
  <si>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</si>
  <si>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</si>
  <si>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</si>
  <si>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</si>
  <si>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</si>
  <si>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</si>
  <si>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</si>
  <si>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</si>
  <si>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</si>
  <si>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</si>
  <si>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</si>
  <si>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</si>
  <si>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</si>
  <si>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</si>
  <si>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</si>
  <si>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</si>
  <si>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</si>
  <si>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</si>
  <si>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</si>
  <si>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</si>
  <si>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</si>
  <si>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</si>
  <si>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</si>
  <si>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</si>
  <si>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</si>
  <si>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</si>
  <si>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</si>
  <si>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</si>
  <si>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</si>
  <si>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</si>
  <si>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</si>
  <si>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</si>
  <si>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</si>
  <si>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</si>
  <si>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</si>
  <si>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</si>
  <si>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</si>
  <si>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</si>
  <si>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</si>
  <si>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</si>
  <si>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</si>
  <si>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</si>
  <si>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</si>
  <si>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</si>
  <si>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</si>
  <si>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</si>
  <si>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</si>
  <si>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</si>
  <si>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</si>
  <si>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</si>
  <si>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</si>
  <si>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</si>
  <si>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</si>
  <si>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</si>
  <si>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</si>
  <si>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</si>
  <si>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</si>
  <si>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</si>
  <si>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</si>
  <si>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</si>
  <si>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</si>
  <si>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</si>
  <si>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</si>
  <si>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</si>
  <si>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</si>
  <si>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</si>
  <si>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</si>
  <si>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</si>
  <si>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</si>
  <si>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</si>
  <si>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</si>
  <si>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</si>
  <si>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</si>
  <si>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</si>
  <si>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</si>
  <si>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</si>
  <si>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</si>
  <si>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</si>
  <si>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</si>
  <si>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</si>
  <si>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</si>
  <si>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</si>
  <si>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</si>
  <si>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</si>
  <si>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</si>
  <si>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</si>
  <si>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</si>
  <si>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</si>
  <si>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</si>
  <si>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</si>
  <si>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</si>
  <si>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</si>
  <si>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</si>
  <si>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</si>
  <si>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</si>
  <si>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</si>
  <si>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</si>
  <si>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</si>
  <si>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</si>
  <si>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</si>
  <si>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</si>
  <si>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</si>
  <si>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</si>
  <si>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</si>
  <si>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</si>
  <si>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</si>
  <si>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</si>
  <si>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</si>
  <si>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</si>
  <si>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</si>
  <si>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</si>
  <si>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</si>
  <si>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</si>
  <si>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</si>
  <si>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</si>
  <si>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</si>
  <si>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</si>
  <si>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</si>
  <si>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</si>
  <si>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</si>
  <si>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</si>
  <si>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</si>
  <si>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</si>
  <si>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</si>
  <si>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</si>
  <si>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</si>
  <si>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</si>
  <si>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</si>
  <si>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</si>
  <si>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</si>
  <si>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</si>
  <si>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</si>
  <si>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</si>
  <si>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</si>
  <si>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</si>
  <si>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</si>
  <si>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</si>
  <si>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</si>
  <si>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</si>
  <si>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</si>
  <si>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</si>
  <si>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</si>
  <si>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</si>
  <si>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</si>
  <si>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</si>
  <si>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</si>
  <si>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</si>
  <si>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</si>
  <si>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</si>
  <si>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</si>
  <si>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</si>
  <si>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</si>
  <si>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</si>
  <si>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</si>
  <si>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</si>
  <si>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</si>
  <si>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</si>
  <si>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</si>
  <si>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</si>
  <si>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</si>
  <si>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</si>
  <si>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</si>
  <si>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</si>
  <si>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</si>
  <si>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</si>
  <si>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</si>
  <si>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</si>
  <si>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</si>
  <si>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</si>
  <si>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</si>
  <si>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</si>
  <si>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</si>
  <si>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</si>
  <si>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</si>
  <si>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</si>
  <si>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</si>
  <si>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</si>
  <si>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</si>
  <si>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520 00 00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</si>
  <si>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</si>
  <si>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</si>
  <si>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</si>
  <si>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</si>
  <si>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</si>
  <si>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</si>
  <si>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</si>
  <si>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</si>
  <si>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</si>
  <si>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</si>
  <si>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</si>
  <si>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</si>
  <si>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</si>
  <si>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</si>
  <si>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</si>
  <si>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</si>
  <si>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</si>
  <si>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</si>
  <si>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</si>
  <si>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Поликлиники, амбулатории, диагностические центры</t>
  </si>
  <si>
    <t>471 00 00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</si>
  <si>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</si>
  <si>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</si>
  <si>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</si>
  <si>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</si>
  <si>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</si>
  <si>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</si>
  <si>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</si>
  <si>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</si>
  <si>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</si>
  <si>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</si>
  <si>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</si>
  <si>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</si>
  <si>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</si>
  <si>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</si>
  <si>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</si>
  <si>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</si>
  <si>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</si>
  <si>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</si>
  <si>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</si>
  <si>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</si>
  <si>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</si>
  <si>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</si>
  <si>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</si>
  <si>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</si>
  <si>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</si>
  <si>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</si>
  <si>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</si>
  <si>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</si>
  <si>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</si>
  <si>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</si>
  <si>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</si>
  <si>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</si>
  <si>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</si>
  <si>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</si>
  <si>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</si>
  <si>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</si>
  <si>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</si>
  <si>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</si>
  <si>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</si>
  <si>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</si>
  <si>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</si>
  <si>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</si>
  <si>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</si>
  <si>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</si>
  <si>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</si>
  <si>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</si>
  <si>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</si>
  <si>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</si>
  <si>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</si>
  <si>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</si>
  <si>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</si>
  <si>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>436 01 00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</si>
  <si>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</si>
  <si>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</si>
  <si>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</si>
  <si>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</si>
  <si>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</si>
  <si>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</si>
  <si>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</si>
  <si>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</si>
  <si>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</si>
  <si>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</si>
  <si>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</si>
  <si>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</si>
  <si>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</si>
  <si>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</si>
  <si>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</si>
  <si>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</si>
  <si>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</si>
  <si>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</si>
  <si>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</si>
  <si>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</si>
  <si>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</si>
  <si>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</si>
  <si>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</si>
  <si>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</si>
  <si>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</si>
  <si>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</si>
  <si>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</si>
  <si>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</si>
  <si>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</si>
  <si>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</si>
  <si>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</si>
  <si>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</si>
  <si>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</si>
  <si>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</si>
  <si>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</si>
  <si>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</si>
  <si>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</si>
  <si>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</si>
  <si>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</si>
  <si>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</si>
  <si>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</si>
  <si>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</si>
  <si>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</si>
  <si>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</si>
  <si>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</si>
  <si>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</si>
  <si>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</si>
  <si>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</si>
  <si>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</si>
  <si>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</si>
  <si>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</si>
  <si>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</si>
  <si>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</si>
  <si>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</si>
  <si>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</si>
  <si>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</si>
  <si>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</si>
  <si>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</si>
  <si>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</si>
  <si>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</si>
  <si>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</si>
  <si>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</si>
  <si>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</si>
  <si>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</si>
  <si>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</si>
  <si>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</si>
  <si>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</si>
  <si>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</si>
  <si>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</si>
  <si>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</si>
  <si>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</si>
  <si>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</si>
  <si>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</si>
  <si>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</si>
  <si>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</si>
  <si>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</si>
  <si>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</si>
  <si>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</si>
  <si>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</si>
  <si>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</si>
  <si>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</si>
  <si>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</si>
  <si>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</si>
  <si>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</si>
  <si>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</si>
  <si>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</si>
  <si>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</si>
  <si>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</si>
  <si>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</si>
  <si>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</si>
  <si>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</si>
  <si>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</si>
  <si>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</si>
  <si>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</si>
  <si>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</si>
  <si>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</si>
  <si>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</si>
  <si>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</si>
  <si>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</si>
  <si>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</si>
  <si>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</si>
  <si>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</si>
  <si>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</si>
  <si>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</si>
  <si>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</si>
  <si>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</si>
  <si>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</si>
  <si>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</si>
  <si>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</si>
  <si>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</si>
  <si>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</si>
  <si>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</si>
  <si>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</si>
  <si>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</si>
  <si>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</si>
  <si>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</si>
  <si>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</si>
  <si>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</si>
  <si>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</si>
  <si>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</si>
  <si>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</si>
  <si>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</si>
  <si>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</si>
  <si>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</si>
  <si>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</si>
  <si>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</si>
  <si>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</si>
  <si>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</si>
  <si>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</si>
  <si>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</si>
  <si>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</si>
  <si>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</si>
  <si>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</si>
  <si>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</si>
  <si>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</si>
  <si>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</si>
  <si>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</si>
  <si>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</si>
  <si>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</si>
  <si>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</si>
  <si>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</si>
  <si>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</si>
  <si>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</si>
  <si>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</si>
  <si>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</si>
  <si>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</si>
  <si>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</si>
  <si>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</si>
  <si>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</si>
  <si>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</si>
  <si>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</si>
  <si>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</si>
  <si>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</si>
  <si>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</si>
  <si>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</si>
  <si>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</si>
  <si>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</si>
  <si>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</si>
  <si>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</si>
  <si>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</si>
  <si>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</si>
  <si>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</si>
  <si>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</si>
  <si>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</si>
  <si>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</si>
  <si>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</si>
  <si>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</si>
  <si>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</si>
  <si>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</si>
  <si>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</si>
  <si>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</si>
  <si>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</si>
  <si>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</si>
  <si>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Приложение 5</t>
  </si>
  <si>
    <t xml:space="preserve">Программа муниципальных внутренних заимствований </t>
  </si>
  <si>
    <t>1. Источники внутренних заимствований</t>
  </si>
  <si>
    <t>тыс.руб.</t>
  </si>
  <si>
    <t>Сумма,                 2013г.</t>
  </si>
  <si>
    <t>Сумма,                 2014г.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</si>
  <si>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</si>
  <si>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</si>
  <si>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</si>
  <si>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</si>
  <si>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</si>
  <si>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Сумма,                 2015г.</t>
  </si>
  <si>
    <t>Сумма, 2015 год
тыс. руб.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</si>
  <si>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</si>
  <si>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</si>
  <si>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</si>
  <si>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</si>
  <si>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</si>
  <si>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</si>
  <si>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</si>
  <si>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</si>
  <si>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</si>
  <si>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</si>
  <si>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</si>
  <si>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</si>
  <si>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</si>
  <si>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</si>
  <si>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</si>
  <si>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</si>
  <si>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</si>
  <si>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 xml:space="preserve">Муниципальная целевая программа "Безопасность учреждений культуры" на 2013-2015 годы </t>
  </si>
  <si>
    <t>Приложение 4</t>
  </si>
  <si>
    <t>Приложение 6</t>
  </si>
  <si>
    <t>Приложение 8</t>
  </si>
  <si>
    <t>Приложение 10</t>
  </si>
  <si>
    <t>Приложение 11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</si>
  <si>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</si>
  <si>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</si>
  <si>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</si>
  <si>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</si>
  <si>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</si>
  <si>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</si>
  <si>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</si>
  <si>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</si>
  <si>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 2014 год                 (тыс. руб.)</t>
  </si>
  <si>
    <t>НА 2014 ГОД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</si>
  <si>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</si>
  <si>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</si>
  <si>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</si>
  <si>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</si>
  <si>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</si>
  <si>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</si>
  <si>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</si>
  <si>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</si>
  <si>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</si>
  <si>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</si>
  <si>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</si>
  <si>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</si>
  <si>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</si>
  <si>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</si>
  <si>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</si>
  <si>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РАСПРЕДЕЛЕНИЕ БЮДЖЕТНЫХ АССИГНОВАНИЙ НА 2014 ГОД</t>
  </si>
  <si>
    <t>Расходы на оплату задолженности по договорам 2013 года</t>
  </si>
  <si>
    <t>655 00 10</t>
  </si>
  <si>
    <t>600</t>
  </si>
  <si>
    <t>477 82 00</t>
  </si>
  <si>
    <t>477 82 30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</si>
  <si>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</si>
  <si>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</si>
  <si>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</si>
  <si>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</si>
  <si>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</si>
  <si>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</si>
  <si>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</si>
  <si>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</si>
  <si>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</si>
  <si>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</si>
  <si>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</si>
  <si>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</si>
  <si>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</si>
  <si>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</si>
  <si>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</si>
  <si>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</si>
  <si>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</si>
  <si>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</si>
  <si>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</si>
  <si>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</si>
  <si>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</si>
  <si>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</si>
  <si>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</si>
  <si>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</si>
  <si>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</si>
  <si>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</si>
  <si>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</si>
  <si>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</si>
  <si>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</si>
  <si>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</si>
  <si>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</si>
  <si>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</si>
  <si>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</si>
  <si>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</si>
  <si>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</si>
  <si>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</si>
  <si>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</si>
  <si>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</si>
  <si>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</si>
  <si>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</si>
  <si>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</si>
  <si>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</si>
  <si>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</si>
  <si>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</si>
  <si>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</si>
  <si>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</si>
  <si>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</si>
  <si>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</si>
  <si>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</si>
  <si>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</si>
  <si>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</si>
  <si>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</si>
  <si>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</si>
  <si>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</si>
  <si>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</si>
  <si>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</si>
  <si>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</si>
  <si>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</si>
  <si>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</si>
  <si>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</si>
  <si>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 xml:space="preserve">Предоставление субсидий бюджетным,
автономным учреждениям и иным некоммерческим организациям
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</si>
  <si>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</si>
  <si>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</si>
  <si>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</si>
  <si>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</si>
  <si>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</si>
  <si>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</si>
  <si>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</si>
  <si>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</si>
  <si>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</si>
  <si>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</si>
  <si>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</si>
  <si>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</si>
  <si>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</si>
  <si>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</si>
  <si>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</si>
  <si>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</si>
  <si>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</si>
  <si>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</si>
  <si>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</si>
  <si>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</si>
  <si>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</si>
  <si>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</si>
  <si>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</si>
  <si>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</si>
  <si>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</si>
  <si>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</si>
  <si>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</si>
  <si>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</si>
  <si>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</si>
  <si>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</si>
  <si>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</si>
  <si>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</si>
  <si>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</si>
  <si>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</si>
  <si>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</si>
  <si>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</si>
  <si>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</si>
  <si>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</si>
  <si>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</si>
  <si>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</si>
  <si>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</si>
  <si>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</si>
  <si>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</si>
  <si>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</si>
  <si>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</si>
  <si>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на 2014 год  (тыс. руб.)</t>
  </si>
  <si>
    <t>Коды бюджетной  классификации</t>
  </si>
  <si>
    <t xml:space="preserve">на 2014 год </t>
  </si>
  <si>
    <t xml:space="preserve">от                     № </t>
  </si>
  <si>
    <t xml:space="preserve">Источники 
внутреннего финансирования дефицита бюджета Миасского  городского округа 
на 2014 год   </t>
  </si>
  <si>
    <t xml:space="preserve">от                         № </t>
  </si>
  <si>
    <t xml:space="preserve">Источники 
внутреннего финансирования дефицита бюджета Миасского  городского округа 
на на  плановый период 2015 и 2016 гг.  </t>
  </si>
  <si>
    <t>Сумма, 2016 год
тыс. руб.</t>
  </si>
  <si>
    <t>Сумма,                 2016г.</t>
  </si>
  <si>
    <t>на плановый период 2015 и 2016 гг.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</si>
  <si>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</si>
  <si>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</si>
  <si>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</si>
  <si>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</si>
  <si>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</si>
  <si>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</si>
  <si>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</si>
  <si>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Погашение бюджетами городских округов бюджетных кредитов от других бюджетов бюджетной системы Российской Федерации  в валюте Российской Федерации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</si>
  <si>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</si>
  <si>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</si>
  <si>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</si>
  <si>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Обеспечение деятельности  (оказание услуг) подведомственных казенных учреждений в области физической культуры и спорта</t>
  </si>
  <si>
    <t>Обеспечение деятельности (оказание услуг) подведомственных казенных учреждений в области физической культуры и спорта</t>
  </si>
  <si>
    <t>Охрана объектов растительного и животного мира и среды их обитания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</si>
  <si>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</si>
  <si>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</si>
  <si>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</si>
  <si>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</si>
  <si>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</si>
  <si>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471 82 24</t>
  </si>
  <si>
    <t>Муниципальная программа " Развитие здравоохранения Миасского городского округа на 2014 год и плановый период 2015 и 2016 годов"</t>
  </si>
  <si>
    <t>795 00 38</t>
  </si>
  <si>
    <t>001 59 30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</si>
  <si>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</si>
  <si>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</si>
  <si>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</si>
  <si>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</si>
  <si>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2011-2015гг.</t>
  </si>
  <si>
    <t>Подпрограмма "Оказание молодым семьям господдержки для улучшения жил.условий"</t>
  </si>
  <si>
    <t>522 19 14</t>
  </si>
  <si>
    <t>Субсидии гражданам на приобретение жилья</t>
  </si>
  <si>
    <t>Национальный проект "Доступное и комфортное жилье - гражданам России" на территории МГО на 2011-2015 гг.</t>
  </si>
  <si>
    <t>795 19 14</t>
  </si>
  <si>
    <t>795 00 79</t>
  </si>
  <si>
    <t>Озеленение</t>
  </si>
  <si>
    <t>600 03 00</t>
  </si>
  <si>
    <t>795 00 69</t>
  </si>
  <si>
    <t>Национальный проект "Доступное и комфортное жилье - гражданам России" на территории МГО на 2011-2015гг.</t>
  </si>
  <si>
    <t xml:space="preserve">Подпрограмма "Модернизация объектов коммунальной инфраструктуры" </t>
  </si>
  <si>
    <t>Бюджетные инвестиции в объекты капитального строительства государственной (муниципальной) собственности</t>
  </si>
  <si>
    <t>795 00 21</t>
  </si>
  <si>
    <t>303 02 00</t>
  </si>
  <si>
    <t>420 82 24</t>
  </si>
  <si>
    <t>420 82 20</t>
  </si>
  <si>
    <t>421 82 24</t>
  </si>
  <si>
    <t>421 82 20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</si>
  <si>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</si>
  <si>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</si>
  <si>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</si>
  <si>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</si>
  <si>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</si>
  <si>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</si>
  <si>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</si>
  <si>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color indexed="8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</si>
  <si>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</si>
  <si>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</si>
  <si>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</si>
  <si>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color indexed="8"/>
        <rFont val="Arial"/>
        <family val="2"/>
      </rPr>
      <t>*</t>
    </r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</si>
  <si>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</si>
  <si>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</si>
  <si>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</si>
  <si>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</si>
  <si>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</si>
  <si>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</si>
  <si>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</si>
  <si>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</si>
  <si>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</si>
  <si>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</si>
  <si>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</si>
  <si>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</si>
  <si>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</si>
  <si>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</si>
  <si>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</si>
  <si>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color indexed="8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</si>
  <si>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</si>
  <si>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color indexed="8"/>
        <rFont val="Arial"/>
        <family val="2"/>
      </rPr>
      <t>*</t>
    </r>
  </si>
  <si>
    <t>019</t>
  </si>
  <si>
    <r>
      <t>Министерство промышленности и природных ресурсов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</si>
  <si>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1 16 25010 01 0000 140</t>
  </si>
  <si>
    <t>Денежные взыскания (штрафы) за нарушение законодательства Российской Федерации о недрах</t>
  </si>
  <si>
    <t>034</t>
  </si>
  <si>
    <r>
      <t xml:space="preserve">Главное контрольное управление Челябинской области </t>
    </r>
    <r>
      <rPr>
        <b/>
        <sz val="14"/>
        <color indexed="8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</si>
  <si>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</si>
  <si>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</si>
  <si>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</si>
  <si>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>1 08 07083 01 0000 110</t>
  </si>
  <si>
    <t>Государственная пошлина за совершение действий, связанных с лицензированием, с проведением аттестации в  случаях, если такая аттестация предусмотрена законодательством Российской  Федерации, зачисляемая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</si>
  <si>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</si>
  <si>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</si>
  <si>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</si>
  <si>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</si>
  <si>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</si>
  <si>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</si>
  <si>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</si>
  <si>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</si>
  <si>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</si>
  <si>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</si>
  <si>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</si>
  <si>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</si>
  <si>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</si>
  <si>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</si>
  <si>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</si>
  <si>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</si>
  <si>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</si>
  <si>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</si>
  <si>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</si>
  <si>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</si>
  <si>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</si>
  <si>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</si>
  <si>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</si>
  <si>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</si>
  <si>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</si>
  <si>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</si>
  <si>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</si>
  <si>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</si>
  <si>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</si>
  <si>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</si>
  <si>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</si>
  <si>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</si>
  <si>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</si>
  <si>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</si>
  <si>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</si>
  <si>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</si>
  <si>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</si>
  <si>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</si>
  <si>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</si>
  <si>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</si>
  <si>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</si>
  <si>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</si>
  <si>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</si>
  <si>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</si>
  <si>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</si>
  <si>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</si>
  <si>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</si>
  <si>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</si>
  <si>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</si>
  <si>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</si>
  <si>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</si>
  <si>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</si>
  <si>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</si>
  <si>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</si>
  <si>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</si>
  <si>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</si>
  <si>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</si>
  <si>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</si>
  <si>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</si>
  <si>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</si>
  <si>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</si>
  <si>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</si>
  <si>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</si>
  <si>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</si>
  <si>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</si>
  <si>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</si>
  <si>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</si>
  <si>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</si>
  <si>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</si>
  <si>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</si>
  <si>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</si>
  <si>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</si>
  <si>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</si>
  <si>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</si>
  <si>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</si>
  <si>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</si>
  <si>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</si>
  <si>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</si>
  <si>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</si>
  <si>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</si>
  <si>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</si>
  <si>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</si>
  <si>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</si>
  <si>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</si>
  <si>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</si>
  <si>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</si>
  <si>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</si>
  <si>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</si>
  <si>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</si>
  <si>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</si>
  <si>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</si>
  <si>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</si>
  <si>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</si>
  <si>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</si>
  <si>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</si>
  <si>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</si>
  <si>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Муниципальное казенное учреждение Миасского городского округа "Образование"</t>
  </si>
  <si>
    <t>1 13 01994 04 0010 130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</si>
  <si>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</si>
  <si>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</si>
  <si>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</si>
  <si>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</si>
  <si>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</si>
  <si>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</si>
  <si>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</si>
  <si>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</si>
  <si>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</si>
  <si>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</si>
  <si>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</si>
  <si>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</si>
  <si>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</si>
  <si>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</si>
  <si>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</si>
  <si>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</si>
  <si>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</si>
  <si>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Собрание депутатов Миасского городского округа</t>
  </si>
  <si>
    <t>Контрольно-счетная палата Миасского городского округа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</si>
  <si>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</si>
  <si>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</si>
  <si>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</si>
  <si>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</si>
  <si>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</si>
  <si>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</si>
  <si>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</si>
  <si>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</si>
  <si>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</si>
  <si>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</si>
  <si>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</si>
  <si>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</si>
  <si>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</si>
  <si>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</si>
  <si>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</si>
  <si>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</si>
  <si>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</si>
  <si>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</si>
  <si>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</si>
  <si>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</si>
  <si>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</si>
  <si>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</si>
  <si>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</si>
  <si>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</si>
  <si>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</si>
  <si>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</si>
  <si>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</si>
  <si>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</si>
  <si>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</si>
  <si>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</si>
  <si>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</si>
  <si>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</si>
  <si>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</si>
  <si>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</si>
  <si>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</si>
  <si>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1 17 01040 04 0000 180</t>
  </si>
  <si>
    <t>Невыясненные поступления, зачисляемые в бюджеты городских округов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</si>
  <si>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</si>
  <si>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</si>
  <si>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</si>
  <si>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</si>
  <si>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t>1 17 12040 04 0000 180</t>
  </si>
  <si>
    <t>Целевые отчисления от лотерей городских округов</t>
  </si>
  <si>
    <t>1 17 14020 04 0000 180</t>
  </si>
  <si>
    <t>Средства самообложения граждан, зачисляемые в бюджеты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</si>
  <si>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</si>
  <si>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</si>
  <si>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</si>
  <si>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</si>
  <si>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</si>
  <si>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</si>
  <si>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</si>
  <si>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</si>
  <si>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</si>
  <si>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</si>
  <si>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</si>
  <si>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</si>
  <si>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</si>
  <si>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</si>
  <si>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</si>
  <si>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</si>
  <si>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</si>
  <si>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</si>
  <si>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</si>
  <si>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</si>
  <si>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</si>
  <si>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</si>
  <si>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</si>
  <si>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</si>
  <si>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</si>
  <si>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</si>
  <si>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</si>
  <si>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</si>
  <si>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</si>
  <si>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</si>
  <si>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</si>
  <si>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</si>
  <si>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</si>
  <si>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</si>
  <si>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</si>
  <si>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</si>
  <si>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</si>
  <si>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</si>
  <si>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</si>
  <si>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</si>
  <si>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</si>
  <si>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</si>
  <si>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</si>
  <si>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*</t>
    </r>
    <r>
      <rPr>
        <sz val="10"/>
        <color indexed="8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</si>
  <si>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Приложение 3</t>
  </si>
  <si>
    <t>Нормативы распределения доходов
в бюджет Миасского городского округа на 2014 год и 
на плановый период 2015 и 2016 годов</t>
  </si>
  <si>
    <t>(в процентах)</t>
  </si>
  <si>
    <t>Наименование дохода</t>
  </si>
  <si>
    <t>Бюджет Миасского городского округа</t>
  </si>
  <si>
    <t>В части погашения задолженности и перерасчетов по отмененным налогам, 
сборам и иным обязательным платежам</t>
  </si>
  <si>
    <t>Земельный налог  (по  обязательствам, возникшим до  1  января  2006  года), мобилизуемый на территориях городских округов</t>
  </si>
  <si>
    <t>Налог  на  рекламу,  мобилизуемый 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</si>
  <si>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</si>
  <si>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</si>
  <si>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В части доходов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</si>
  <si>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 средств бюджетов городских округов </t>
  </si>
  <si>
    <t>Доходы, поступающие в порядке возмещения расходов, понесенных в связи с эксплуатацией  имущества городских округов</t>
  </si>
  <si>
    <t>В части административных платежей и сборов</t>
  </si>
  <si>
    <t xml:space="preserve">Платежи, взимаемые органами местного самоуправления (организациями) городских округов за выполнение определенных функций    </t>
  </si>
  <si>
    <t>В части штрафов, санкций, возмещения ущерба</t>
  </si>
  <si>
    <t>В части прочих неналоговых доходов</t>
  </si>
  <si>
    <t>Возмещение потерь сельскохозяйственного производства, связанных с изъятием сельскохозяйственных угодий,  расположенных на территориях городских округов 
(по обязательствам, возникшим до 1 января 2008 года)</t>
  </si>
  <si>
    <t>Целевые отчисления от лоторей городских округов</t>
  </si>
  <si>
    <t>В части безвозмездных поступлений от других бюджетов бюджетной системы Российской Федерации</t>
  </si>
  <si>
    <t>Дотации бюджетам  городских округов</t>
  </si>
  <si>
    <t xml:space="preserve">Субсидии бюджетам городских округов </t>
  </si>
  <si>
    <t>Субвенции бюджетам  городских округов</t>
  </si>
  <si>
    <t>Иные межбюджетные трансферты, передаваемые бюджетам городских округов</t>
  </si>
  <si>
    <t>Прочие безвозмездные поступления от других бюджетов бюджетной системы</t>
  </si>
  <si>
    <t>В части безвозмездных поступлений от государственных (муниципальных) 
организаций</t>
  </si>
  <si>
    <t>Безвозмездные поступления от государственных (муниципальных) организаций в бюджеты городских округов</t>
  </si>
  <si>
    <t>В части безвозмездных поступлений от негосударственных организаций</t>
  </si>
  <si>
    <t>Безвозмездные поступления  от негосударственных организаций в бюджеты городских округов</t>
  </si>
  <si>
    <t xml:space="preserve">В части прочих безвозмездных поступлений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</si>
  <si>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</si>
  <si>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В части перечислений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</si>
  <si>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части доходов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</si>
  <si>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остатков, субсидий, субвенций и иных межбюджетных трансфертов, имеющих целевое назначение, прошлых лет</t>
  </si>
  <si>
    <t xml:space="preserve">Доходы бюджетов городских округов от возврата организациями остатков субсидий прошлых лет </t>
  </si>
  <si>
    <t>В части возврата остатков субсидий, субвенций и иных межбюджетных трансфертов, имеющих целевое назначение, прошлых лет</t>
  </si>
  <si>
    <t>Приложение 1</t>
  </si>
  <si>
    <t>Приложение  2</t>
  </si>
  <si>
    <t>Приложение 7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</si>
  <si>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</si>
  <si>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</si>
  <si>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421 82 59</t>
  </si>
  <si>
    <t>Муниципальная программа "Снижение административных барьеров, оптимизация и повышение качества государственных и муниицпальных услуг на базе Муниципального автономного учреждения "Многофункциональный центр предоставления государственных и муниципальных услуг" на 2014-2016 годы"</t>
  </si>
  <si>
    <t>Приложение к письму</t>
  </si>
  <si>
    <t>(тыс.рублей)</t>
  </si>
  <si>
    <t>№ п/п</t>
  </si>
  <si>
    <t>Наименование показателя</t>
  </si>
  <si>
    <t>1.</t>
  </si>
  <si>
    <t>ДОХОДЫ, всего</t>
  </si>
  <si>
    <t>из них: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</si>
  <si>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</si>
  <si>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</si>
  <si>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Другие доходы (безвозмездные поступления )</t>
  </si>
  <si>
    <t>РАСХОДЫ, всего</t>
  </si>
  <si>
    <t>Охрана окружающей среды</t>
  </si>
  <si>
    <t>3.</t>
  </si>
  <si>
    <t>Кроме того:</t>
  </si>
  <si>
    <t>Кредиты, предоставленные из областного бюджета</t>
  </si>
  <si>
    <t>Кредиты, предоставленные кредитными организациями</t>
  </si>
  <si>
    <t>Иные источники, предусмотренные решением  о бюджете</t>
  </si>
  <si>
    <t>Оценка ожидаемого исполнения бюджета Миасского городского округа в 2014 году</t>
  </si>
  <si>
    <t>Расчетные ожидаемые показатели на 2014 год</t>
  </si>
  <si>
    <t>Муниципальная программа  "Миасс - безопасный город" на 2014-2016 годы</t>
  </si>
  <si>
    <t>МП "Капитальное строительство на территории Миасского городского округа на 2014-2016 годы"</t>
  </si>
  <si>
    <t>Муниципальная программа "Капитальное строительство на территории Миасского городского округа на 2014-2016 годы"</t>
  </si>
  <si>
    <t>Муниципальная 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</si>
  <si>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Муниципальная программа "Снос и обрезка сухих, аварийных , больных деревьев, посадка деревьев и кустарников на территории МГО на 2011-2013 годы"</t>
  </si>
  <si>
    <t xml:space="preserve">Муниципальная программа улучшения водоснабжения частного сектора МГО на 2013 - 2015 годы  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</si>
  <si>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</si>
  <si>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МП по реализации НП "Доступное и комфортное жилье - гражданам России"  на территории МГО на 2014-2020 г.г.</t>
  </si>
  <si>
    <t>Подпрограмма "Оказание молодым семьям господдержки для улучшения жилищных условий"</t>
  </si>
  <si>
    <t>к  Решению Собрания депутатов</t>
  </si>
  <si>
    <t>от 28.03.2014 г. №7</t>
  </si>
  <si>
    <t>к Ррешению Собрания депутатов</t>
  </si>
  <si>
    <t>от  28.03.2014 г. №7</t>
  </si>
  <si>
    <t>к Решению Собрания</t>
  </si>
  <si>
    <t xml:space="preserve">от 28.03.2014 г. №7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</si>
</sst>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56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2" fillId="0" borderId="0" xfId="56" applyNumberFormat="1" applyFont="1" applyAlignment="1">
      <alignment horizontal="left"/>
      <protection/>
    </xf>
    <xf numFmtId="0" fontId="12" fillId="0" borderId="0" xfId="56" applyFont="1">
      <alignment/>
      <protection/>
    </xf>
    <xf numFmtId="0" fontId="0" fillId="0" borderId="0" xfId="0" applyFont="1" applyAlignment="1">
      <alignment horizontal="right"/>
    </xf>
    <xf numFmtId="0" fontId="9" fillId="0" borderId="0" xfId="56" applyFont="1" applyAlignment="1">
      <alignment/>
      <protection/>
    </xf>
    <xf numFmtId="0" fontId="12" fillId="0" borderId="0" xfId="56" applyFont="1" applyAlignment="1">
      <alignment/>
      <protection/>
    </xf>
    <xf numFmtId="0" fontId="16" fillId="0" borderId="0" xfId="56" applyFont="1" applyAlignment="1">
      <alignment horizontal="center" vertical="center" wrapText="1"/>
      <protection/>
    </xf>
    <xf numFmtId="49" fontId="14" fillId="0" borderId="15" xfId="56" applyNumberFormat="1" applyFont="1" applyBorder="1" applyAlignment="1">
      <alignment horizontal="left" vertical="center" wrapText="1"/>
      <protection/>
    </xf>
    <xf numFmtId="0" fontId="17" fillId="0" borderId="15" xfId="0" applyFont="1" applyBorder="1" applyAlignment="1">
      <alignment vertical="center" wrapText="1"/>
    </xf>
    <xf numFmtId="164" fontId="14" fillId="0" borderId="15" xfId="56" applyNumberFormat="1" applyFont="1" applyBorder="1" applyAlignment="1">
      <alignment vertical="center" wrapText="1"/>
      <protection/>
    </xf>
    <xf numFmtId="0" fontId="14" fillId="0" borderId="0" xfId="56" applyFont="1">
      <alignment/>
      <protection/>
    </xf>
    <xf numFmtId="49" fontId="7" fillId="0" borderId="15" xfId="56" applyNumberFormat="1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vertical="justify"/>
      <protection/>
    </xf>
    <xf numFmtId="164" fontId="7" fillId="0" borderId="15" xfId="56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 readingOrder="1"/>
    </xf>
    <xf numFmtId="0" fontId="7" fillId="0" borderId="0" xfId="56" applyFont="1">
      <alignment/>
      <protection/>
    </xf>
    <xf numFmtId="0" fontId="9" fillId="0" borderId="17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center" wrapText="1"/>
    </xf>
    <xf numFmtId="49" fontId="14" fillId="0" borderId="15" xfId="56" applyNumberFormat="1" applyFont="1" applyBorder="1" applyAlignment="1">
      <alignment horizontal="left" vertical="center"/>
      <protection/>
    </xf>
    <xf numFmtId="164" fontId="14" fillId="0" borderId="15" xfId="56" applyNumberFormat="1" applyFont="1" applyBorder="1" applyAlignment="1">
      <alignment vertical="center"/>
      <protection/>
    </xf>
    <xf numFmtId="49" fontId="7" fillId="0" borderId="15" xfId="56" applyNumberFormat="1" applyFont="1" applyBorder="1" applyAlignment="1">
      <alignment horizontal="left" vertical="center"/>
      <protection/>
    </xf>
    <xf numFmtId="0" fontId="9" fillId="0" borderId="15" xfId="0" applyFont="1" applyBorder="1" applyAlignment="1">
      <alignment vertical="justify"/>
    </xf>
    <xf numFmtId="164" fontId="7" fillId="0" borderId="15" xfId="56" applyNumberFormat="1" applyFont="1" applyBorder="1" applyAlignment="1">
      <alignment vertical="center"/>
      <protection/>
    </xf>
    <xf numFmtId="0" fontId="9" fillId="0" borderId="15" xfId="0" applyNumberFormat="1" applyFont="1" applyBorder="1" applyAlignment="1">
      <alignment vertical="justify"/>
    </xf>
    <xf numFmtId="0" fontId="9" fillId="0" borderId="15" xfId="0" applyFont="1" applyFill="1" applyBorder="1" applyAlignment="1">
      <alignment vertical="center" wrapText="1"/>
    </xf>
    <xf numFmtId="49" fontId="7" fillId="0" borderId="0" xfId="56" applyNumberFormat="1" applyFont="1" applyAlignment="1">
      <alignment horizontal="left"/>
      <protection/>
    </xf>
    <xf numFmtId="0" fontId="7" fillId="0" borderId="0" xfId="56" applyFont="1" applyAlignment="1">
      <alignment/>
      <protection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8" xfId="0" applyFont="1" applyFill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18" fillId="0" borderId="0" xfId="56" applyNumberFormat="1" applyFont="1" applyFill="1" applyAlignment="1">
      <alignment horizontal="left"/>
      <protection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4" fontId="10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0" applyFont="1" applyFill="1" applyAlignment="1">
      <alignment horizontal="right"/>
    </xf>
    <xf numFmtId="0" fontId="0" fillId="0" borderId="0" xfId="54" applyFont="1">
      <alignment/>
      <protection/>
    </xf>
    <xf numFmtId="0" fontId="0" fillId="0" borderId="0" xfId="0" applyFont="1" applyBorder="1" applyAlignment="1">
      <alignment/>
    </xf>
    <xf numFmtId="0" fontId="5" fillId="0" borderId="0" xfId="54" applyFont="1">
      <alignment/>
      <protection/>
    </xf>
    <xf numFmtId="0" fontId="3" fillId="0" borderId="0" xfId="54" applyFont="1">
      <alignment/>
      <protection/>
    </xf>
    <xf numFmtId="0" fontId="5" fillId="0" borderId="19" xfId="54" applyFont="1" applyBorder="1">
      <alignment/>
      <protection/>
    </xf>
    <xf numFmtId="0" fontId="5" fillId="0" borderId="20" xfId="54" applyFont="1" applyBorder="1" applyAlignment="1">
      <alignment horizontal="center" vertical="justify"/>
      <protection/>
    </xf>
    <xf numFmtId="0" fontId="5" fillId="0" borderId="21" xfId="54" applyFont="1" applyBorder="1" applyAlignment="1">
      <alignment horizontal="left" wrapText="1"/>
      <protection/>
    </xf>
    <xf numFmtId="164" fontId="5" fillId="0" borderId="22" xfId="54" applyNumberFormat="1" applyFont="1" applyBorder="1" applyAlignment="1">
      <alignment horizontal="center" vertical="center"/>
      <protection/>
    </xf>
    <xf numFmtId="0" fontId="5" fillId="0" borderId="23" xfId="54" applyFont="1" applyBorder="1" applyAlignment="1">
      <alignment horizontal="center"/>
      <protection/>
    </xf>
    <xf numFmtId="164" fontId="5" fillId="0" borderId="13" xfId="54" applyNumberFormat="1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/>
      <protection/>
    </xf>
    <xf numFmtId="0" fontId="5" fillId="0" borderId="20" xfId="54" applyFont="1" applyBorder="1" applyAlignment="1">
      <alignment horizontal="left" wrapText="1"/>
      <protection/>
    </xf>
    <xf numFmtId="164" fontId="5" fillId="0" borderId="20" xfId="54" applyNumberFormat="1" applyFont="1" applyBorder="1" applyAlignment="1">
      <alignment horizontal="center" vertical="center"/>
      <protection/>
    </xf>
    <xf numFmtId="0" fontId="5" fillId="0" borderId="25" xfId="54" applyFont="1" applyBorder="1" applyAlignment="1">
      <alignment wrapText="1"/>
      <protection/>
    </xf>
    <xf numFmtId="0" fontId="5" fillId="0" borderId="26" xfId="54" applyFont="1" applyBorder="1" applyAlignment="1">
      <alignment horizontal="center"/>
      <protection/>
    </xf>
    <xf numFmtId="164" fontId="5" fillId="0" borderId="14" xfId="54" applyNumberFormat="1" applyFont="1" applyBorder="1" applyAlignment="1">
      <alignment horizontal="center" vertical="center"/>
      <protection/>
    </xf>
    <xf numFmtId="0" fontId="5" fillId="0" borderId="20" xfId="54" applyFont="1" applyBorder="1">
      <alignment/>
      <protection/>
    </xf>
    <xf numFmtId="0" fontId="5" fillId="0" borderId="25" xfId="54" applyFont="1" applyBorder="1" applyAlignment="1">
      <alignment horizontal="center"/>
      <protection/>
    </xf>
    <xf numFmtId="164" fontId="5" fillId="0" borderId="27" xfId="5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9" fillId="0" borderId="0" xfId="56" applyFont="1" applyAlignment="1">
      <alignment wrapText="1"/>
      <protection/>
    </xf>
    <xf numFmtId="0" fontId="5" fillId="0" borderId="15" xfId="55" applyFont="1" applyBorder="1" applyAlignment="1">
      <alignment vertical="justify" wrapText="1"/>
      <protection/>
    </xf>
    <xf numFmtId="0" fontId="9" fillId="0" borderId="16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15" xfId="0" applyNumberFormat="1" applyFont="1" applyBorder="1" applyAlignment="1">
      <alignment vertical="justify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7" fillId="0" borderId="0" xfId="0" applyNumberFormat="1" applyFont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164" fontId="17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8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164" fontId="38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4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4" fillId="0" borderId="2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justify"/>
    </xf>
    <xf numFmtId="0" fontId="7" fillId="25" borderId="23" xfId="0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25" borderId="23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7" fillId="25" borderId="23" xfId="0" applyFont="1" applyFill="1" applyBorder="1" applyAlignment="1">
      <alignment vertical="center" wrapText="1"/>
    </xf>
    <xf numFmtId="0" fontId="6" fillId="25" borderId="23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6" fillId="25" borderId="23" xfId="0" applyFont="1" applyFill="1" applyBorder="1" applyAlignment="1">
      <alignment horizontal="left" vertical="center" wrapText="1"/>
    </xf>
    <xf numFmtId="0" fontId="6" fillId="25" borderId="28" xfId="0" applyFont="1" applyFill="1" applyBorder="1" applyAlignment="1">
      <alignment horizontal="justify"/>
    </xf>
    <xf numFmtId="0" fontId="6" fillId="25" borderId="28" xfId="0" applyFont="1" applyFill="1" applyBorder="1" applyAlignment="1">
      <alignment horizontal="left" wrapText="1"/>
    </xf>
    <xf numFmtId="43" fontId="7" fillId="0" borderId="0" xfId="0" applyNumberFormat="1" applyFont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49" fontId="7" fillId="25" borderId="15" xfId="0" applyNumberFormat="1" applyFont="1" applyFill="1" applyBorder="1" applyAlignment="1">
      <alignment horizontal="left" vertical="center" wrapText="1"/>
    </xf>
    <xf numFmtId="0" fontId="7" fillId="0" borderId="19" xfId="0" applyFont="1" applyBorder="1" applyAlignment="1">
      <alignment wrapText="1"/>
    </xf>
    <xf numFmtId="49" fontId="7" fillId="0" borderId="19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vertical="justify"/>
    </xf>
    <xf numFmtId="49" fontId="14" fillId="0" borderId="32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49" fontId="7" fillId="25" borderId="15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left" vertical="center" wrapText="1"/>
    </xf>
    <xf numFmtId="0" fontId="14" fillId="0" borderId="25" xfId="0" applyNumberFormat="1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justify"/>
    </xf>
    <xf numFmtId="0" fontId="7" fillId="0" borderId="33" xfId="0" applyFont="1" applyBorder="1" applyAlignment="1">
      <alignment/>
    </xf>
    <xf numFmtId="49" fontId="14" fillId="0" borderId="35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24" borderId="37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/>
    </xf>
    <xf numFmtId="49" fontId="14" fillId="0" borderId="37" xfId="0" applyNumberFormat="1" applyFont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14" fillId="24" borderId="37" xfId="0" applyNumberFormat="1" applyFont="1" applyFill="1" applyBorder="1" applyAlignment="1">
      <alignment horizontal="left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49" fontId="14" fillId="25" borderId="18" xfId="0" applyNumberFormat="1" applyFont="1" applyFill="1" applyBorder="1" applyAlignment="1">
      <alignment horizontal="left" vertical="center" wrapText="1"/>
    </xf>
    <xf numFmtId="49" fontId="40" fillId="25" borderId="18" xfId="0" applyNumberFormat="1" applyFont="1" applyFill="1" applyBorder="1" applyAlignment="1">
      <alignment horizontal="left" vertical="center" wrapText="1"/>
    </xf>
    <xf numFmtId="49" fontId="7" fillId="25" borderId="18" xfId="0" applyNumberFormat="1" applyFont="1" applyFill="1" applyBorder="1" applyAlignment="1">
      <alignment horizontal="left"/>
    </xf>
    <xf numFmtId="49" fontId="14" fillId="0" borderId="38" xfId="0" applyNumberFormat="1" applyFont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6" fillId="25" borderId="28" xfId="0" applyFont="1" applyFill="1" applyBorder="1" applyAlignment="1">
      <alignment wrapText="1"/>
    </xf>
    <xf numFmtId="165" fontId="42" fillId="0" borderId="40" xfId="64" applyNumberFormat="1" applyFont="1" applyFill="1" applyBorder="1" applyAlignment="1">
      <alignment horizontal="center"/>
    </xf>
    <xf numFmtId="165" fontId="41" fillId="0" borderId="41" xfId="0" applyNumberFormat="1" applyFont="1" applyFill="1" applyBorder="1" applyAlignment="1">
      <alignment horizontal="center" vertical="center"/>
    </xf>
    <xf numFmtId="165" fontId="42" fillId="0" borderId="40" xfId="0" applyNumberFormat="1" applyFont="1" applyFill="1" applyBorder="1" applyAlignment="1">
      <alignment horizontal="center" vertical="center" wrapText="1"/>
    </xf>
    <xf numFmtId="165" fontId="42" fillId="0" borderId="40" xfId="0" applyNumberFormat="1" applyFont="1" applyFill="1" applyBorder="1" applyAlignment="1">
      <alignment horizontal="center" vertical="center"/>
    </xf>
    <xf numFmtId="165" fontId="41" fillId="0" borderId="40" xfId="0" applyNumberFormat="1" applyFont="1" applyFill="1" applyBorder="1" applyAlignment="1">
      <alignment horizontal="center" vertical="center"/>
    </xf>
    <xf numFmtId="165" fontId="42" fillId="25" borderId="40" xfId="64" applyNumberFormat="1" applyFont="1" applyFill="1" applyBorder="1" applyAlignment="1">
      <alignment horizontal="center"/>
    </xf>
    <xf numFmtId="165" fontId="42" fillId="0" borderId="40" xfId="0" applyNumberFormat="1" applyFont="1" applyBorder="1" applyAlignment="1">
      <alignment horizontal="center"/>
    </xf>
    <xf numFmtId="165" fontId="42" fillId="25" borderId="40" xfId="0" applyNumberFormat="1" applyFont="1" applyFill="1" applyBorder="1" applyAlignment="1">
      <alignment horizontal="center" vertical="center" wrapText="1"/>
    </xf>
    <xf numFmtId="165" fontId="42" fillId="25" borderId="40" xfId="0" applyNumberFormat="1" applyFont="1" applyFill="1" applyBorder="1" applyAlignment="1">
      <alignment horizontal="center" vertical="center"/>
    </xf>
    <xf numFmtId="165" fontId="41" fillId="0" borderId="40" xfId="0" applyNumberFormat="1" applyFont="1" applyFill="1" applyBorder="1" applyAlignment="1">
      <alignment horizontal="center" vertical="center" wrapText="1"/>
    </xf>
    <xf numFmtId="165" fontId="42" fillId="25" borderId="40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49" fontId="7" fillId="0" borderId="44" xfId="0" applyNumberFormat="1" applyFont="1" applyBorder="1" applyAlignment="1">
      <alignment horizontal="left" vertical="justify"/>
    </xf>
    <xf numFmtId="0" fontId="7" fillId="0" borderId="45" xfId="0" applyFont="1" applyBorder="1" applyAlignment="1">
      <alignment horizontal="left" vertical="justify"/>
    </xf>
    <xf numFmtId="49" fontId="14" fillId="0" borderId="46" xfId="0" applyNumberFormat="1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 vertical="justify"/>
    </xf>
    <xf numFmtId="49" fontId="7" fillId="25" borderId="37" xfId="0" applyNumberFormat="1" applyFont="1" applyFill="1" applyBorder="1" applyAlignment="1">
      <alignment horizontal="left"/>
    </xf>
    <xf numFmtId="49" fontId="14" fillId="0" borderId="18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37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left" wrapText="1"/>
    </xf>
    <xf numFmtId="186" fontId="7" fillId="0" borderId="37" xfId="64" applyNumberFormat="1" applyFont="1" applyFill="1" applyBorder="1" applyAlignment="1">
      <alignment horizontal="left"/>
    </xf>
    <xf numFmtId="49" fontId="7" fillId="25" borderId="15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25" borderId="23" xfId="0" applyFont="1" applyFill="1" applyBorder="1" applyAlignment="1">
      <alignment horizontal="left" vertical="justify" wrapText="1"/>
    </xf>
    <xf numFmtId="0" fontId="7" fillId="25" borderId="23" xfId="0" applyNumberFormat="1" applyFont="1" applyFill="1" applyBorder="1" applyAlignment="1">
      <alignment horizontal="left" vertical="center" wrapText="1"/>
    </xf>
    <xf numFmtId="49" fontId="40" fillId="25" borderId="18" xfId="0" applyNumberFormat="1" applyFont="1" applyFill="1" applyBorder="1" applyAlignment="1">
      <alignment horizontal="left"/>
    </xf>
    <xf numFmtId="0" fontId="7" fillId="0" borderId="3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49" fontId="7" fillId="25" borderId="37" xfId="0" applyNumberFormat="1" applyFont="1" applyFill="1" applyBorder="1" applyAlignment="1">
      <alignment horizontal="left" vertical="center" wrapText="1"/>
    </xf>
    <xf numFmtId="0" fontId="6" fillId="25" borderId="28" xfId="0" applyFont="1" applyFill="1" applyBorder="1" applyAlignment="1">
      <alignment horizontal="left"/>
    </xf>
    <xf numFmtId="49" fontId="6" fillId="25" borderId="18" xfId="0" applyNumberFormat="1" applyFont="1" applyFill="1" applyBorder="1" applyAlignment="1">
      <alignment horizontal="left"/>
    </xf>
    <xf numFmtId="0" fontId="6" fillId="25" borderId="37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justify" wrapText="1"/>
    </xf>
    <xf numFmtId="165" fontId="41" fillId="0" borderId="50" xfId="0" applyNumberFormat="1" applyFont="1" applyFill="1" applyBorder="1" applyAlignment="1">
      <alignment horizontal="center" vertical="center" wrapText="1"/>
    </xf>
    <xf numFmtId="165" fontId="41" fillId="0" borderId="41" xfId="0" applyNumberFormat="1" applyFont="1" applyFill="1" applyBorder="1" applyAlignment="1">
      <alignment horizontal="center" vertical="center" wrapText="1"/>
    </xf>
    <xf numFmtId="165" fontId="41" fillId="0" borderId="51" xfId="0" applyNumberFormat="1" applyFont="1" applyFill="1" applyBorder="1" applyAlignment="1">
      <alignment horizontal="center" vertical="center" wrapText="1"/>
    </xf>
    <xf numFmtId="165" fontId="5" fillId="0" borderId="0" xfId="54" applyNumberFormat="1" applyFont="1">
      <alignment/>
      <protection/>
    </xf>
    <xf numFmtId="164" fontId="14" fillId="0" borderId="15" xfId="56" applyNumberFormat="1" applyFont="1" applyBorder="1" applyAlignment="1">
      <alignment horizontal="center" vertical="center" wrapText="1"/>
      <protection/>
    </xf>
    <xf numFmtId="164" fontId="7" fillId="0" borderId="15" xfId="56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1" fillId="0" borderId="0" xfId="56" applyFont="1" applyAlignment="1">
      <alignment/>
      <protection/>
    </xf>
    <xf numFmtId="0" fontId="44" fillId="0" borderId="0" xfId="56" applyFont="1" applyAlignment="1">
      <alignment horizontal="center" vertical="center" wrapText="1"/>
      <protection/>
    </xf>
    <xf numFmtId="164" fontId="7" fillId="0" borderId="0" xfId="56" applyNumberFormat="1" applyFont="1">
      <alignment/>
      <protection/>
    </xf>
    <xf numFmtId="49" fontId="9" fillId="0" borderId="15" xfId="0" applyNumberFormat="1" applyFont="1" applyBorder="1" applyAlignment="1">
      <alignment horizontal="left" vertical="justify"/>
    </xf>
    <xf numFmtId="0" fontId="7" fillId="0" borderId="23" xfId="0" applyFont="1" applyFill="1" applyBorder="1" applyAlignment="1">
      <alignment vertical="center" wrapText="1"/>
    </xf>
    <xf numFmtId="0" fontId="5" fillId="0" borderId="15" xfId="55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49" fontId="7" fillId="0" borderId="52" xfId="0" applyNumberFormat="1" applyFont="1" applyBorder="1" applyAlignment="1">
      <alignment horizontal="left" vertical="center" wrapText="1"/>
    </xf>
    <xf numFmtId="49" fontId="7" fillId="0" borderId="45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165" fontId="42" fillId="0" borderId="4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0" fontId="7" fillId="25" borderId="2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/>
    </xf>
    <xf numFmtId="164" fontId="41" fillId="0" borderId="5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6" fillId="25" borderId="0" xfId="0" applyFont="1" applyFill="1" applyAlignment="1">
      <alignment horizontal="center" vertical="center" wrapText="1"/>
    </xf>
    <xf numFmtId="0" fontId="46" fillId="25" borderId="0" xfId="0" applyFont="1" applyFill="1" applyAlignment="1">
      <alignment horizontal="right" vertical="center" wrapText="1"/>
    </xf>
    <xf numFmtId="0" fontId="46" fillId="25" borderId="0" xfId="0" applyFont="1" applyFill="1" applyAlignment="1">
      <alignment/>
    </xf>
    <xf numFmtId="0" fontId="46" fillId="25" borderId="0" xfId="0" applyFont="1" applyFill="1" applyAlignment="1">
      <alignment horizontal="right" vertical="center"/>
    </xf>
    <xf numFmtId="0" fontId="47" fillId="25" borderId="0" xfId="0" applyFont="1" applyFill="1" applyAlignment="1">
      <alignment horizontal="right" vertical="center" wrapText="1"/>
    </xf>
    <xf numFmtId="0" fontId="46" fillId="25" borderId="15" xfId="0" applyFont="1" applyFill="1" applyBorder="1" applyAlignment="1">
      <alignment horizontal="center" vertical="center" wrapText="1"/>
    </xf>
    <xf numFmtId="0" fontId="47" fillId="25" borderId="15" xfId="0" applyFont="1" applyFill="1" applyBorder="1" applyAlignment="1">
      <alignment horizontal="left" vertical="center" wrapText="1"/>
    </xf>
    <xf numFmtId="49" fontId="46" fillId="25" borderId="54" xfId="0" applyNumberFormat="1" applyFont="1" applyFill="1" applyBorder="1" applyAlignment="1">
      <alignment horizontal="center" vertical="center" wrapText="1"/>
    </xf>
    <xf numFmtId="49" fontId="46" fillId="25" borderId="15" xfId="0" applyNumberFormat="1" applyFont="1" applyFill="1" applyBorder="1" applyAlignment="1">
      <alignment horizontal="center" vertical="center" wrapText="1"/>
    </xf>
    <xf numFmtId="0" fontId="46" fillId="25" borderId="15" xfId="0" applyFont="1" applyFill="1" applyBorder="1" applyAlignment="1">
      <alignment vertical="center" wrapText="1"/>
    </xf>
    <xf numFmtId="0" fontId="46" fillId="25" borderId="15" xfId="0" applyFont="1" applyFill="1" applyBorder="1" applyAlignment="1">
      <alignment horizontal="left" vertical="center" wrapText="1"/>
    </xf>
    <xf numFmtId="0" fontId="47" fillId="25" borderId="15" xfId="0" applyFont="1" applyFill="1" applyBorder="1" applyAlignment="1">
      <alignment vertical="center" wrapText="1"/>
    </xf>
    <xf numFmtId="0" fontId="46" fillId="25" borderId="0" xfId="0" applyFont="1" applyFill="1" applyAlignment="1">
      <alignment vertical="center"/>
    </xf>
    <xf numFmtId="0" fontId="47" fillId="25" borderId="0" xfId="0" applyFont="1" applyFill="1" applyAlignment="1">
      <alignment/>
    </xf>
    <xf numFmtId="0" fontId="46" fillId="25" borderId="15" xfId="0" applyNumberFormat="1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vertical="center" wrapText="1"/>
    </xf>
    <xf numFmtId="0" fontId="1" fillId="25" borderId="0" xfId="0" applyFont="1" applyFill="1" applyAlignment="1">
      <alignment/>
    </xf>
    <xf numFmtId="49" fontId="49" fillId="25" borderId="15" xfId="0" applyNumberFormat="1" applyFont="1" applyFill="1" applyBorder="1" applyAlignment="1">
      <alignment horizontal="center" vertical="center" wrapText="1"/>
    </xf>
    <xf numFmtId="49" fontId="46" fillId="25" borderId="15" xfId="0" applyNumberFormat="1" applyFont="1" applyFill="1" applyBorder="1" applyAlignment="1">
      <alignment horizontal="left" vertical="center" wrapText="1"/>
    </xf>
    <xf numFmtId="49" fontId="0" fillId="25" borderId="15" xfId="0" applyNumberFormat="1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left" vertical="center" wrapText="1"/>
    </xf>
    <xf numFmtId="0" fontId="55" fillId="25" borderId="15" xfId="0" applyFont="1" applyFill="1" applyBorder="1" applyAlignment="1">
      <alignment vertical="center" wrapText="1"/>
    </xf>
    <xf numFmtId="0" fontId="46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9" fontId="55" fillId="25" borderId="15" xfId="0" applyNumberFormat="1" applyFont="1" applyFill="1" applyBorder="1" applyAlignment="1">
      <alignment horizontal="center" vertical="center" wrapText="1"/>
    </xf>
    <xf numFmtId="0" fontId="55" fillId="25" borderId="0" xfId="0" applyFont="1" applyFill="1" applyAlignment="1">
      <alignment/>
    </xf>
    <xf numFmtId="0" fontId="50" fillId="25" borderId="0" xfId="0" applyFont="1" applyFill="1" applyAlignment="1">
      <alignment/>
    </xf>
    <xf numFmtId="0" fontId="1" fillId="25" borderId="15" xfId="0" applyFont="1" applyFill="1" applyBorder="1" applyAlignment="1">
      <alignment vertical="center"/>
    </xf>
    <xf numFmtId="49" fontId="47" fillId="25" borderId="15" xfId="0" applyNumberFormat="1" applyFont="1" applyFill="1" applyBorder="1" applyAlignment="1">
      <alignment horizontal="left" vertical="center" wrapText="1"/>
    </xf>
    <xf numFmtId="0" fontId="1" fillId="25" borderId="15" xfId="0" applyNumberFormat="1" applyFont="1" applyFill="1" applyBorder="1" applyAlignment="1">
      <alignment vertical="center" wrapText="1"/>
    </xf>
    <xf numFmtId="0" fontId="1" fillId="25" borderId="54" xfId="0" applyFont="1" applyFill="1" applyBorder="1" applyAlignment="1">
      <alignment horizontal="center" vertical="center" wrapText="1"/>
    </xf>
    <xf numFmtId="0" fontId="46" fillId="25" borderId="54" xfId="0" applyFont="1" applyFill="1" applyBorder="1" applyAlignment="1">
      <alignment horizontal="center" vertical="center" wrapText="1"/>
    </xf>
    <xf numFmtId="0" fontId="46" fillId="25" borderId="0" xfId="0" applyFont="1" applyFill="1" applyAlignment="1">
      <alignment vertical="center" wrapText="1"/>
    </xf>
    <xf numFmtId="0" fontId="1" fillId="25" borderId="0" xfId="53" applyFont="1" applyFill="1" applyAlignment="1">
      <alignment horizontal="center" vertical="center"/>
      <protection/>
    </xf>
    <xf numFmtId="0" fontId="1" fillId="25" borderId="0" xfId="53" applyFont="1" applyFill="1" applyAlignment="1">
      <alignment horizontal="right" vertical="center"/>
      <protection/>
    </xf>
    <xf numFmtId="0" fontId="9" fillId="25" borderId="0" xfId="53" applyFont="1" applyFill="1" applyAlignment="1">
      <alignment horizontal="center" vertical="center"/>
      <protection/>
    </xf>
    <xf numFmtId="0" fontId="2" fillId="25" borderId="0" xfId="53" applyFont="1" applyFill="1" applyAlignment="1">
      <alignment horizontal="center" vertical="center" wrapText="1"/>
      <protection/>
    </xf>
    <xf numFmtId="0" fontId="0" fillId="25" borderId="0" xfId="53" applyFont="1" applyFill="1" applyAlignment="1">
      <alignment horizontal="center" vertical="center" wrapText="1"/>
      <protection/>
    </xf>
    <xf numFmtId="0" fontId="1" fillId="25" borderId="15" xfId="53" applyFont="1" applyFill="1" applyBorder="1" applyAlignment="1">
      <alignment horizontal="center" vertical="center" wrapText="1"/>
      <protection/>
    </xf>
    <xf numFmtId="0" fontId="1" fillId="25" borderId="15" xfId="53" applyFont="1" applyFill="1" applyBorder="1" applyAlignment="1">
      <alignment horizontal="left" vertical="center" wrapText="1"/>
      <protection/>
    </xf>
    <xf numFmtId="0" fontId="55" fillId="25" borderId="15" xfId="53" applyFont="1" applyFill="1" applyBorder="1" applyAlignment="1">
      <alignment horizontal="left" vertical="center" wrapText="1"/>
      <protection/>
    </xf>
    <xf numFmtId="0" fontId="1" fillId="25" borderId="15" xfId="53" applyFont="1" applyFill="1" applyBorder="1" applyAlignment="1">
      <alignment vertical="center" wrapText="1"/>
      <protection/>
    </xf>
    <xf numFmtId="164" fontId="43" fillId="0" borderId="40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25" borderId="23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165" fontId="43" fillId="0" borderId="40" xfId="64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/>
    </xf>
    <xf numFmtId="164" fontId="5" fillId="0" borderId="40" xfId="0" applyNumberFormat="1" applyFont="1" applyFill="1" applyBorder="1" applyAlignment="1">
      <alignment horizontal="center" vertical="center" wrapText="1"/>
    </xf>
    <xf numFmtId="164" fontId="5" fillId="0" borderId="40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left"/>
    </xf>
    <xf numFmtId="0" fontId="7" fillId="0" borderId="53" xfId="0" applyFont="1" applyBorder="1" applyAlignment="1">
      <alignment horizontal="left" vertical="justify" wrapText="1"/>
    </xf>
    <xf numFmtId="49" fontId="4" fillId="0" borderId="18" xfId="0" applyNumberFormat="1" applyFont="1" applyFill="1" applyBorder="1" applyAlignment="1">
      <alignment horizontal="left"/>
    </xf>
    <xf numFmtId="49" fontId="4" fillId="0" borderId="37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top" wrapText="1"/>
    </xf>
    <xf numFmtId="49" fontId="7" fillId="0" borderId="37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justify" vertical="top" wrapText="1"/>
    </xf>
    <xf numFmtId="49" fontId="4" fillId="0" borderId="37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 vertical="center" wrapText="1"/>
    </xf>
    <xf numFmtId="49" fontId="45" fillId="24" borderId="18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45" fillId="0" borderId="18" xfId="0" applyNumberFormat="1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vertical="justify"/>
    </xf>
    <xf numFmtId="49" fontId="14" fillId="0" borderId="25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Border="1" applyAlignment="1">
      <alignment horizontal="center" vertical="center" wrapText="1"/>
    </xf>
    <xf numFmtId="49" fontId="7" fillId="25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40" fillId="0" borderId="23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left" vertical="top" wrapText="1"/>
    </xf>
    <xf numFmtId="49" fontId="7" fillId="0" borderId="54" xfId="0" applyNumberFormat="1" applyFont="1" applyBorder="1" applyAlignment="1">
      <alignment horizontal="justify" vertical="top" wrapText="1"/>
    </xf>
    <xf numFmtId="49" fontId="7" fillId="0" borderId="54" xfId="0" applyNumberFormat="1" applyFont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top" wrapText="1"/>
    </xf>
    <xf numFmtId="49" fontId="14" fillId="25" borderId="23" xfId="0" applyNumberFormat="1" applyFont="1" applyFill="1" applyBorder="1" applyAlignment="1">
      <alignment horizontal="center" vertical="center" wrapText="1"/>
    </xf>
    <xf numFmtId="49" fontId="45" fillId="0" borderId="54" xfId="0" applyNumberFormat="1" applyFont="1" applyBorder="1" applyAlignment="1">
      <alignment horizontal="left" vertical="center" wrapText="1"/>
    </xf>
    <xf numFmtId="49" fontId="7" fillId="25" borderId="23" xfId="0" applyNumberFormat="1" applyFont="1" applyFill="1" applyBorder="1" applyAlignment="1">
      <alignment horizontal="center" vertical="center" wrapText="1"/>
    </xf>
    <xf numFmtId="49" fontId="40" fillId="25" borderId="23" xfId="0" applyNumberFormat="1" applyFont="1" applyFill="1" applyBorder="1" applyAlignment="1">
      <alignment horizontal="center" vertical="center" wrapText="1"/>
    </xf>
    <xf numFmtId="49" fontId="6" fillId="25" borderId="23" xfId="0" applyNumberFormat="1" applyFont="1" applyFill="1" applyBorder="1" applyAlignment="1">
      <alignment horizontal="center"/>
    </xf>
    <xf numFmtId="49" fontId="6" fillId="25" borderId="23" xfId="0" applyNumberFormat="1" applyFont="1" applyFill="1" applyBorder="1" applyAlignment="1">
      <alignment horizontal="left"/>
    </xf>
    <xf numFmtId="49" fontId="14" fillId="25" borderId="23" xfId="0" applyNumberFormat="1" applyFont="1" applyFill="1" applyBorder="1" applyAlignment="1">
      <alignment horizontal="left" vertical="center" wrapText="1"/>
    </xf>
    <xf numFmtId="49" fontId="45" fillId="24" borderId="54" xfId="0" applyNumberFormat="1" applyFont="1" applyFill="1" applyBorder="1" applyAlignment="1">
      <alignment horizontal="left" vertical="center" wrapText="1"/>
    </xf>
    <xf numFmtId="49" fontId="45" fillId="0" borderId="55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25" borderId="23" xfId="0" applyNumberFormat="1" applyFont="1" applyFill="1" applyBorder="1" applyAlignment="1">
      <alignment horizontal="left"/>
    </xf>
    <xf numFmtId="49" fontId="8" fillId="0" borderId="54" xfId="0" applyNumberFormat="1" applyFont="1" applyBorder="1" applyAlignment="1">
      <alignment horizontal="left" vertical="center" wrapText="1"/>
    </xf>
    <xf numFmtId="49" fontId="40" fillId="25" borderId="23" xfId="0" applyNumberFormat="1" applyFont="1" applyFill="1" applyBorder="1" applyAlignment="1">
      <alignment horizontal="center"/>
    </xf>
    <xf numFmtId="49" fontId="40" fillId="25" borderId="23" xfId="0" applyNumberFormat="1" applyFont="1" applyFill="1" applyBorder="1" applyAlignment="1">
      <alignment horizontal="left"/>
    </xf>
    <xf numFmtId="49" fontId="14" fillId="0" borderId="3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vertical="justify"/>
    </xf>
    <xf numFmtId="49" fontId="7" fillId="0" borderId="18" xfId="0" applyNumberFormat="1" applyFont="1" applyFill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14" fillId="0" borderId="38" xfId="0" applyNumberFormat="1" applyFont="1" applyFill="1" applyBorder="1" applyAlignment="1">
      <alignment horizontal="left" vertical="center" wrapText="1"/>
    </xf>
    <xf numFmtId="49" fontId="0" fillId="0" borderId="29" xfId="0" applyNumberFormat="1" applyBorder="1" applyAlignment="1">
      <alignment/>
    </xf>
    <xf numFmtId="0" fontId="5" fillId="0" borderId="10" xfId="54" applyFont="1" applyBorder="1">
      <alignment/>
      <protection/>
    </xf>
    <xf numFmtId="0" fontId="5" fillId="0" borderId="22" xfId="54" applyFont="1" applyBorder="1" applyAlignment="1">
      <alignment horizontal="left" wrapText="1"/>
      <protection/>
    </xf>
    <xf numFmtId="0" fontId="5" fillId="0" borderId="13" xfId="54" applyFont="1" applyBorder="1" applyAlignment="1">
      <alignment horizontal="center"/>
      <protection/>
    </xf>
    <xf numFmtId="0" fontId="5" fillId="0" borderId="27" xfId="54" applyFont="1" applyBorder="1" applyAlignment="1">
      <alignment horizontal="center"/>
      <protection/>
    </xf>
    <xf numFmtId="0" fontId="5" fillId="0" borderId="12" xfId="54" applyFont="1" applyBorder="1" applyAlignment="1">
      <alignment wrapText="1"/>
      <protection/>
    </xf>
    <xf numFmtId="0" fontId="5" fillId="0" borderId="14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 horizontal="right"/>
    </xf>
    <xf numFmtId="0" fontId="51" fillId="0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3" fillId="0" borderId="15" xfId="0" applyFont="1" applyFill="1" applyBorder="1" applyAlignment="1">
      <alignment horizontal="center" wrapText="1"/>
    </xf>
    <xf numFmtId="0" fontId="53" fillId="0" borderId="15" xfId="0" applyFont="1" applyFill="1" applyBorder="1" applyAlignment="1">
      <alignment horizontal="center" vertical="center" wrapText="1"/>
    </xf>
    <xf numFmtId="164" fontId="53" fillId="0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 horizontal="left" vertical="center" wrapText="1"/>
    </xf>
    <xf numFmtId="164" fontId="51" fillId="0" borderId="15" xfId="0" applyNumberFormat="1" applyFont="1" applyFill="1" applyBorder="1" applyAlignment="1">
      <alignment/>
    </xf>
    <xf numFmtId="0" fontId="51" fillId="0" borderId="15" xfId="0" applyFont="1" applyFill="1" applyBorder="1" applyAlignment="1">
      <alignment horizontal="center" wrapText="1"/>
    </xf>
    <xf numFmtId="0" fontId="51" fillId="0" borderId="15" xfId="0" applyFont="1" applyFill="1" applyBorder="1" applyAlignment="1">
      <alignment wrapText="1"/>
    </xf>
    <xf numFmtId="49" fontId="51" fillId="0" borderId="54" xfId="0" applyNumberFormat="1" applyFont="1" applyFill="1" applyBorder="1" applyAlignment="1">
      <alignment horizontal="left" vertical="center" wrapText="1"/>
    </xf>
    <xf numFmtId="164" fontId="51" fillId="0" borderId="0" xfId="0" applyNumberFormat="1" applyFont="1" applyAlignment="1">
      <alignment/>
    </xf>
    <xf numFmtId="49" fontId="51" fillId="0" borderId="15" xfId="0" applyNumberFormat="1" applyFont="1" applyBorder="1" applyAlignment="1" applyProtection="1">
      <alignment horizontal="left" vertical="center" wrapText="1"/>
      <protection locked="0"/>
    </xf>
    <xf numFmtId="164" fontId="53" fillId="0" borderId="15" xfId="0" applyNumberFormat="1" applyFont="1" applyFill="1" applyBorder="1" applyAlignment="1">
      <alignment/>
    </xf>
    <xf numFmtId="0" fontId="53" fillId="0" borderId="0" xfId="0" applyFont="1" applyAlignment="1">
      <alignment vertical="center"/>
    </xf>
    <xf numFmtId="49" fontId="51" fillId="0" borderId="15" xfId="0" applyNumberFormat="1" applyFont="1" applyBorder="1" applyAlignment="1">
      <alignment horizontal="left" vertical="center" wrapText="1"/>
    </xf>
    <xf numFmtId="4" fontId="51" fillId="0" borderId="15" xfId="0" applyNumberFormat="1" applyFont="1" applyBorder="1" applyAlignment="1">
      <alignment horizontal="right" vertical="center" wrapText="1"/>
    </xf>
    <xf numFmtId="0" fontId="53" fillId="0" borderId="15" xfId="0" applyFont="1" applyFill="1" applyBorder="1" applyAlignment="1">
      <alignment wrapText="1"/>
    </xf>
    <xf numFmtId="0" fontId="51" fillId="0" borderId="15" xfId="0" applyFont="1" applyBorder="1" applyAlignment="1">
      <alignment horizontal="left" vertical="center" wrapText="1"/>
    </xf>
    <xf numFmtId="0" fontId="50" fillId="25" borderId="54" xfId="53" applyFont="1" applyFill="1" applyBorder="1" applyAlignment="1">
      <alignment horizontal="left" vertical="center" wrapText="1"/>
      <protection/>
    </xf>
    <xf numFmtId="0" fontId="50" fillId="25" borderId="16" xfId="53" applyFont="1" applyFill="1" applyBorder="1" applyAlignment="1">
      <alignment horizontal="left" vertical="center" wrapText="1"/>
      <protection/>
    </xf>
    <xf numFmtId="49" fontId="50" fillId="25" borderId="54" xfId="53" applyNumberFormat="1" applyFont="1" applyFill="1" applyBorder="1" applyAlignment="1">
      <alignment horizontal="left" vertical="center" wrapText="1"/>
      <protection/>
    </xf>
    <xf numFmtId="49" fontId="50" fillId="25" borderId="16" xfId="53" applyNumberFormat="1" applyFont="1" applyFill="1" applyBorder="1" applyAlignment="1">
      <alignment horizontal="left" vertical="center" wrapText="1"/>
      <protection/>
    </xf>
    <xf numFmtId="49" fontId="50" fillId="25" borderId="15" xfId="53" applyNumberFormat="1" applyFont="1" applyFill="1" applyBorder="1" applyAlignment="1">
      <alignment horizontal="left" vertical="center" wrapText="1"/>
      <protection/>
    </xf>
    <xf numFmtId="0" fontId="50" fillId="25" borderId="15" xfId="53" applyFont="1" applyFill="1" applyBorder="1" applyAlignment="1">
      <alignment horizontal="left" vertical="center" wrapText="1"/>
      <protection/>
    </xf>
    <xf numFmtId="0" fontId="3" fillId="25" borderId="0" xfId="53" applyFont="1" applyFill="1" applyAlignment="1">
      <alignment horizontal="center" vertical="center" wrapText="1"/>
      <protection/>
    </xf>
    <xf numFmtId="49" fontId="47" fillId="25" borderId="54" xfId="0" applyNumberFormat="1" applyFont="1" applyFill="1" applyBorder="1" applyAlignment="1">
      <alignment horizontal="left" vertical="center" wrapText="1"/>
    </xf>
    <xf numFmtId="49" fontId="47" fillId="25" borderId="16" xfId="0" applyNumberFormat="1" applyFont="1" applyFill="1" applyBorder="1" applyAlignment="1">
      <alignment horizontal="left" vertical="center" wrapText="1"/>
    </xf>
    <xf numFmtId="0" fontId="47" fillId="25" borderId="54" xfId="0" applyFont="1" applyFill="1" applyBorder="1" applyAlignment="1">
      <alignment horizontal="left" vertical="center" wrapText="1"/>
    </xf>
    <xf numFmtId="0" fontId="47" fillId="25" borderId="16" xfId="0" applyFont="1" applyFill="1" applyBorder="1" applyAlignment="1">
      <alignment horizontal="left" vertical="center" wrapText="1"/>
    </xf>
    <xf numFmtId="0" fontId="46" fillId="25" borderId="54" xfId="0" applyFont="1" applyFill="1" applyBorder="1" applyAlignment="1">
      <alignment horizontal="center" vertical="center" wrapText="1"/>
    </xf>
    <xf numFmtId="0" fontId="46" fillId="25" borderId="16" xfId="0" applyFont="1" applyFill="1" applyBorder="1" applyAlignment="1">
      <alignment horizontal="center" vertical="center" wrapText="1"/>
    </xf>
    <xf numFmtId="0" fontId="46" fillId="25" borderId="0" xfId="0" applyFont="1" applyFill="1" applyAlignment="1">
      <alignment horizontal="left" vertical="center" wrapText="1"/>
    </xf>
    <xf numFmtId="0" fontId="48" fillId="25" borderId="0" xfId="0" applyFont="1" applyFill="1" applyAlignment="1">
      <alignment horizontal="left" vertical="center" wrapText="1"/>
    </xf>
    <xf numFmtId="0" fontId="15" fillId="25" borderId="0" xfId="0" applyFont="1" applyFill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 wrapText="1"/>
    </xf>
    <xf numFmtId="0" fontId="46" fillId="25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19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15" xfId="56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center" vertical="justify" wrapText="1"/>
      <protection/>
    </xf>
    <xf numFmtId="0" fontId="13" fillId="0" borderId="0" xfId="56" applyFont="1" applyAlignment="1">
      <alignment horizontal="center" vertical="justify"/>
      <protection/>
    </xf>
    <xf numFmtId="0" fontId="7" fillId="0" borderId="57" xfId="56" applyFont="1" applyBorder="1" applyAlignment="1">
      <alignment horizontal="center" vertical="center" wrapText="1"/>
      <protection/>
    </xf>
    <xf numFmtId="0" fontId="7" fillId="0" borderId="45" xfId="56" applyFont="1" applyBorder="1" applyAlignment="1">
      <alignment horizontal="center" vertical="center" wrapText="1"/>
      <protection/>
    </xf>
    <xf numFmtId="0" fontId="7" fillId="0" borderId="32" xfId="56" applyFont="1" applyBorder="1" applyAlignment="1">
      <alignment horizontal="center" vertical="center" wrapText="1"/>
      <protection/>
    </xf>
    <xf numFmtId="49" fontId="39" fillId="0" borderId="15" xfId="56" applyNumberFormat="1" applyFont="1" applyBorder="1" applyAlignment="1">
      <alignment horizontal="center" vertical="center" wrapText="1"/>
      <protection/>
    </xf>
    <xf numFmtId="0" fontId="14" fillId="0" borderId="15" xfId="56" applyFont="1" applyBorder="1" applyAlignment="1">
      <alignment horizontal="center" vertical="center" wrapText="1"/>
      <protection/>
    </xf>
    <xf numFmtId="0" fontId="14" fillId="0" borderId="57" xfId="56" applyFont="1" applyBorder="1" applyAlignment="1">
      <alignment horizontal="center" vertical="center" wrapText="1"/>
      <protection/>
    </xf>
    <xf numFmtId="0" fontId="14" fillId="0" borderId="45" xfId="56" applyFont="1" applyBorder="1" applyAlignment="1">
      <alignment horizontal="center" vertical="center" wrapText="1"/>
      <protection/>
    </xf>
    <xf numFmtId="0" fontId="14" fillId="0" borderId="32" xfId="56" applyFont="1" applyBorder="1" applyAlignment="1">
      <alignment horizontal="center" vertical="center" wrapText="1"/>
      <protection/>
    </xf>
    <xf numFmtId="49" fontId="15" fillId="0" borderId="15" xfId="56" applyNumberFormat="1" applyFont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на 2008 год 1" xfId="54"/>
    <cellStyle name="Обычный_Источники" xfId="55"/>
    <cellStyle name="Обычный_Приложение №1+№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79.625" style="327" customWidth="1"/>
    <col min="2" max="2" width="14.375" style="327" customWidth="1"/>
    <col min="3" max="16384" width="9.125" style="327" customWidth="1"/>
  </cols>
  <sheetData>
    <row r="1" ht="14.25" customHeight="1">
      <c r="B1" s="328" t="s">
        <v>984</v>
      </c>
    </row>
    <row r="2" ht="14.25" customHeight="1">
      <c r="B2" s="328" t="s">
        <v>1019</v>
      </c>
    </row>
    <row r="3" ht="14.25" customHeight="1">
      <c r="B3" s="328" t="s">
        <v>701</v>
      </c>
    </row>
    <row r="4" ht="15.75" customHeight="1">
      <c r="B4" s="328" t="s">
        <v>1020</v>
      </c>
    </row>
    <row r="5" spans="1:2" s="329" customFormat="1" ht="60.75" customHeight="1">
      <c r="A5" s="441" t="s">
        <v>949</v>
      </c>
      <c r="B5" s="441"/>
    </row>
    <row r="6" spans="1:2" ht="15.75" customHeight="1">
      <c r="A6" s="330"/>
      <c r="B6" s="331" t="s">
        <v>950</v>
      </c>
    </row>
    <row r="7" spans="1:2" ht="51">
      <c r="A7" s="332" t="s">
        <v>951</v>
      </c>
      <c r="B7" s="332" t="s">
        <v>952</v>
      </c>
    </row>
    <row r="8" spans="1:2" ht="36.75" customHeight="1">
      <c r="A8" s="440" t="s">
        <v>953</v>
      </c>
      <c r="B8" s="440"/>
    </row>
    <row r="9" spans="1:2" ht="38.25" customHeight="1">
      <c r="A9" s="333" t="s">
        <v>954</v>
      </c>
      <c r="B9" s="332">
        <v>100</v>
      </c>
    </row>
    <row r="10" spans="1:2" ht="28.5" customHeight="1">
      <c r="A10" s="333" t="s">
        <v>955</v>
      </c>
      <c r="B10" s="332">
        <v>100</v>
      </c>
    </row>
    <row r="11" spans="1:2" ht="48" customHeight="1">
      <c r="A11" s="333" t="s">
        <v>956</v>
      </c>
      <c r="B11" s="332">
        <v>100</v>
      </c>
    </row>
    <row r="12" spans="1:2" ht="28.5" customHeight="1">
      <c r="A12" s="333" t="s">
        <v>957</v>
      </c>
      <c r="B12" s="332">
        <v>100</v>
      </c>
    </row>
    <row r="13" spans="1:2" ht="28.5" customHeight="1">
      <c r="A13" s="435" t="s">
        <v>958</v>
      </c>
      <c r="B13" s="436"/>
    </row>
    <row r="14" spans="1:2" ht="49.5" customHeight="1">
      <c r="A14" s="333" t="s">
        <v>867</v>
      </c>
      <c r="B14" s="332">
        <v>100</v>
      </c>
    </row>
    <row r="15" spans="1:2" ht="33" customHeight="1">
      <c r="A15" s="333" t="s">
        <v>959</v>
      </c>
      <c r="B15" s="332">
        <v>100</v>
      </c>
    </row>
    <row r="16" spans="1:2" ht="33" customHeight="1">
      <c r="A16" s="333" t="s">
        <v>960</v>
      </c>
      <c r="B16" s="332">
        <v>100</v>
      </c>
    </row>
    <row r="17" spans="1:2" ht="30.75" customHeight="1">
      <c r="A17" s="333" t="s">
        <v>873</v>
      </c>
      <c r="B17" s="332">
        <v>100</v>
      </c>
    </row>
    <row r="18" spans="1:2" ht="28.5" customHeight="1">
      <c r="A18" s="435" t="s">
        <v>961</v>
      </c>
      <c r="B18" s="436"/>
    </row>
    <row r="19" spans="1:2" ht="35.25" customHeight="1">
      <c r="A19" s="333" t="s">
        <v>962</v>
      </c>
      <c r="B19" s="332">
        <v>100</v>
      </c>
    </row>
    <row r="20" spans="1:2" ht="28.5" customHeight="1">
      <c r="A20" s="435" t="s">
        <v>963</v>
      </c>
      <c r="B20" s="436"/>
    </row>
    <row r="21" spans="1:2" ht="39.75" customHeight="1">
      <c r="A21" s="333" t="s">
        <v>885</v>
      </c>
      <c r="B21" s="332">
        <v>100</v>
      </c>
    </row>
    <row r="22" spans="1:2" ht="39.75" customHeight="1">
      <c r="A22" s="333" t="s">
        <v>887</v>
      </c>
      <c r="B22" s="332">
        <v>100</v>
      </c>
    </row>
    <row r="23" spans="1:2" ht="24" customHeight="1">
      <c r="A23" s="435" t="s">
        <v>964</v>
      </c>
      <c r="B23" s="436"/>
    </row>
    <row r="24" spans="1:2" ht="26.25" customHeight="1">
      <c r="A24" s="333" t="s">
        <v>895</v>
      </c>
      <c r="B24" s="332">
        <v>100</v>
      </c>
    </row>
    <row r="25" spans="1:2" ht="45.75" customHeight="1">
      <c r="A25" s="333" t="s">
        <v>965</v>
      </c>
      <c r="B25" s="332">
        <v>100</v>
      </c>
    </row>
    <row r="26" spans="1:2" ht="24" customHeight="1">
      <c r="A26" s="333" t="s">
        <v>899</v>
      </c>
      <c r="B26" s="332">
        <v>100</v>
      </c>
    </row>
    <row r="27" spans="1:2" ht="24" customHeight="1">
      <c r="A27" s="333" t="s">
        <v>966</v>
      </c>
      <c r="B27" s="332">
        <v>100</v>
      </c>
    </row>
    <row r="28" spans="1:2" ht="24" customHeight="1">
      <c r="A28" s="333" t="s">
        <v>903</v>
      </c>
      <c r="B28" s="332">
        <v>100</v>
      </c>
    </row>
    <row r="29" spans="1:2" ht="39" customHeight="1">
      <c r="A29" s="437" t="s">
        <v>967</v>
      </c>
      <c r="B29" s="438"/>
    </row>
    <row r="30" spans="1:2" ht="31.5" customHeight="1">
      <c r="A30" s="333" t="s">
        <v>968</v>
      </c>
      <c r="B30" s="332">
        <v>100</v>
      </c>
    </row>
    <row r="31" spans="1:2" ht="31.5" customHeight="1">
      <c r="A31" s="333" t="s">
        <v>969</v>
      </c>
      <c r="B31" s="332">
        <v>100</v>
      </c>
    </row>
    <row r="32" spans="1:2" ht="31.5" customHeight="1">
      <c r="A32" s="333" t="s">
        <v>970</v>
      </c>
      <c r="B32" s="332">
        <v>100</v>
      </c>
    </row>
    <row r="33" spans="1:2" ht="31.5" customHeight="1">
      <c r="A33" s="333" t="s">
        <v>971</v>
      </c>
      <c r="B33" s="332">
        <v>100</v>
      </c>
    </row>
    <row r="34" spans="1:2" ht="32.25" customHeight="1">
      <c r="A34" s="334" t="s">
        <v>972</v>
      </c>
      <c r="B34" s="332">
        <v>100</v>
      </c>
    </row>
    <row r="35" spans="1:2" ht="36.75" customHeight="1">
      <c r="A35" s="439" t="s">
        <v>973</v>
      </c>
      <c r="B35" s="439"/>
    </row>
    <row r="36" spans="1:2" ht="34.5" customHeight="1">
      <c r="A36" s="333" t="s">
        <v>974</v>
      </c>
      <c r="B36" s="332">
        <v>100</v>
      </c>
    </row>
    <row r="37" spans="1:2" ht="34.5" customHeight="1">
      <c r="A37" s="439" t="s">
        <v>975</v>
      </c>
      <c r="B37" s="439"/>
    </row>
    <row r="38" spans="1:2" ht="34.5" customHeight="1">
      <c r="A38" s="333" t="s">
        <v>976</v>
      </c>
      <c r="B38" s="332">
        <v>100</v>
      </c>
    </row>
    <row r="39" spans="1:2" ht="28.5" customHeight="1">
      <c r="A39" s="439" t="s">
        <v>977</v>
      </c>
      <c r="B39" s="439"/>
    </row>
    <row r="40" spans="1:2" ht="52.5" customHeight="1">
      <c r="A40" s="333" t="s">
        <v>978</v>
      </c>
      <c r="B40" s="332">
        <v>100</v>
      </c>
    </row>
    <row r="41" spans="1:2" ht="39" customHeight="1">
      <c r="A41" s="335" t="s">
        <v>933</v>
      </c>
      <c r="B41" s="332">
        <v>100</v>
      </c>
    </row>
    <row r="42" spans="1:2" ht="30" customHeight="1">
      <c r="A42" s="333" t="s">
        <v>935</v>
      </c>
      <c r="B42" s="332">
        <v>100</v>
      </c>
    </row>
    <row r="43" spans="1:2" ht="60" customHeight="1">
      <c r="A43" s="440" t="s">
        <v>979</v>
      </c>
      <c r="B43" s="440"/>
    </row>
    <row r="44" spans="1:2" ht="75.75" customHeight="1">
      <c r="A44" s="333" t="s">
        <v>822</v>
      </c>
      <c r="B44" s="332">
        <v>100</v>
      </c>
    </row>
    <row r="45" spans="1:2" ht="57.75" customHeight="1">
      <c r="A45" s="435" t="s">
        <v>980</v>
      </c>
      <c r="B45" s="436"/>
    </row>
    <row r="46" spans="1:2" ht="45.75" customHeight="1">
      <c r="A46" s="333" t="s">
        <v>981</v>
      </c>
      <c r="B46" s="332">
        <v>100</v>
      </c>
    </row>
    <row r="47" spans="1:2" ht="32.25" customHeight="1">
      <c r="A47" s="333" t="s">
        <v>982</v>
      </c>
      <c r="B47" s="332">
        <v>100</v>
      </c>
    </row>
    <row r="48" spans="1:2" ht="36.75" customHeight="1">
      <c r="A48" s="435" t="s">
        <v>983</v>
      </c>
      <c r="B48" s="436"/>
    </row>
    <row r="49" spans="1:2" ht="38.25" customHeight="1">
      <c r="A49" s="333" t="s">
        <v>945</v>
      </c>
      <c r="B49" s="332">
        <v>100</v>
      </c>
    </row>
  </sheetData>
  <sheetProtection/>
  <mergeCells count="13">
    <mergeCell ref="A5:B5"/>
    <mergeCell ref="A8:B8"/>
    <mergeCell ref="A13:B13"/>
    <mergeCell ref="A18:B18"/>
    <mergeCell ref="A20:B20"/>
    <mergeCell ref="A23:B23"/>
    <mergeCell ref="A48:B48"/>
    <mergeCell ref="A29:B29"/>
    <mergeCell ref="A35:B35"/>
    <mergeCell ref="A37:B37"/>
    <mergeCell ref="A39:B39"/>
    <mergeCell ref="A43:B43"/>
    <mergeCell ref="A45:B45"/>
  </mergeCells>
  <printOptions/>
  <pageMargins left="1.299212598425197" right="0.31496062992125984" top="0.7480314960629921" bottom="0.15748031496062992" header="0.31496062992125984" footer="0.31496062992125984"/>
  <pageSetup fitToHeight="3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4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9.75390625" style="292" customWidth="1"/>
    <col min="2" max="2" width="21.125" style="292" customWidth="1"/>
    <col min="3" max="3" width="73.125" style="326" customWidth="1"/>
    <col min="4" max="16384" width="9.125" style="294" customWidth="1"/>
  </cols>
  <sheetData>
    <row r="1" ht="12.75">
      <c r="C1" s="293" t="s">
        <v>985</v>
      </c>
    </row>
    <row r="2" ht="12.75">
      <c r="C2" s="293" t="s">
        <v>1021</v>
      </c>
    </row>
    <row r="3" ht="12.75">
      <c r="C3" s="293" t="s">
        <v>701</v>
      </c>
    </row>
    <row r="4" ht="12.75">
      <c r="C4" s="295" t="s">
        <v>1022</v>
      </c>
    </row>
    <row r="5" spans="1:3" ht="64.5" customHeight="1">
      <c r="A5" s="450" t="s">
        <v>702</v>
      </c>
      <c r="B5" s="450"/>
      <c r="C5" s="450"/>
    </row>
    <row r="6" spans="1:3" ht="12.75">
      <c r="A6" s="451"/>
      <c r="B6" s="451"/>
      <c r="C6" s="296"/>
    </row>
    <row r="7" spans="1:3" ht="27" customHeight="1">
      <c r="A7" s="452" t="s">
        <v>703</v>
      </c>
      <c r="B7" s="452"/>
      <c r="C7" s="452" t="s">
        <v>704</v>
      </c>
    </row>
    <row r="8" spans="1:3" ht="54" customHeight="1">
      <c r="A8" s="297" t="s">
        <v>705</v>
      </c>
      <c r="B8" s="297" t="s">
        <v>706</v>
      </c>
      <c r="C8" s="452"/>
    </row>
    <row r="9" spans="1:3" ht="24" customHeight="1">
      <c r="A9" s="442" t="s">
        <v>707</v>
      </c>
      <c r="B9" s="443"/>
      <c r="C9" s="298" t="s">
        <v>708</v>
      </c>
    </row>
    <row r="10" spans="1:3" ht="30" customHeight="1">
      <c r="A10" s="299" t="s">
        <v>707</v>
      </c>
      <c r="B10" s="300" t="s">
        <v>709</v>
      </c>
      <c r="C10" s="301" t="s">
        <v>710</v>
      </c>
    </row>
    <row r="11" spans="1:3" ht="24" customHeight="1">
      <c r="A11" s="442" t="s">
        <v>711</v>
      </c>
      <c r="B11" s="443"/>
      <c r="C11" s="298" t="s">
        <v>712</v>
      </c>
    </row>
    <row r="12" spans="1:3" ht="30.75" customHeight="1">
      <c r="A12" s="299" t="s">
        <v>711</v>
      </c>
      <c r="B12" s="300" t="s">
        <v>713</v>
      </c>
      <c r="C12" s="301" t="s">
        <v>714</v>
      </c>
    </row>
    <row r="13" spans="1:3" ht="35.25" customHeight="1">
      <c r="A13" s="442" t="s">
        <v>715</v>
      </c>
      <c r="B13" s="443"/>
      <c r="C13" s="298" t="s">
        <v>716</v>
      </c>
    </row>
    <row r="14" spans="1:3" ht="29.25" customHeight="1">
      <c r="A14" s="299" t="s">
        <v>715</v>
      </c>
      <c r="B14" s="300" t="s">
        <v>717</v>
      </c>
      <c r="C14" s="302" t="s">
        <v>718</v>
      </c>
    </row>
    <row r="15" spans="1:3" ht="28.5" customHeight="1">
      <c r="A15" s="299" t="s">
        <v>715</v>
      </c>
      <c r="B15" s="300" t="s">
        <v>719</v>
      </c>
      <c r="C15" s="302" t="s">
        <v>720</v>
      </c>
    </row>
    <row r="16" spans="1:3" ht="27" customHeight="1">
      <c r="A16" s="299" t="s">
        <v>715</v>
      </c>
      <c r="B16" s="300" t="s">
        <v>721</v>
      </c>
      <c r="C16" s="302" t="s">
        <v>722</v>
      </c>
    </row>
    <row r="17" spans="1:3" ht="27.75" customHeight="1">
      <c r="A17" s="299" t="s">
        <v>715</v>
      </c>
      <c r="B17" s="300" t="s">
        <v>723</v>
      </c>
      <c r="C17" s="302" t="s">
        <v>724</v>
      </c>
    </row>
    <row r="18" spans="1:3" ht="27.75" customHeight="1">
      <c r="A18" s="299" t="s">
        <v>715</v>
      </c>
      <c r="B18" s="300" t="s">
        <v>725</v>
      </c>
      <c r="C18" s="302" t="s">
        <v>726</v>
      </c>
    </row>
    <row r="19" spans="1:3" ht="29.25" customHeight="1">
      <c r="A19" s="442" t="s">
        <v>727</v>
      </c>
      <c r="B19" s="443"/>
      <c r="C19" s="298" t="s">
        <v>728</v>
      </c>
    </row>
    <row r="20" spans="1:3" ht="29.25" customHeight="1">
      <c r="A20" s="299" t="s">
        <v>727</v>
      </c>
      <c r="B20" s="300" t="s">
        <v>713</v>
      </c>
      <c r="C20" s="301" t="s">
        <v>714</v>
      </c>
    </row>
    <row r="21" spans="1:3" ht="24" customHeight="1">
      <c r="A21" s="442" t="s">
        <v>729</v>
      </c>
      <c r="B21" s="443"/>
      <c r="C21" s="303" t="s">
        <v>730</v>
      </c>
    </row>
    <row r="22" spans="1:3" ht="28.5" customHeight="1">
      <c r="A22" s="299" t="s">
        <v>729</v>
      </c>
      <c r="B22" s="300" t="s">
        <v>713</v>
      </c>
      <c r="C22" s="301" t="s">
        <v>714</v>
      </c>
    </row>
    <row r="23" spans="1:3" ht="36.75" customHeight="1">
      <c r="A23" s="442" t="s">
        <v>731</v>
      </c>
      <c r="B23" s="443"/>
      <c r="C23" s="298" t="s">
        <v>732</v>
      </c>
    </row>
    <row r="24" spans="1:3" ht="28.5" customHeight="1">
      <c r="A24" s="299" t="s">
        <v>731</v>
      </c>
      <c r="B24" s="300" t="s">
        <v>733</v>
      </c>
      <c r="C24" s="302" t="s">
        <v>734</v>
      </c>
    </row>
    <row r="25" spans="1:3" ht="24" customHeight="1">
      <c r="A25" s="442" t="s">
        <v>735</v>
      </c>
      <c r="B25" s="443"/>
      <c r="C25" s="298" t="s">
        <v>736</v>
      </c>
    </row>
    <row r="26" spans="1:3" ht="30" customHeight="1">
      <c r="A26" s="299" t="s">
        <v>735</v>
      </c>
      <c r="B26" s="300" t="s">
        <v>709</v>
      </c>
      <c r="C26" s="301" t="s">
        <v>710</v>
      </c>
    </row>
    <row r="27" spans="1:3" ht="41.25" customHeight="1">
      <c r="A27" s="299" t="s">
        <v>735</v>
      </c>
      <c r="B27" s="300" t="s">
        <v>737</v>
      </c>
      <c r="C27" s="302" t="s">
        <v>738</v>
      </c>
    </row>
    <row r="28" spans="1:3" ht="29.25" customHeight="1">
      <c r="A28" s="299" t="s">
        <v>735</v>
      </c>
      <c r="B28" s="300" t="s">
        <v>713</v>
      </c>
      <c r="C28" s="301" t="s">
        <v>714</v>
      </c>
    </row>
    <row r="29" spans="1:3" s="305" customFormat="1" ht="57" customHeight="1">
      <c r="A29" s="444">
        <v>188</v>
      </c>
      <c r="B29" s="445"/>
      <c r="C29" s="303" t="s">
        <v>739</v>
      </c>
    </row>
    <row r="30" spans="1:3" s="305" customFormat="1" ht="24" customHeight="1">
      <c r="A30" s="444">
        <v>283</v>
      </c>
      <c r="B30" s="445"/>
      <c r="C30" s="303" t="s">
        <v>201</v>
      </c>
    </row>
    <row r="31" spans="1:3" ht="51.75" customHeight="1">
      <c r="A31" s="297">
        <v>283</v>
      </c>
      <c r="B31" s="300" t="s">
        <v>740</v>
      </c>
      <c r="C31" s="301" t="s">
        <v>741</v>
      </c>
    </row>
    <row r="32" spans="1:3" ht="26.25" customHeight="1">
      <c r="A32" s="297">
        <v>283</v>
      </c>
      <c r="B32" s="300" t="s">
        <v>742</v>
      </c>
      <c r="C32" s="301" t="s">
        <v>743</v>
      </c>
    </row>
    <row r="33" spans="1:3" ht="63.75">
      <c r="A33" s="297">
        <v>283</v>
      </c>
      <c r="B33" s="300" t="s">
        <v>744</v>
      </c>
      <c r="C33" s="301" t="s">
        <v>745</v>
      </c>
    </row>
    <row r="34" spans="1:3" ht="41.25" customHeight="1">
      <c r="A34" s="297">
        <v>283</v>
      </c>
      <c r="B34" s="300" t="s">
        <v>746</v>
      </c>
      <c r="C34" s="301" t="s">
        <v>747</v>
      </c>
    </row>
    <row r="35" spans="1:3" ht="28.5" customHeight="1">
      <c r="A35" s="297">
        <v>283</v>
      </c>
      <c r="B35" s="300" t="s">
        <v>748</v>
      </c>
      <c r="C35" s="301" t="s">
        <v>749</v>
      </c>
    </row>
    <row r="36" spans="1:3" ht="54" customHeight="1">
      <c r="A36" s="297">
        <v>283</v>
      </c>
      <c r="B36" s="300" t="s">
        <v>750</v>
      </c>
      <c r="C36" s="306" t="s">
        <v>751</v>
      </c>
    </row>
    <row r="37" spans="1:3" ht="52.5" customHeight="1">
      <c r="A37" s="297">
        <v>283</v>
      </c>
      <c r="B37" s="300" t="s">
        <v>752</v>
      </c>
      <c r="C37" s="306" t="s">
        <v>753</v>
      </c>
    </row>
    <row r="38" spans="1:3" ht="42.75" customHeight="1">
      <c r="A38" s="297">
        <v>283</v>
      </c>
      <c r="B38" s="300" t="s">
        <v>754</v>
      </c>
      <c r="C38" s="306" t="s">
        <v>755</v>
      </c>
    </row>
    <row r="39" spans="1:3" ht="32.25" customHeight="1">
      <c r="A39" s="297">
        <v>283</v>
      </c>
      <c r="B39" s="300" t="s">
        <v>756</v>
      </c>
      <c r="C39" s="306" t="s">
        <v>757</v>
      </c>
    </row>
    <row r="40" spans="1:3" ht="38.25">
      <c r="A40" s="297">
        <v>283</v>
      </c>
      <c r="B40" s="300" t="s">
        <v>758</v>
      </c>
      <c r="C40" s="301" t="s">
        <v>759</v>
      </c>
    </row>
    <row r="41" spans="1:3" ht="51">
      <c r="A41" s="297">
        <v>283</v>
      </c>
      <c r="B41" s="300" t="s">
        <v>760</v>
      </c>
      <c r="C41" s="301" t="s">
        <v>761</v>
      </c>
    </row>
    <row r="42" spans="1:3" ht="54.75" customHeight="1">
      <c r="A42" s="297">
        <v>283</v>
      </c>
      <c r="B42" s="300" t="s">
        <v>762</v>
      </c>
      <c r="C42" s="301" t="s">
        <v>763</v>
      </c>
    </row>
    <row r="43" spans="1:3" ht="21" customHeight="1">
      <c r="A43" s="297">
        <v>283</v>
      </c>
      <c r="B43" s="300" t="s">
        <v>764</v>
      </c>
      <c r="C43" s="301" t="s">
        <v>765</v>
      </c>
    </row>
    <row r="44" spans="1:3" ht="63.75">
      <c r="A44" s="297">
        <v>283</v>
      </c>
      <c r="B44" s="300" t="s">
        <v>766</v>
      </c>
      <c r="C44" s="306" t="s">
        <v>767</v>
      </c>
    </row>
    <row r="45" spans="1:3" ht="67.5" customHeight="1">
      <c r="A45" s="297">
        <v>283</v>
      </c>
      <c r="B45" s="300" t="s">
        <v>768</v>
      </c>
      <c r="C45" s="306" t="s">
        <v>769</v>
      </c>
    </row>
    <row r="46" spans="1:3" ht="27.75" customHeight="1">
      <c r="A46" s="297">
        <v>283</v>
      </c>
      <c r="B46" s="300" t="s">
        <v>770</v>
      </c>
      <c r="C46" s="301" t="s">
        <v>771</v>
      </c>
    </row>
    <row r="47" spans="1:3" ht="32.25" customHeight="1">
      <c r="A47" s="297">
        <v>283</v>
      </c>
      <c r="B47" s="300" t="s">
        <v>772</v>
      </c>
      <c r="C47" s="301" t="s">
        <v>773</v>
      </c>
    </row>
    <row r="48" spans="1:3" ht="42" customHeight="1">
      <c r="A48" s="297">
        <v>283</v>
      </c>
      <c r="B48" s="300" t="s">
        <v>774</v>
      </c>
      <c r="C48" s="301" t="s">
        <v>775</v>
      </c>
    </row>
    <row r="49" spans="1:3" s="310" customFormat="1" ht="42" customHeight="1">
      <c r="A49" s="307">
        <v>283</v>
      </c>
      <c r="B49" s="308" t="s">
        <v>776</v>
      </c>
      <c r="C49" s="309" t="s">
        <v>777</v>
      </c>
    </row>
    <row r="50" spans="1:3" ht="21" customHeight="1">
      <c r="A50" s="297">
        <v>283</v>
      </c>
      <c r="B50" s="311" t="s">
        <v>778</v>
      </c>
      <c r="C50" s="312" t="s">
        <v>779</v>
      </c>
    </row>
    <row r="51" spans="1:3" ht="30.75" customHeight="1">
      <c r="A51" s="297">
        <v>283</v>
      </c>
      <c r="B51" s="311" t="s">
        <v>780</v>
      </c>
      <c r="C51" s="312" t="s">
        <v>781</v>
      </c>
    </row>
    <row r="52" spans="1:3" ht="43.5" customHeight="1">
      <c r="A52" s="297">
        <v>283</v>
      </c>
      <c r="B52" s="311" t="s">
        <v>782</v>
      </c>
      <c r="C52" s="301" t="s">
        <v>783</v>
      </c>
    </row>
    <row r="53" spans="1:3" ht="29.25" customHeight="1">
      <c r="A53" s="297">
        <v>283</v>
      </c>
      <c r="B53" s="311" t="s">
        <v>784</v>
      </c>
      <c r="C53" s="312" t="s">
        <v>785</v>
      </c>
    </row>
    <row r="54" spans="1:3" s="310" customFormat="1" ht="27.75" customHeight="1">
      <c r="A54" s="307">
        <v>283</v>
      </c>
      <c r="B54" s="313" t="s">
        <v>786</v>
      </c>
      <c r="C54" s="314" t="s">
        <v>787</v>
      </c>
    </row>
    <row r="55" spans="1:3" ht="55.5" customHeight="1">
      <c r="A55" s="297">
        <v>283</v>
      </c>
      <c r="B55" s="300" t="s">
        <v>788</v>
      </c>
      <c r="C55" s="301" t="s">
        <v>789</v>
      </c>
    </row>
    <row r="56" spans="1:3" ht="54.75" customHeight="1">
      <c r="A56" s="297">
        <v>283</v>
      </c>
      <c r="B56" s="300" t="s">
        <v>790</v>
      </c>
      <c r="C56" s="301" t="s">
        <v>791</v>
      </c>
    </row>
    <row r="57" spans="1:3" ht="69" customHeight="1">
      <c r="A57" s="297">
        <v>283</v>
      </c>
      <c r="B57" s="300" t="s">
        <v>792</v>
      </c>
      <c r="C57" s="301" t="s">
        <v>793</v>
      </c>
    </row>
    <row r="58" spans="1:3" ht="27" customHeight="1">
      <c r="A58" s="297">
        <v>283</v>
      </c>
      <c r="B58" s="300" t="s">
        <v>794</v>
      </c>
      <c r="C58" s="301" t="s">
        <v>795</v>
      </c>
    </row>
    <row r="59" spans="1:3" ht="27.75" customHeight="1">
      <c r="A59" s="297">
        <v>283</v>
      </c>
      <c r="B59" s="300" t="s">
        <v>796</v>
      </c>
      <c r="C59" s="301" t="s">
        <v>797</v>
      </c>
    </row>
    <row r="60" spans="1:3" ht="44.25" customHeight="1">
      <c r="A60" s="297">
        <v>283</v>
      </c>
      <c r="B60" s="300" t="s">
        <v>798</v>
      </c>
      <c r="C60" s="301" t="s">
        <v>799</v>
      </c>
    </row>
    <row r="61" spans="1:3" ht="29.25" customHeight="1">
      <c r="A61" s="297">
        <v>283</v>
      </c>
      <c r="B61" s="311" t="s">
        <v>800</v>
      </c>
      <c r="C61" s="301" t="s">
        <v>801</v>
      </c>
    </row>
    <row r="62" spans="1:3" ht="27.75" customHeight="1">
      <c r="A62" s="297">
        <v>283</v>
      </c>
      <c r="B62" s="300" t="s">
        <v>802</v>
      </c>
      <c r="C62" s="301" t="s">
        <v>803</v>
      </c>
    </row>
    <row r="63" spans="1:3" ht="40.5" customHeight="1">
      <c r="A63" s="297">
        <v>283</v>
      </c>
      <c r="B63" s="300" t="s">
        <v>804</v>
      </c>
      <c r="C63" s="301" t="s">
        <v>805</v>
      </c>
    </row>
    <row r="64" spans="1:3" ht="52.5" customHeight="1">
      <c r="A64" s="297">
        <v>283</v>
      </c>
      <c r="B64" s="300" t="s">
        <v>806</v>
      </c>
      <c r="C64" s="301" t="s">
        <v>807</v>
      </c>
    </row>
    <row r="65" spans="1:3" s="310" customFormat="1" ht="52.5" customHeight="1">
      <c r="A65" s="307">
        <v>283</v>
      </c>
      <c r="B65" s="308" t="s">
        <v>808</v>
      </c>
      <c r="C65" s="315" t="s">
        <v>809</v>
      </c>
    </row>
    <row r="66" spans="1:3" ht="27.75" customHeight="1">
      <c r="A66" s="297">
        <v>283</v>
      </c>
      <c r="B66" s="300" t="s">
        <v>810</v>
      </c>
      <c r="C66" s="301" t="s">
        <v>811</v>
      </c>
    </row>
    <row r="67" spans="1:3" s="305" customFormat="1" ht="42" customHeight="1">
      <c r="A67" s="444">
        <v>284</v>
      </c>
      <c r="B67" s="445"/>
      <c r="C67" s="298" t="s">
        <v>812</v>
      </c>
    </row>
    <row r="68" spans="1:3" ht="25.5">
      <c r="A68" s="297">
        <v>284</v>
      </c>
      <c r="B68" s="300" t="s">
        <v>813</v>
      </c>
      <c r="C68" s="301" t="s">
        <v>814</v>
      </c>
    </row>
    <row r="69" spans="1:3" ht="25.5">
      <c r="A69" s="297">
        <v>284</v>
      </c>
      <c r="B69" s="300" t="s">
        <v>815</v>
      </c>
      <c r="C69" s="301" t="s">
        <v>816</v>
      </c>
    </row>
    <row r="70" spans="1:3" ht="24.75" customHeight="1">
      <c r="A70" s="297">
        <v>284</v>
      </c>
      <c r="B70" s="300" t="s">
        <v>817</v>
      </c>
      <c r="C70" s="316" t="s">
        <v>818</v>
      </c>
    </row>
    <row r="71" spans="1:3" ht="30" customHeight="1">
      <c r="A71" s="297">
        <v>284</v>
      </c>
      <c r="B71" s="300" t="s">
        <v>819</v>
      </c>
      <c r="C71" s="301" t="s">
        <v>820</v>
      </c>
    </row>
    <row r="72" spans="1:3" ht="64.5" customHeight="1">
      <c r="A72" s="297">
        <v>284</v>
      </c>
      <c r="B72" s="300" t="s">
        <v>821</v>
      </c>
      <c r="C72" s="301" t="s">
        <v>822</v>
      </c>
    </row>
    <row r="73" spans="1:3" s="305" customFormat="1" ht="30.75" customHeight="1">
      <c r="A73" s="442" t="s">
        <v>265</v>
      </c>
      <c r="B73" s="443"/>
      <c r="C73" s="298" t="s">
        <v>823</v>
      </c>
    </row>
    <row r="74" spans="1:3" ht="27" customHeight="1">
      <c r="A74" s="297">
        <v>285</v>
      </c>
      <c r="B74" s="300" t="s">
        <v>824</v>
      </c>
      <c r="C74" s="301" t="s">
        <v>825</v>
      </c>
    </row>
    <row r="75" spans="1:3" s="310" customFormat="1" ht="42" customHeight="1">
      <c r="A75" s="307">
        <v>285</v>
      </c>
      <c r="B75" s="308" t="s">
        <v>826</v>
      </c>
      <c r="C75" s="309" t="s">
        <v>827</v>
      </c>
    </row>
    <row r="76" spans="1:3" ht="42.75" customHeight="1">
      <c r="A76" s="297">
        <v>285</v>
      </c>
      <c r="B76" s="300" t="s">
        <v>828</v>
      </c>
      <c r="C76" s="301" t="s">
        <v>829</v>
      </c>
    </row>
    <row r="77" spans="1:3" ht="39.75" customHeight="1">
      <c r="A77" s="297">
        <v>285</v>
      </c>
      <c r="B77" s="300" t="s">
        <v>830</v>
      </c>
      <c r="C77" s="301" t="s">
        <v>831</v>
      </c>
    </row>
    <row r="78" spans="1:3" ht="30.75" customHeight="1">
      <c r="A78" s="297">
        <v>285</v>
      </c>
      <c r="B78" s="300" t="s">
        <v>832</v>
      </c>
      <c r="C78" s="301" t="s">
        <v>833</v>
      </c>
    </row>
    <row r="79" spans="1:3" ht="29.25" customHeight="1">
      <c r="A79" s="297">
        <v>285</v>
      </c>
      <c r="B79" s="300" t="s">
        <v>834</v>
      </c>
      <c r="C79" s="301" t="s">
        <v>835</v>
      </c>
    </row>
    <row r="80" spans="1:3" s="319" customFormat="1" ht="71.25" customHeight="1">
      <c r="A80" s="317">
        <v>285</v>
      </c>
      <c r="B80" s="318" t="s">
        <v>836</v>
      </c>
      <c r="C80" s="315" t="s">
        <v>837</v>
      </c>
    </row>
    <row r="81" spans="1:3" ht="35.25" customHeight="1">
      <c r="A81" s="444">
        <v>287</v>
      </c>
      <c r="B81" s="445"/>
      <c r="C81" s="303" t="s">
        <v>511</v>
      </c>
    </row>
    <row r="82" spans="1:3" s="305" customFormat="1" ht="31.5" customHeight="1">
      <c r="A82" s="444">
        <v>288</v>
      </c>
      <c r="B82" s="445"/>
      <c r="C82" s="303" t="s">
        <v>838</v>
      </c>
    </row>
    <row r="83" spans="1:3" s="310" customFormat="1" ht="51">
      <c r="A83" s="307">
        <v>288</v>
      </c>
      <c r="B83" s="308" t="s">
        <v>839</v>
      </c>
      <c r="C83" s="314" t="s">
        <v>840</v>
      </c>
    </row>
    <row r="84" spans="1:3" s="320" customFormat="1" ht="40.5" customHeight="1">
      <c r="A84" s="307">
        <v>288</v>
      </c>
      <c r="B84" s="308" t="s">
        <v>841</v>
      </c>
      <c r="C84" s="309" t="s">
        <v>842</v>
      </c>
    </row>
    <row r="85" spans="1:3" s="320" customFormat="1" ht="33.75" customHeight="1">
      <c r="A85" s="307">
        <v>288</v>
      </c>
      <c r="B85" s="308" t="s">
        <v>843</v>
      </c>
      <c r="C85" s="309" t="s">
        <v>844</v>
      </c>
    </row>
    <row r="86" spans="1:3" ht="29.25" customHeight="1">
      <c r="A86" s="297">
        <v>288</v>
      </c>
      <c r="B86" s="300" t="s">
        <v>845</v>
      </c>
      <c r="C86" s="301" t="s">
        <v>846</v>
      </c>
    </row>
    <row r="87" spans="1:3" ht="53.25" customHeight="1">
      <c r="A87" s="297">
        <v>288</v>
      </c>
      <c r="B87" s="300" t="s">
        <v>847</v>
      </c>
      <c r="C87" s="301" t="s">
        <v>848</v>
      </c>
    </row>
    <row r="88" spans="1:3" s="305" customFormat="1" ht="33" customHeight="1">
      <c r="A88" s="444">
        <v>289</v>
      </c>
      <c r="B88" s="445"/>
      <c r="C88" s="303" t="s">
        <v>849</v>
      </c>
    </row>
    <row r="89" spans="1:3" ht="28.5" customHeight="1">
      <c r="A89" s="297">
        <v>289</v>
      </c>
      <c r="B89" s="304" t="s">
        <v>850</v>
      </c>
      <c r="C89" s="301" t="s">
        <v>851</v>
      </c>
    </row>
    <row r="90" spans="1:3" ht="62.25" customHeight="1">
      <c r="A90" s="307">
        <v>289</v>
      </c>
      <c r="B90" s="321" t="s">
        <v>852</v>
      </c>
      <c r="C90" s="309" t="s">
        <v>853</v>
      </c>
    </row>
    <row r="91" spans="1:3" s="305" customFormat="1" ht="30.75" customHeight="1">
      <c r="A91" s="442" t="s">
        <v>269</v>
      </c>
      <c r="B91" s="443"/>
      <c r="C91" s="303" t="s">
        <v>854</v>
      </c>
    </row>
    <row r="92" spans="1:3" ht="51.75" customHeight="1">
      <c r="A92" s="297">
        <v>290</v>
      </c>
      <c r="B92" s="300" t="s">
        <v>855</v>
      </c>
      <c r="C92" s="301" t="s">
        <v>856</v>
      </c>
    </row>
    <row r="93" spans="1:3" s="305" customFormat="1" ht="20.25" customHeight="1">
      <c r="A93" s="444">
        <v>291</v>
      </c>
      <c r="B93" s="445"/>
      <c r="C93" s="303" t="s">
        <v>857</v>
      </c>
    </row>
    <row r="94" spans="1:3" s="305" customFormat="1" ht="23.25" customHeight="1">
      <c r="A94" s="444">
        <v>292</v>
      </c>
      <c r="B94" s="445"/>
      <c r="C94" s="298" t="s">
        <v>858</v>
      </c>
    </row>
    <row r="95" spans="1:3" ht="51">
      <c r="A95" s="446"/>
      <c r="B95" s="447"/>
      <c r="C95" s="322" t="s">
        <v>859</v>
      </c>
    </row>
    <row r="96" spans="1:3" s="310" customFormat="1" ht="38.25">
      <c r="A96" s="307"/>
      <c r="B96" s="308" t="s">
        <v>860</v>
      </c>
      <c r="C96" s="314" t="s">
        <v>861</v>
      </c>
    </row>
    <row r="97" spans="1:3" s="310" customFormat="1" ht="40.5" customHeight="1">
      <c r="A97" s="307"/>
      <c r="B97" s="308" t="s">
        <v>754</v>
      </c>
      <c r="C97" s="323" t="s">
        <v>755</v>
      </c>
    </row>
    <row r="98" spans="1:3" s="310" customFormat="1" ht="40.5" customHeight="1">
      <c r="A98" s="324"/>
      <c r="B98" s="308" t="s">
        <v>862</v>
      </c>
      <c r="C98" s="323" t="s">
        <v>863</v>
      </c>
    </row>
    <row r="99" spans="1:3" ht="25.5">
      <c r="A99" s="325"/>
      <c r="B99" s="300" t="s">
        <v>864</v>
      </c>
      <c r="C99" s="312" t="s">
        <v>865</v>
      </c>
    </row>
    <row r="100" spans="1:3" ht="38.25">
      <c r="A100" s="325"/>
      <c r="B100" s="300" t="s">
        <v>866</v>
      </c>
      <c r="C100" s="312" t="s">
        <v>867</v>
      </c>
    </row>
    <row r="101" spans="1:3" ht="25.5">
      <c r="A101" s="325"/>
      <c r="B101" s="300" t="s">
        <v>868</v>
      </c>
      <c r="C101" s="312" t="s">
        <v>869</v>
      </c>
    </row>
    <row r="102" spans="1:3" ht="25.5">
      <c r="A102" s="325"/>
      <c r="B102" s="300" t="s">
        <v>870</v>
      </c>
      <c r="C102" s="312" t="s">
        <v>871</v>
      </c>
    </row>
    <row r="103" spans="1:3" ht="23.25" customHeight="1">
      <c r="A103" s="325"/>
      <c r="B103" s="300" t="s">
        <v>872</v>
      </c>
      <c r="C103" s="301" t="s">
        <v>873</v>
      </c>
    </row>
    <row r="104" spans="1:3" ht="52.5" customHeight="1">
      <c r="A104" s="325"/>
      <c r="B104" s="300" t="s">
        <v>874</v>
      </c>
      <c r="C104" s="306" t="s">
        <v>875</v>
      </c>
    </row>
    <row r="105" spans="1:3" ht="60" customHeight="1">
      <c r="A105" s="325"/>
      <c r="B105" s="300" t="s">
        <v>876</v>
      </c>
      <c r="C105" s="306" t="s">
        <v>877</v>
      </c>
    </row>
    <row r="106" spans="1:3" ht="40.5" customHeight="1">
      <c r="A106" s="297"/>
      <c r="B106" s="300" t="s">
        <v>878</v>
      </c>
      <c r="C106" s="301" t="s">
        <v>879</v>
      </c>
    </row>
    <row r="107" spans="1:3" ht="42.75" customHeight="1">
      <c r="A107" s="297"/>
      <c r="B107" s="300" t="s">
        <v>880</v>
      </c>
      <c r="C107" s="301" t="s">
        <v>881</v>
      </c>
    </row>
    <row r="108" spans="1:3" ht="28.5" customHeight="1">
      <c r="A108" s="297"/>
      <c r="B108" s="300" t="s">
        <v>882</v>
      </c>
      <c r="C108" s="309" t="s">
        <v>883</v>
      </c>
    </row>
    <row r="109" spans="1:3" ht="54.75" customHeight="1">
      <c r="A109" s="325"/>
      <c r="B109" s="300" t="s">
        <v>884</v>
      </c>
      <c r="C109" s="301" t="s">
        <v>885</v>
      </c>
    </row>
    <row r="110" spans="1:3" ht="38.25">
      <c r="A110" s="325"/>
      <c r="B110" s="300" t="s">
        <v>886</v>
      </c>
      <c r="C110" s="301" t="s">
        <v>887</v>
      </c>
    </row>
    <row r="111" spans="1:3" ht="38.25">
      <c r="A111" s="325"/>
      <c r="B111" s="300" t="s">
        <v>888</v>
      </c>
      <c r="C111" s="301" t="s">
        <v>889</v>
      </c>
    </row>
    <row r="112" spans="1:3" ht="38.25">
      <c r="A112" s="325"/>
      <c r="B112" s="300" t="s">
        <v>737</v>
      </c>
      <c r="C112" s="301" t="s">
        <v>738</v>
      </c>
    </row>
    <row r="113" spans="1:3" ht="51">
      <c r="A113" s="325"/>
      <c r="B113" s="300" t="s">
        <v>890</v>
      </c>
      <c r="C113" s="301" t="s">
        <v>891</v>
      </c>
    </row>
    <row r="114" spans="1:3" s="310" customFormat="1" ht="63.75">
      <c r="A114" s="324"/>
      <c r="B114" s="308" t="s">
        <v>892</v>
      </c>
      <c r="C114" s="309" t="s">
        <v>893</v>
      </c>
    </row>
    <row r="115" spans="1:3" ht="25.5">
      <c r="A115" s="325"/>
      <c r="B115" s="300" t="s">
        <v>713</v>
      </c>
      <c r="C115" s="301" t="s">
        <v>714</v>
      </c>
    </row>
    <row r="116" spans="1:3" ht="23.25" customHeight="1">
      <c r="A116" s="325"/>
      <c r="B116" s="300" t="s">
        <v>894</v>
      </c>
      <c r="C116" s="301" t="s">
        <v>895</v>
      </c>
    </row>
    <row r="117" spans="1:3" ht="48.75" customHeight="1">
      <c r="A117" s="325"/>
      <c r="B117" s="300" t="s">
        <v>896</v>
      </c>
      <c r="C117" s="301" t="s">
        <v>897</v>
      </c>
    </row>
    <row r="118" spans="1:3" ht="23.25" customHeight="1">
      <c r="A118" s="325"/>
      <c r="B118" s="300" t="s">
        <v>898</v>
      </c>
      <c r="C118" s="301" t="s">
        <v>899</v>
      </c>
    </row>
    <row r="119" spans="1:3" ht="23.25" customHeight="1">
      <c r="A119" s="325"/>
      <c r="B119" s="300" t="s">
        <v>900</v>
      </c>
      <c r="C119" s="301" t="s">
        <v>901</v>
      </c>
    </row>
    <row r="120" spans="1:3" s="310" customFormat="1" ht="23.25" customHeight="1">
      <c r="A120" s="324"/>
      <c r="B120" s="308" t="s">
        <v>902</v>
      </c>
      <c r="C120" s="309" t="s">
        <v>903</v>
      </c>
    </row>
    <row r="121" spans="1:3" ht="33.75" customHeight="1">
      <c r="A121" s="325"/>
      <c r="B121" s="311" t="s">
        <v>784</v>
      </c>
      <c r="C121" s="312" t="s">
        <v>785</v>
      </c>
    </row>
    <row r="122" spans="1:3" ht="39" customHeight="1">
      <c r="A122" s="297"/>
      <c r="B122" s="311" t="s">
        <v>904</v>
      </c>
      <c r="C122" s="301" t="s">
        <v>905</v>
      </c>
    </row>
    <row r="123" spans="1:3" ht="39" customHeight="1">
      <c r="A123" s="325"/>
      <c r="B123" s="311" t="s">
        <v>906</v>
      </c>
      <c r="C123" s="301" t="s">
        <v>907</v>
      </c>
    </row>
    <row r="124" spans="1:3" ht="23.25" customHeight="1">
      <c r="A124" s="325"/>
      <c r="B124" s="300" t="s">
        <v>908</v>
      </c>
      <c r="C124" s="301" t="s">
        <v>909</v>
      </c>
    </row>
    <row r="125" spans="1:3" ht="31.5" customHeight="1">
      <c r="A125" s="325"/>
      <c r="B125" s="300" t="s">
        <v>910</v>
      </c>
      <c r="C125" s="301" t="s">
        <v>911</v>
      </c>
    </row>
    <row r="126" spans="1:3" ht="23.25" customHeight="1">
      <c r="A126" s="325"/>
      <c r="B126" s="300" t="s">
        <v>912</v>
      </c>
      <c r="C126" s="301" t="s">
        <v>913</v>
      </c>
    </row>
    <row r="127" spans="1:3" ht="23.25" customHeight="1">
      <c r="A127" s="325"/>
      <c r="B127" s="300" t="s">
        <v>914</v>
      </c>
      <c r="C127" s="301" t="s">
        <v>915</v>
      </c>
    </row>
    <row r="128" spans="1:3" ht="30" customHeight="1">
      <c r="A128" s="325"/>
      <c r="B128" s="300" t="s">
        <v>916</v>
      </c>
      <c r="C128" s="301" t="s">
        <v>917</v>
      </c>
    </row>
    <row r="129" spans="1:3" ht="32.25" customHeight="1">
      <c r="A129" s="325"/>
      <c r="B129" s="300" t="s">
        <v>918</v>
      </c>
      <c r="C129" s="301" t="s">
        <v>919</v>
      </c>
    </row>
    <row r="130" spans="1:3" ht="42" customHeight="1">
      <c r="A130" s="325"/>
      <c r="B130" s="300" t="s">
        <v>920</v>
      </c>
      <c r="C130" s="301" t="s">
        <v>921</v>
      </c>
    </row>
    <row r="131" spans="1:3" ht="29.25" customHeight="1">
      <c r="A131" s="325"/>
      <c r="B131" s="300" t="s">
        <v>922</v>
      </c>
      <c r="C131" s="301" t="s">
        <v>923</v>
      </c>
    </row>
    <row r="132" spans="1:3" ht="30.75" customHeight="1">
      <c r="A132" s="325"/>
      <c r="B132" s="300" t="s">
        <v>924</v>
      </c>
      <c r="C132" s="301" t="s">
        <v>925</v>
      </c>
    </row>
    <row r="133" spans="1:3" ht="30.75" customHeight="1">
      <c r="A133" s="325"/>
      <c r="B133" s="300" t="s">
        <v>926</v>
      </c>
      <c r="C133" s="301" t="s">
        <v>927</v>
      </c>
    </row>
    <row r="134" spans="1:3" ht="27.75" customHeight="1">
      <c r="A134" s="325"/>
      <c r="B134" s="300" t="s">
        <v>928</v>
      </c>
      <c r="C134" s="301" t="s">
        <v>929</v>
      </c>
    </row>
    <row r="135" spans="1:3" ht="53.25" customHeight="1">
      <c r="A135" s="325"/>
      <c r="B135" s="300" t="s">
        <v>930</v>
      </c>
      <c r="C135" s="301" t="s">
        <v>931</v>
      </c>
    </row>
    <row r="136" spans="1:3" ht="39.75" customHeight="1">
      <c r="A136" s="325"/>
      <c r="B136" s="308" t="s">
        <v>932</v>
      </c>
      <c r="C136" s="309" t="s">
        <v>933</v>
      </c>
    </row>
    <row r="137" spans="1:3" ht="26.25" customHeight="1">
      <c r="A137" s="325"/>
      <c r="B137" s="308" t="s">
        <v>934</v>
      </c>
      <c r="C137" s="309" t="s">
        <v>935</v>
      </c>
    </row>
    <row r="138" spans="1:3" ht="42" customHeight="1">
      <c r="A138" s="325"/>
      <c r="B138" s="300" t="s">
        <v>936</v>
      </c>
      <c r="C138" s="301" t="s">
        <v>937</v>
      </c>
    </row>
    <row r="139" spans="1:3" ht="28.5" customHeight="1">
      <c r="A139" s="325"/>
      <c r="B139" s="300" t="s">
        <v>938</v>
      </c>
      <c r="C139" s="301" t="s">
        <v>939</v>
      </c>
    </row>
    <row r="140" spans="1:3" ht="28.5" customHeight="1">
      <c r="A140" s="325"/>
      <c r="B140" s="300" t="s">
        <v>940</v>
      </c>
      <c r="C140" s="301" t="s">
        <v>941</v>
      </c>
    </row>
    <row r="141" spans="1:3" ht="28.5" customHeight="1">
      <c r="A141" s="325"/>
      <c r="B141" s="300" t="s">
        <v>942</v>
      </c>
      <c r="C141" s="301" t="s">
        <v>943</v>
      </c>
    </row>
    <row r="142" spans="1:3" ht="31.5" customHeight="1">
      <c r="A142" s="325"/>
      <c r="B142" s="300" t="s">
        <v>944</v>
      </c>
      <c r="C142" s="301" t="s">
        <v>945</v>
      </c>
    </row>
    <row r="143" spans="1:3" ht="25.5" customHeight="1">
      <c r="A143" s="448" t="s">
        <v>946</v>
      </c>
      <c r="B143" s="448"/>
      <c r="C143" s="448"/>
    </row>
    <row r="144" spans="1:3" ht="81.75" customHeight="1">
      <c r="A144" s="449" t="s">
        <v>947</v>
      </c>
      <c r="B144" s="448"/>
      <c r="C144" s="448"/>
    </row>
  </sheetData>
  <sheetProtection/>
  <mergeCells count="24">
    <mergeCell ref="A5:C5"/>
    <mergeCell ref="A6:B6"/>
    <mergeCell ref="A7:B7"/>
    <mergeCell ref="C7:C8"/>
    <mergeCell ref="A9:B9"/>
    <mergeCell ref="A11:B11"/>
    <mergeCell ref="A13:B13"/>
    <mergeCell ref="A19:B19"/>
    <mergeCell ref="A21:B21"/>
    <mergeCell ref="A23:B23"/>
    <mergeCell ref="A25:B25"/>
    <mergeCell ref="A29:B29"/>
    <mergeCell ref="A30:B30"/>
    <mergeCell ref="A67:B67"/>
    <mergeCell ref="A73:B73"/>
    <mergeCell ref="A81:B81"/>
    <mergeCell ref="A82:B82"/>
    <mergeCell ref="A88:B88"/>
    <mergeCell ref="A91:B91"/>
    <mergeCell ref="A93:B93"/>
    <mergeCell ref="A94:B94"/>
    <mergeCell ref="A95:B95"/>
    <mergeCell ref="A143:C143"/>
    <mergeCell ref="A144:C144"/>
  </mergeCells>
  <printOptions/>
  <pageMargins left="1.1023622047244095" right="0" top="0.35433070866141736" bottom="0.35433070866141736" header="0.31496062992125984" footer="0.31496062992125984"/>
  <pageSetup fitToHeight="6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670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64.875" style="72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4.25390625" style="3" customWidth="1"/>
    <col min="8" max="8" width="6.125" style="3" hidden="1" customWidth="1"/>
    <col min="9" max="9" width="10.25390625" style="3" hidden="1" customWidth="1"/>
    <col min="10" max="10" width="13.25390625" style="37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5" width="9.125" style="0" hidden="1" customWidth="1"/>
  </cols>
  <sheetData>
    <row r="1" spans="6:7" ht="12.75">
      <c r="F1" s="16" t="s">
        <v>948</v>
      </c>
      <c r="G1" s="36"/>
    </row>
    <row r="2" spans="6:7" ht="12.75">
      <c r="F2" s="4" t="s">
        <v>1023</v>
      </c>
      <c r="G2" s="36"/>
    </row>
    <row r="3" spans="6:7" ht="12.75">
      <c r="F3" s="4" t="s">
        <v>273</v>
      </c>
      <c r="G3" s="36"/>
    </row>
    <row r="4" spans="6:7" ht="12.75">
      <c r="F4" s="4" t="s">
        <v>274</v>
      </c>
      <c r="G4" s="36"/>
    </row>
    <row r="5" spans="6:9" ht="12.75">
      <c r="F5" s="453" t="s">
        <v>1024</v>
      </c>
      <c r="G5" s="453"/>
      <c r="H5" s="5"/>
      <c r="I5" s="5"/>
    </row>
    <row r="6" spans="3:6" ht="12.75">
      <c r="C6" s="6" t="s">
        <v>533</v>
      </c>
      <c r="F6" s="4"/>
    </row>
    <row r="7" spans="3:6" ht="12.75">
      <c r="C7" s="6" t="s">
        <v>275</v>
      </c>
      <c r="F7" s="7"/>
    </row>
    <row r="8" spans="3:6" ht="12.75">
      <c r="C8" s="6" t="s">
        <v>276</v>
      </c>
      <c r="F8" s="7"/>
    </row>
    <row r="9" ht="12.75">
      <c r="C9" s="8" t="s">
        <v>277</v>
      </c>
    </row>
    <row r="10" spans="2:9" ht="16.5" thickBot="1">
      <c r="B10" s="9"/>
      <c r="G10" s="5"/>
      <c r="H10" s="5"/>
      <c r="I10" s="5"/>
    </row>
    <row r="11" spans="1:15" ht="15" thickBot="1">
      <c r="A11" s="176" t="s">
        <v>278</v>
      </c>
      <c r="B11" s="401"/>
      <c r="C11" s="177" t="s">
        <v>646</v>
      </c>
      <c r="D11" s="178"/>
      <c r="E11" s="178"/>
      <c r="F11" s="193"/>
      <c r="G11" s="191" t="s">
        <v>280</v>
      </c>
      <c r="H11" s="10" t="s">
        <v>281</v>
      </c>
      <c r="I11" s="10" t="s">
        <v>282</v>
      </c>
      <c r="O11" s="71"/>
    </row>
    <row r="12" spans="1:9" ht="42" customHeight="1" thickBot="1">
      <c r="A12" s="179"/>
      <c r="B12" s="365" t="s">
        <v>283</v>
      </c>
      <c r="C12" s="395" t="s">
        <v>284</v>
      </c>
      <c r="D12" s="180" t="s">
        <v>285</v>
      </c>
      <c r="E12" s="180" t="s">
        <v>286</v>
      </c>
      <c r="F12" s="256" t="s">
        <v>532</v>
      </c>
      <c r="G12" s="192" t="s">
        <v>645</v>
      </c>
      <c r="H12" s="11" t="s">
        <v>463</v>
      </c>
      <c r="I12" s="11" t="s">
        <v>464</v>
      </c>
    </row>
    <row r="13" spans="1:13" s="13" customFormat="1" ht="15.75">
      <c r="A13" s="189" t="s">
        <v>465</v>
      </c>
      <c r="B13" s="366"/>
      <c r="C13" s="194" t="s">
        <v>466</v>
      </c>
      <c r="D13" s="181"/>
      <c r="E13" s="181"/>
      <c r="F13" s="195"/>
      <c r="G13" s="214">
        <f>SUM(G14+G18+G25+G47+G62+G65)</f>
        <v>176121.9</v>
      </c>
      <c r="H13" s="12" t="e">
        <f>SUM(H14+H18+H25+H44+H47+H62+H65+#REF!+H56)</f>
        <v>#REF!</v>
      </c>
      <c r="I13" s="12" t="e">
        <f>SUM(H13/G13*100)</f>
        <v>#REF!</v>
      </c>
      <c r="K13" s="75">
        <f>SUM(J14:J84)</f>
        <v>176121.90000000002</v>
      </c>
      <c r="L13" s="13">
        <f>SUM('ведомствен.2014'!G12+'ведомствен.2014'!G36+'ведомствен.2014'!G55+'ведомствен.2014'!G302)</f>
        <v>176121.9</v>
      </c>
      <c r="M13" s="75">
        <f>SUM(L13-K13)</f>
        <v>-2.9103830456733704E-11</v>
      </c>
    </row>
    <row r="14" spans="1:15" ht="28.5">
      <c r="A14" s="156" t="s">
        <v>467</v>
      </c>
      <c r="B14" s="367"/>
      <c r="C14" s="74" t="s">
        <v>466</v>
      </c>
      <c r="D14" s="114" t="s">
        <v>468</v>
      </c>
      <c r="E14" s="114"/>
      <c r="F14" s="196"/>
      <c r="G14" s="215">
        <f>SUM(G15)</f>
        <v>1725</v>
      </c>
      <c r="H14" s="14">
        <f>SUM(H15)</f>
        <v>983.5</v>
      </c>
      <c r="I14" s="14">
        <f>SUM(H14/G14*100)</f>
        <v>57.014492753623195</v>
      </c>
      <c r="J14"/>
      <c r="O14" s="71" t="e">
        <f>SUM(G14+G18+G25+G47+#REF!)</f>
        <v>#REF!</v>
      </c>
    </row>
    <row r="15" spans="1:10" ht="42.75">
      <c r="A15" s="156" t="s">
        <v>99</v>
      </c>
      <c r="B15" s="367"/>
      <c r="C15" s="74" t="s">
        <v>466</v>
      </c>
      <c r="D15" s="114" t="s">
        <v>468</v>
      </c>
      <c r="E15" s="114" t="s">
        <v>100</v>
      </c>
      <c r="F15" s="196"/>
      <c r="G15" s="215">
        <f>SUM(G17)</f>
        <v>1725</v>
      </c>
      <c r="H15" s="14">
        <f>SUM(H17:H17)</f>
        <v>983.5</v>
      </c>
      <c r="I15" s="14">
        <f aca="true" t="shared" si="0" ref="I15:I54">SUM(H15/G15*100)</f>
        <v>57.014492753623195</v>
      </c>
      <c r="J15"/>
    </row>
    <row r="16" spans="1:10" ht="15">
      <c r="A16" s="156" t="s">
        <v>101</v>
      </c>
      <c r="B16" s="367"/>
      <c r="C16" s="74" t="s">
        <v>466</v>
      </c>
      <c r="D16" s="114" t="s">
        <v>468</v>
      </c>
      <c r="E16" s="114" t="s">
        <v>102</v>
      </c>
      <c r="F16" s="196"/>
      <c r="G16" s="215">
        <f>SUM(G17)</f>
        <v>1725</v>
      </c>
      <c r="H16" s="14">
        <f>SUM(H17)</f>
        <v>983.5</v>
      </c>
      <c r="I16" s="14">
        <f t="shared" si="0"/>
        <v>57.014492753623195</v>
      </c>
      <c r="J16"/>
    </row>
    <row r="17" spans="1:10" ht="42.75">
      <c r="A17" s="156" t="s">
        <v>518</v>
      </c>
      <c r="B17" s="367"/>
      <c r="C17" s="74" t="s">
        <v>466</v>
      </c>
      <c r="D17" s="114" t="s">
        <v>468</v>
      </c>
      <c r="E17" s="114" t="s">
        <v>102</v>
      </c>
      <c r="F17" s="196" t="s">
        <v>519</v>
      </c>
      <c r="G17" s="215">
        <v>1725</v>
      </c>
      <c r="H17" s="14">
        <v>983.5</v>
      </c>
      <c r="I17" s="14">
        <f t="shared" si="0"/>
        <v>57.014492753623195</v>
      </c>
      <c r="J17" s="37">
        <f>SUM('ведомствен.2014'!G16)</f>
        <v>1725</v>
      </c>
    </row>
    <row r="18" spans="1:10" ht="42.75">
      <c r="A18" s="156" t="s">
        <v>105</v>
      </c>
      <c r="B18" s="367"/>
      <c r="C18" s="74" t="s">
        <v>466</v>
      </c>
      <c r="D18" s="114" t="s">
        <v>106</v>
      </c>
      <c r="E18" s="114"/>
      <c r="F18" s="196"/>
      <c r="G18" s="215">
        <f>SUM(G19)</f>
        <v>11361.5</v>
      </c>
      <c r="H18" s="14">
        <f>SUM(H19)</f>
        <v>8231.8</v>
      </c>
      <c r="I18" s="14">
        <f t="shared" si="0"/>
        <v>72.45346125071512</v>
      </c>
      <c r="J18"/>
    </row>
    <row r="19" spans="1:10" ht="42.75">
      <c r="A19" s="156" t="s">
        <v>99</v>
      </c>
      <c r="B19" s="367"/>
      <c r="C19" s="74" t="s">
        <v>466</v>
      </c>
      <c r="D19" s="114" t="s">
        <v>106</v>
      </c>
      <c r="E19" s="114" t="s">
        <v>100</v>
      </c>
      <c r="F19" s="197"/>
      <c r="G19" s="215">
        <f>SUM(G20+G23)</f>
        <v>11361.5</v>
      </c>
      <c r="H19" s="14">
        <f>SUM(H20+H23)</f>
        <v>8231.8</v>
      </c>
      <c r="I19" s="14">
        <f t="shared" si="0"/>
        <v>72.45346125071512</v>
      </c>
      <c r="J19"/>
    </row>
    <row r="20" spans="1:10" ht="15">
      <c r="A20" s="156" t="s">
        <v>107</v>
      </c>
      <c r="B20" s="367"/>
      <c r="C20" s="74" t="s">
        <v>108</v>
      </c>
      <c r="D20" s="114" t="s">
        <v>106</v>
      </c>
      <c r="E20" s="114" t="s">
        <v>109</v>
      </c>
      <c r="F20" s="197"/>
      <c r="G20" s="215">
        <f>SUM(G21)+G22</f>
        <v>11361.5</v>
      </c>
      <c r="H20" s="14">
        <f>SUM(H21)</f>
        <v>8068.7</v>
      </c>
      <c r="I20" s="14">
        <f t="shared" si="0"/>
        <v>71.01791136733706</v>
      </c>
      <c r="J20"/>
    </row>
    <row r="21" spans="1:10" ht="42.75">
      <c r="A21" s="156" t="s">
        <v>518</v>
      </c>
      <c r="B21" s="367"/>
      <c r="C21" s="74" t="s">
        <v>466</v>
      </c>
      <c r="D21" s="114" t="s">
        <v>106</v>
      </c>
      <c r="E21" s="114" t="s">
        <v>109</v>
      </c>
      <c r="F21" s="196" t="s">
        <v>519</v>
      </c>
      <c r="G21" s="215">
        <v>11354.4</v>
      </c>
      <c r="H21" s="14">
        <v>8068.7</v>
      </c>
      <c r="I21" s="14">
        <f t="shared" si="0"/>
        <v>71.0623194532516</v>
      </c>
      <c r="J21" s="37">
        <f>SUM('ведомствен.2014'!G20)</f>
        <v>11354.4</v>
      </c>
    </row>
    <row r="22" spans="1:10" ht="15">
      <c r="A22" s="156" t="s">
        <v>523</v>
      </c>
      <c r="B22" s="367"/>
      <c r="C22" s="74" t="s">
        <v>466</v>
      </c>
      <c r="D22" s="114" t="s">
        <v>106</v>
      </c>
      <c r="E22" s="114" t="s">
        <v>109</v>
      </c>
      <c r="F22" s="196" t="s">
        <v>120</v>
      </c>
      <c r="G22" s="216">
        <v>7.1</v>
      </c>
      <c r="H22" s="14"/>
      <c r="I22" s="14"/>
      <c r="J22" s="37">
        <f>SUM('ведомствен.2014'!G21)</f>
        <v>7.1</v>
      </c>
    </row>
    <row r="23" spans="1:10" ht="28.5" hidden="1">
      <c r="A23" s="156" t="s">
        <v>110</v>
      </c>
      <c r="B23" s="367"/>
      <c r="C23" s="74" t="s">
        <v>108</v>
      </c>
      <c r="D23" s="114" t="s">
        <v>106</v>
      </c>
      <c r="E23" s="114" t="s">
        <v>111</v>
      </c>
      <c r="F23" s="196"/>
      <c r="G23" s="216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156" t="s">
        <v>103</v>
      </c>
      <c r="B24" s="367"/>
      <c r="C24" s="74" t="s">
        <v>108</v>
      </c>
      <c r="D24" s="114" t="s">
        <v>106</v>
      </c>
      <c r="E24" s="114" t="s">
        <v>111</v>
      </c>
      <c r="F24" s="196" t="s">
        <v>104</v>
      </c>
      <c r="G24" s="216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156" t="s">
        <v>259</v>
      </c>
      <c r="B25" s="367"/>
      <c r="C25" s="74" t="s">
        <v>466</v>
      </c>
      <c r="D25" s="114" t="s">
        <v>122</v>
      </c>
      <c r="E25" s="114"/>
      <c r="F25" s="196"/>
      <c r="G25" s="215">
        <f>SUM(G26)</f>
        <v>95955.4</v>
      </c>
      <c r="H25" s="14">
        <f>SUM(H26)+H41+H39</f>
        <v>52319.90000000001</v>
      </c>
      <c r="I25" s="14">
        <f t="shared" si="0"/>
        <v>54.525227345204144</v>
      </c>
      <c r="J25"/>
    </row>
    <row r="26" spans="1:10" ht="42.75">
      <c r="A26" s="156" t="s">
        <v>99</v>
      </c>
      <c r="B26" s="367"/>
      <c r="C26" s="74" t="s">
        <v>466</v>
      </c>
      <c r="D26" s="114" t="s">
        <v>122</v>
      </c>
      <c r="E26" s="114" t="s">
        <v>100</v>
      </c>
      <c r="F26" s="197"/>
      <c r="G26" s="215">
        <f>SUM(G27+G42+G30+G33+G36+G39)</f>
        <v>95955.4</v>
      </c>
      <c r="H26" s="14">
        <f>SUM(H27+H37)</f>
        <v>51899.200000000004</v>
      </c>
      <c r="I26" s="14">
        <f t="shared" si="0"/>
        <v>54.086794489940125</v>
      </c>
      <c r="J26"/>
    </row>
    <row r="27" spans="1:10" ht="15">
      <c r="A27" s="156" t="s">
        <v>107</v>
      </c>
      <c r="B27" s="367"/>
      <c r="C27" s="74" t="s">
        <v>466</v>
      </c>
      <c r="D27" s="114" t="s">
        <v>122</v>
      </c>
      <c r="E27" s="114" t="s">
        <v>109</v>
      </c>
      <c r="F27" s="197"/>
      <c r="G27" s="215">
        <f>SUM(G28+G29)</f>
        <v>92691.5</v>
      </c>
      <c r="H27" s="14">
        <f>SUM(H28:H28+H29+H31+H34)+H30</f>
        <v>51161.8</v>
      </c>
      <c r="I27" s="14">
        <f t="shared" si="0"/>
        <v>55.19578386367683</v>
      </c>
      <c r="J27"/>
    </row>
    <row r="28" spans="1:10" ht="42.75">
      <c r="A28" s="156" t="s">
        <v>518</v>
      </c>
      <c r="B28" s="367"/>
      <c r="C28" s="74" t="s">
        <v>466</v>
      </c>
      <c r="D28" s="114" t="s">
        <v>122</v>
      </c>
      <c r="E28" s="114" t="s">
        <v>109</v>
      </c>
      <c r="F28" s="196" t="s">
        <v>519</v>
      </c>
      <c r="G28" s="215">
        <v>92594.8</v>
      </c>
      <c r="H28" s="14">
        <v>50612.1</v>
      </c>
      <c r="I28" s="14">
        <f t="shared" si="0"/>
        <v>54.65976491120451</v>
      </c>
      <c r="J28" s="37">
        <f>SUM('ведомствен.2014'!G59)</f>
        <v>92594.8</v>
      </c>
    </row>
    <row r="29" spans="1:10" ht="15">
      <c r="A29" s="156" t="s">
        <v>523</v>
      </c>
      <c r="B29" s="367"/>
      <c r="C29" s="74" t="s">
        <v>466</v>
      </c>
      <c r="D29" s="114" t="s">
        <v>122</v>
      </c>
      <c r="E29" s="114" t="s">
        <v>109</v>
      </c>
      <c r="F29" s="196" t="s">
        <v>120</v>
      </c>
      <c r="G29" s="216">
        <f>97.5-0.8</f>
        <v>96.7</v>
      </c>
      <c r="H29" s="14">
        <v>507.8</v>
      </c>
      <c r="I29" s="14">
        <f t="shared" si="0"/>
        <v>525.129265770424</v>
      </c>
      <c r="J29" s="37">
        <f>SUM('ведомствен.2014'!G60)</f>
        <v>96.7</v>
      </c>
    </row>
    <row r="30" spans="1:9" ht="42.75">
      <c r="A30" s="156" t="s">
        <v>126</v>
      </c>
      <c r="B30" s="367"/>
      <c r="C30" s="74" t="s">
        <v>466</v>
      </c>
      <c r="D30" s="114" t="s">
        <v>122</v>
      </c>
      <c r="E30" s="114" t="s">
        <v>127</v>
      </c>
      <c r="F30" s="196"/>
      <c r="G30" s="215">
        <f>SUM(G31:G32)</f>
        <v>1392.3999999999999</v>
      </c>
      <c r="H30" s="14"/>
      <c r="I30" s="14">
        <f t="shared" si="0"/>
        <v>0</v>
      </c>
    </row>
    <row r="31" spans="1:10" ht="42.75">
      <c r="A31" s="156" t="s">
        <v>518</v>
      </c>
      <c r="B31" s="367"/>
      <c r="C31" s="74" t="s">
        <v>466</v>
      </c>
      <c r="D31" s="114" t="s">
        <v>122</v>
      </c>
      <c r="E31" s="114" t="s">
        <v>127</v>
      </c>
      <c r="F31" s="196" t="s">
        <v>519</v>
      </c>
      <c r="G31" s="215">
        <v>1368.8</v>
      </c>
      <c r="H31" s="14">
        <v>41.9</v>
      </c>
      <c r="I31" s="14">
        <f t="shared" si="0"/>
        <v>3.061075394506137</v>
      </c>
      <c r="J31" s="37">
        <f>SUM('ведомствен.2014'!G62)</f>
        <v>1368.8</v>
      </c>
    </row>
    <row r="32" spans="1:10" ht="15">
      <c r="A32" s="156" t="s">
        <v>523</v>
      </c>
      <c r="B32" s="367"/>
      <c r="C32" s="74" t="s">
        <v>466</v>
      </c>
      <c r="D32" s="114" t="s">
        <v>122</v>
      </c>
      <c r="E32" s="114" t="s">
        <v>127</v>
      </c>
      <c r="F32" s="196" t="s">
        <v>120</v>
      </c>
      <c r="G32" s="216">
        <v>23.6</v>
      </c>
      <c r="H32" s="14"/>
      <c r="I32" s="14">
        <f>SUM(H32/G32*100)</f>
        <v>0</v>
      </c>
      <c r="J32" s="37">
        <f>SUM('ведомствен.2014'!G63)</f>
        <v>23.6</v>
      </c>
    </row>
    <row r="33" spans="1:9" ht="42.75">
      <c r="A33" s="156" t="s">
        <v>388</v>
      </c>
      <c r="B33" s="367"/>
      <c r="C33" s="74" t="s">
        <v>466</v>
      </c>
      <c r="D33" s="114" t="s">
        <v>122</v>
      </c>
      <c r="E33" s="114" t="s">
        <v>389</v>
      </c>
      <c r="F33" s="196"/>
      <c r="G33" s="215">
        <f>SUM(G34:G35)</f>
        <v>93.8</v>
      </c>
      <c r="H33" s="14"/>
      <c r="I33" s="14"/>
    </row>
    <row r="34" spans="1:10" ht="42.75">
      <c r="A34" s="156" t="s">
        <v>518</v>
      </c>
      <c r="B34" s="367"/>
      <c r="C34" s="74" t="s">
        <v>466</v>
      </c>
      <c r="D34" s="114" t="s">
        <v>122</v>
      </c>
      <c r="E34" s="114" t="s">
        <v>389</v>
      </c>
      <c r="F34" s="196" t="s">
        <v>519</v>
      </c>
      <c r="G34" s="215">
        <v>72.3</v>
      </c>
      <c r="H34" s="14"/>
      <c r="I34" s="14">
        <f t="shared" si="0"/>
        <v>0</v>
      </c>
      <c r="J34" s="37">
        <f>SUM('ведомствен.2014'!G65)</f>
        <v>72.3</v>
      </c>
    </row>
    <row r="35" spans="1:10" ht="15">
      <c r="A35" s="156" t="s">
        <v>523</v>
      </c>
      <c r="B35" s="367"/>
      <c r="C35" s="74" t="s">
        <v>466</v>
      </c>
      <c r="D35" s="114" t="s">
        <v>122</v>
      </c>
      <c r="E35" s="114" t="s">
        <v>389</v>
      </c>
      <c r="F35" s="196" t="s">
        <v>120</v>
      </c>
      <c r="G35" s="216">
        <v>21.5</v>
      </c>
      <c r="H35" s="14"/>
      <c r="I35" s="14"/>
      <c r="J35" s="37">
        <f>SUM('ведомствен.2014'!G66)</f>
        <v>21.5</v>
      </c>
    </row>
    <row r="36" spans="1:9" ht="28.5">
      <c r="A36" s="160" t="s">
        <v>60</v>
      </c>
      <c r="B36" s="368"/>
      <c r="C36" s="113" t="s">
        <v>466</v>
      </c>
      <c r="D36" s="182" t="s">
        <v>122</v>
      </c>
      <c r="E36" s="182" t="s">
        <v>61</v>
      </c>
      <c r="F36" s="197"/>
      <c r="G36" s="215">
        <f>SUM(G37:G38)</f>
        <v>179.6</v>
      </c>
      <c r="H36" s="14"/>
      <c r="I36" s="14"/>
    </row>
    <row r="37" spans="1:10" ht="42.75">
      <c r="A37" s="156" t="s">
        <v>518</v>
      </c>
      <c r="B37" s="367"/>
      <c r="C37" s="74" t="s">
        <v>466</v>
      </c>
      <c r="D37" s="114" t="s">
        <v>122</v>
      </c>
      <c r="E37" s="182" t="s">
        <v>61</v>
      </c>
      <c r="F37" s="196" t="s">
        <v>519</v>
      </c>
      <c r="G37" s="215">
        <v>140</v>
      </c>
      <c r="H37" s="14">
        <f>SUM(H38)</f>
        <v>737.4</v>
      </c>
      <c r="I37" s="14">
        <f t="shared" si="0"/>
        <v>526.7142857142857</v>
      </c>
      <c r="J37" s="37">
        <f>SUM('ведомствен.2014'!G68)</f>
        <v>140</v>
      </c>
    </row>
    <row r="38" spans="1:10" ht="15">
      <c r="A38" s="156" t="s">
        <v>523</v>
      </c>
      <c r="B38" s="367"/>
      <c r="C38" s="74" t="s">
        <v>466</v>
      </c>
      <c r="D38" s="114" t="s">
        <v>122</v>
      </c>
      <c r="E38" s="182" t="s">
        <v>61</v>
      </c>
      <c r="F38" s="196" t="s">
        <v>120</v>
      </c>
      <c r="G38" s="216">
        <v>39.6</v>
      </c>
      <c r="H38" s="14">
        <v>737.4</v>
      </c>
      <c r="I38" s="14">
        <f t="shared" si="0"/>
        <v>1862.121212121212</v>
      </c>
      <c r="J38" s="37">
        <f>SUM('ведомствен.2014'!G69)</f>
        <v>39.6</v>
      </c>
    </row>
    <row r="39" spans="1:10" ht="28.5">
      <c r="A39" s="160" t="s">
        <v>148</v>
      </c>
      <c r="B39" s="368"/>
      <c r="C39" s="113" t="s">
        <v>466</v>
      </c>
      <c r="D39" s="182" t="s">
        <v>122</v>
      </c>
      <c r="E39" s="182" t="s">
        <v>149</v>
      </c>
      <c r="F39" s="197"/>
      <c r="G39" s="215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42.75">
      <c r="A40" s="156" t="s">
        <v>518</v>
      </c>
      <c r="B40" s="367"/>
      <c r="C40" s="74" t="s">
        <v>466</v>
      </c>
      <c r="D40" s="114" t="s">
        <v>122</v>
      </c>
      <c r="E40" s="182" t="s">
        <v>149</v>
      </c>
      <c r="F40" s="196" t="s">
        <v>519</v>
      </c>
      <c r="G40" s="215">
        <v>288.8</v>
      </c>
      <c r="H40" s="14">
        <v>264.8</v>
      </c>
      <c r="I40" s="14">
        <f t="shared" si="0"/>
        <v>91.68975069252078</v>
      </c>
      <c r="J40" s="37">
        <f>SUM('ведомствен.2014'!G71)</f>
        <v>288.8</v>
      </c>
    </row>
    <row r="41" spans="1:10" ht="15">
      <c r="A41" s="156" t="s">
        <v>523</v>
      </c>
      <c r="B41" s="367"/>
      <c r="C41" s="74" t="s">
        <v>466</v>
      </c>
      <c r="D41" s="114" t="s">
        <v>122</v>
      </c>
      <c r="E41" s="182" t="s">
        <v>149</v>
      </c>
      <c r="F41" s="196" t="s">
        <v>120</v>
      </c>
      <c r="G41" s="216">
        <v>68.9</v>
      </c>
      <c r="H41" s="14">
        <f>SUM(H42)</f>
        <v>155.9</v>
      </c>
      <c r="I41" s="14">
        <f t="shared" si="0"/>
        <v>226.26995645863568</v>
      </c>
      <c r="J41" s="37">
        <f>SUM('ведомствен.2014'!G72)</f>
        <v>68.9</v>
      </c>
    </row>
    <row r="42" spans="1:10" ht="28.5">
      <c r="A42" s="156" t="s">
        <v>390</v>
      </c>
      <c r="B42" s="367"/>
      <c r="C42" s="74" t="s">
        <v>108</v>
      </c>
      <c r="D42" s="114" t="s">
        <v>122</v>
      </c>
      <c r="E42" s="114" t="s">
        <v>391</v>
      </c>
      <c r="F42" s="197"/>
      <c r="G42" s="215">
        <f>SUM(G43)</f>
        <v>1240.4</v>
      </c>
      <c r="H42" s="14">
        <f>SUM(H43:H43)</f>
        <v>155.9</v>
      </c>
      <c r="I42" s="14">
        <f t="shared" si="0"/>
        <v>12.568526281844566</v>
      </c>
      <c r="J42"/>
    </row>
    <row r="43" spans="1:10" ht="42" customHeight="1">
      <c r="A43" s="156" t="s">
        <v>518</v>
      </c>
      <c r="B43" s="367"/>
      <c r="C43" s="74" t="s">
        <v>466</v>
      </c>
      <c r="D43" s="114" t="s">
        <v>122</v>
      </c>
      <c r="E43" s="114" t="s">
        <v>391</v>
      </c>
      <c r="F43" s="196" t="s">
        <v>519</v>
      </c>
      <c r="G43" s="215">
        <v>1240.4</v>
      </c>
      <c r="H43" s="14">
        <v>155.9</v>
      </c>
      <c r="I43" s="14">
        <f t="shared" si="0"/>
        <v>12.568526281844566</v>
      </c>
      <c r="J43" s="37">
        <f>SUM('ведомствен.2014'!G74)</f>
        <v>1240.4</v>
      </c>
    </row>
    <row r="44" spans="1:10" ht="15" hidden="1">
      <c r="A44" s="156" t="s">
        <v>130</v>
      </c>
      <c r="B44" s="367"/>
      <c r="C44" s="74" t="s">
        <v>466</v>
      </c>
      <c r="D44" s="114" t="s">
        <v>131</v>
      </c>
      <c r="E44" s="114"/>
      <c r="F44" s="197"/>
      <c r="G44" s="216">
        <f>SUM(G45)</f>
        <v>0</v>
      </c>
      <c r="H44" s="14" t="e">
        <f>SUM(H45)</f>
        <v>#REF!</v>
      </c>
      <c r="I44" s="14" t="e">
        <f t="shared" si="0"/>
        <v>#REF!</v>
      </c>
      <c r="J44"/>
    </row>
    <row r="45" spans="1:10" ht="42.75" hidden="1">
      <c r="A45" s="157" t="s">
        <v>253</v>
      </c>
      <c r="B45" s="367"/>
      <c r="C45" s="74" t="s">
        <v>466</v>
      </c>
      <c r="D45" s="114" t="s">
        <v>131</v>
      </c>
      <c r="E45" s="114" t="s">
        <v>394</v>
      </c>
      <c r="F45" s="197"/>
      <c r="G45" s="216">
        <f>SUM(G46)</f>
        <v>0</v>
      </c>
      <c r="H45" s="14" t="e">
        <f>SUM(H46)</f>
        <v>#REF!</v>
      </c>
      <c r="I45" s="14" t="e">
        <f t="shared" si="0"/>
        <v>#REF!</v>
      </c>
      <c r="J45"/>
    </row>
    <row r="46" spans="1:10" ht="15" hidden="1">
      <c r="A46" s="156" t="s">
        <v>103</v>
      </c>
      <c r="B46" s="367"/>
      <c r="C46" s="74" t="s">
        <v>466</v>
      </c>
      <c r="D46" s="114" t="s">
        <v>131</v>
      </c>
      <c r="E46" s="114" t="s">
        <v>394</v>
      </c>
      <c r="F46" s="196" t="s">
        <v>104</v>
      </c>
      <c r="G46" s="216"/>
      <c r="H46" s="14" t="e">
        <f>SUM('[1]Ведомств.'!G83)</f>
        <v>#REF!</v>
      </c>
      <c r="I46" s="14" t="e">
        <f t="shared" si="0"/>
        <v>#REF!</v>
      </c>
      <c r="J46" s="37">
        <f>SUM('ведомствен.2014'!G77)</f>
        <v>0</v>
      </c>
    </row>
    <row r="47" spans="1:9" s="15" customFormat="1" ht="42.75">
      <c r="A47" s="156" t="s">
        <v>395</v>
      </c>
      <c r="B47" s="367"/>
      <c r="C47" s="74" t="s">
        <v>466</v>
      </c>
      <c r="D47" s="114" t="s">
        <v>396</v>
      </c>
      <c r="E47" s="114"/>
      <c r="F47" s="196"/>
      <c r="G47" s="215">
        <f>SUM(G48)</f>
        <v>24231.8</v>
      </c>
      <c r="H47" s="14">
        <f>SUM(H48)</f>
        <v>12415.9</v>
      </c>
      <c r="I47" s="14">
        <f t="shared" si="0"/>
        <v>51.23804257215725</v>
      </c>
    </row>
    <row r="48" spans="1:9" s="15" customFormat="1" ht="42.75">
      <c r="A48" s="156" t="s">
        <v>99</v>
      </c>
      <c r="B48" s="367"/>
      <c r="C48" s="74" t="s">
        <v>466</v>
      </c>
      <c r="D48" s="114" t="s">
        <v>396</v>
      </c>
      <c r="E48" s="114" t="s">
        <v>100</v>
      </c>
      <c r="F48" s="196"/>
      <c r="G48" s="215">
        <f>SUM(G49)+G52+G54</f>
        <v>24231.8</v>
      </c>
      <c r="H48" s="14">
        <f>SUM(H49+H54)</f>
        <v>12415.9</v>
      </c>
      <c r="I48" s="14">
        <f t="shared" si="0"/>
        <v>51.23804257215725</v>
      </c>
    </row>
    <row r="49" spans="1:9" s="15" customFormat="1" ht="15">
      <c r="A49" s="156" t="s">
        <v>107</v>
      </c>
      <c r="B49" s="367"/>
      <c r="C49" s="74" t="s">
        <v>466</v>
      </c>
      <c r="D49" s="114" t="s">
        <v>396</v>
      </c>
      <c r="E49" s="114" t="s">
        <v>109</v>
      </c>
      <c r="F49" s="196"/>
      <c r="G49" s="215">
        <f>SUM(G50+G51)</f>
        <v>6551</v>
      </c>
      <c r="H49" s="14">
        <f>SUM(H50+H52)</f>
        <v>11864.3</v>
      </c>
      <c r="I49" s="14">
        <f t="shared" si="0"/>
        <v>181.10670126698213</v>
      </c>
    </row>
    <row r="50" spans="1:10" s="15" customFormat="1" ht="42.75">
      <c r="A50" s="156" t="s">
        <v>518</v>
      </c>
      <c r="B50" s="367"/>
      <c r="C50" s="74" t="s">
        <v>108</v>
      </c>
      <c r="D50" s="114" t="s">
        <v>396</v>
      </c>
      <c r="E50" s="114" t="s">
        <v>109</v>
      </c>
      <c r="F50" s="198" t="s">
        <v>519</v>
      </c>
      <c r="G50" s="215">
        <v>6534.1</v>
      </c>
      <c r="H50" s="14">
        <v>2278</v>
      </c>
      <c r="I50" s="14">
        <f t="shared" si="0"/>
        <v>34.86325584242665</v>
      </c>
      <c r="J50" s="38">
        <f>SUM('ведомствен.2014'!G40+'ведомствен.2014'!G306)</f>
        <v>6534.1</v>
      </c>
    </row>
    <row r="51" spans="1:10" s="15" customFormat="1" ht="15">
      <c r="A51" s="156" t="s">
        <v>523</v>
      </c>
      <c r="B51" s="367"/>
      <c r="C51" s="74" t="s">
        <v>466</v>
      </c>
      <c r="D51" s="114" t="s">
        <v>396</v>
      </c>
      <c r="E51" s="114" t="s">
        <v>109</v>
      </c>
      <c r="F51" s="196" t="s">
        <v>120</v>
      </c>
      <c r="G51" s="216">
        <f>16.1+0.8</f>
        <v>16.900000000000002</v>
      </c>
      <c r="H51" s="14"/>
      <c r="I51" s="14"/>
      <c r="J51" s="38">
        <f>SUM('ведомствен.2014'!G41+'ведомствен.2014'!G307)</f>
        <v>16.900000000000002</v>
      </c>
    </row>
    <row r="52" spans="1:10" ht="28.5">
      <c r="A52" s="156" t="s">
        <v>397</v>
      </c>
      <c r="B52" s="367"/>
      <c r="C52" s="74" t="s">
        <v>108</v>
      </c>
      <c r="D52" s="114" t="s">
        <v>396</v>
      </c>
      <c r="E52" s="114" t="s">
        <v>398</v>
      </c>
      <c r="F52" s="196"/>
      <c r="G52" s="215">
        <f>SUM(G53)</f>
        <v>15988.8</v>
      </c>
      <c r="H52" s="14">
        <f>SUM(H53)</f>
        <v>9586.3</v>
      </c>
      <c r="I52" s="14">
        <f t="shared" si="0"/>
        <v>59.956344441108776</v>
      </c>
      <c r="J52"/>
    </row>
    <row r="53" spans="1:10" s="16" customFormat="1" ht="42.75">
      <c r="A53" s="156" t="s">
        <v>518</v>
      </c>
      <c r="B53" s="367"/>
      <c r="C53" s="74" t="s">
        <v>108</v>
      </c>
      <c r="D53" s="114" t="s">
        <v>396</v>
      </c>
      <c r="E53" s="114" t="s">
        <v>398</v>
      </c>
      <c r="F53" s="198" t="s">
        <v>519</v>
      </c>
      <c r="G53" s="215">
        <v>15988.8</v>
      </c>
      <c r="H53" s="14">
        <v>9586.3</v>
      </c>
      <c r="I53" s="14">
        <f t="shared" si="0"/>
        <v>59.956344441108776</v>
      </c>
      <c r="J53" s="38">
        <f>SUM('ведомствен.2014'!G309)</f>
        <v>15988.8</v>
      </c>
    </row>
    <row r="54" spans="1:10" ht="28.5">
      <c r="A54" s="156" t="s">
        <v>399</v>
      </c>
      <c r="B54" s="367"/>
      <c r="C54" s="74" t="s">
        <v>108</v>
      </c>
      <c r="D54" s="114" t="s">
        <v>396</v>
      </c>
      <c r="E54" s="114" t="s">
        <v>400</v>
      </c>
      <c r="F54" s="198"/>
      <c r="G54" s="215">
        <f>SUM(G55)</f>
        <v>1692</v>
      </c>
      <c r="H54" s="14">
        <f>SUM(H55)</f>
        <v>551.6</v>
      </c>
      <c r="I54" s="14">
        <f t="shared" si="0"/>
        <v>32.600472813238774</v>
      </c>
      <c r="J54"/>
    </row>
    <row r="55" spans="1:10" ht="42.75">
      <c r="A55" s="156" t="s">
        <v>518</v>
      </c>
      <c r="B55" s="367"/>
      <c r="C55" s="74" t="s">
        <v>108</v>
      </c>
      <c r="D55" s="114" t="s">
        <v>396</v>
      </c>
      <c r="E55" s="114" t="s">
        <v>400</v>
      </c>
      <c r="F55" s="196" t="s">
        <v>519</v>
      </c>
      <c r="G55" s="215">
        <v>1692</v>
      </c>
      <c r="H55" s="14">
        <v>551.6</v>
      </c>
      <c r="I55" s="14">
        <f aca="true" t="shared" si="1" ref="I55:I85">SUM(H55/G55*100)</f>
        <v>32.600472813238774</v>
      </c>
      <c r="J55" s="37">
        <f>SUM('ведомствен.2014'!G43)</f>
        <v>1692</v>
      </c>
    </row>
    <row r="56" spans="1:10" ht="15" hidden="1">
      <c r="A56" s="160" t="s">
        <v>401</v>
      </c>
      <c r="B56" s="368"/>
      <c r="C56" s="113" t="s">
        <v>466</v>
      </c>
      <c r="D56" s="182" t="s">
        <v>117</v>
      </c>
      <c r="E56" s="182"/>
      <c r="F56" s="197"/>
      <c r="G56" s="216">
        <f>SUM(G57)</f>
        <v>0</v>
      </c>
      <c r="H56" s="14">
        <f>SUM(H57)</f>
        <v>4219.8</v>
      </c>
      <c r="I56" s="14" t="e">
        <f t="shared" si="1"/>
        <v>#DIV/0!</v>
      </c>
      <c r="J56"/>
    </row>
    <row r="57" spans="1:10" ht="15" hidden="1">
      <c r="A57" s="160" t="s">
        <v>401</v>
      </c>
      <c r="B57" s="368"/>
      <c r="C57" s="113" t="s">
        <v>466</v>
      </c>
      <c r="D57" s="182" t="s">
        <v>117</v>
      </c>
      <c r="E57" s="182" t="s">
        <v>402</v>
      </c>
      <c r="F57" s="197"/>
      <c r="G57" s="216">
        <f>SUM(G58+G60)</f>
        <v>0</v>
      </c>
      <c r="H57" s="14">
        <f>SUM(H58+H60)</f>
        <v>4219.8</v>
      </c>
      <c r="I57" s="14" t="e">
        <f t="shared" si="1"/>
        <v>#DIV/0!</v>
      </c>
      <c r="J57"/>
    </row>
    <row r="58" spans="1:10" ht="28.5" hidden="1">
      <c r="A58" s="156" t="s">
        <v>403</v>
      </c>
      <c r="B58" s="368"/>
      <c r="C58" s="113" t="s">
        <v>466</v>
      </c>
      <c r="D58" s="182" t="s">
        <v>117</v>
      </c>
      <c r="E58" s="182" t="s">
        <v>404</v>
      </c>
      <c r="F58" s="197"/>
      <c r="G58" s="216">
        <f>SUM(G59:G59)</f>
        <v>0</v>
      </c>
      <c r="H58" s="14">
        <f>SUM(H59:H59)</f>
        <v>2142.4</v>
      </c>
      <c r="I58" s="14" t="e">
        <f t="shared" si="1"/>
        <v>#DIV/0!</v>
      </c>
      <c r="J58"/>
    </row>
    <row r="59" spans="1:10" ht="15" hidden="1">
      <c r="A59" s="156" t="s">
        <v>103</v>
      </c>
      <c r="B59" s="368"/>
      <c r="C59" s="113" t="s">
        <v>466</v>
      </c>
      <c r="D59" s="182" t="s">
        <v>117</v>
      </c>
      <c r="E59" s="182" t="s">
        <v>404</v>
      </c>
      <c r="F59" s="197" t="s">
        <v>104</v>
      </c>
      <c r="G59" s="216"/>
      <c r="H59" s="14">
        <v>2142.4</v>
      </c>
      <c r="I59" s="14" t="e">
        <f t="shared" si="1"/>
        <v>#DIV/0!</v>
      </c>
      <c r="J59"/>
    </row>
    <row r="60" spans="1:10" ht="15" hidden="1">
      <c r="A60" s="156" t="s">
        <v>405</v>
      </c>
      <c r="B60" s="368"/>
      <c r="C60" s="113" t="s">
        <v>466</v>
      </c>
      <c r="D60" s="182" t="s">
        <v>117</v>
      </c>
      <c r="E60" s="182" t="s">
        <v>406</v>
      </c>
      <c r="F60" s="197"/>
      <c r="G60" s="216">
        <f>SUM(G61)</f>
        <v>0</v>
      </c>
      <c r="H60" s="14">
        <f>SUM(H61)</f>
        <v>2077.4</v>
      </c>
      <c r="I60" s="14" t="e">
        <f t="shared" si="1"/>
        <v>#DIV/0!</v>
      </c>
      <c r="J60"/>
    </row>
    <row r="61" spans="1:10" ht="15" hidden="1">
      <c r="A61" s="156" t="s">
        <v>103</v>
      </c>
      <c r="B61" s="368"/>
      <c r="C61" s="113" t="s">
        <v>466</v>
      </c>
      <c r="D61" s="182" t="s">
        <v>117</v>
      </c>
      <c r="E61" s="182" t="s">
        <v>406</v>
      </c>
      <c r="F61" s="197" t="s">
        <v>104</v>
      </c>
      <c r="G61" s="216"/>
      <c r="H61" s="14">
        <v>2077.4</v>
      </c>
      <c r="I61" s="14" t="e">
        <f t="shared" si="1"/>
        <v>#DIV/0!</v>
      </c>
      <c r="J61"/>
    </row>
    <row r="62" spans="1:9" s="15" customFormat="1" ht="15">
      <c r="A62" s="156" t="s">
        <v>412</v>
      </c>
      <c r="B62" s="367"/>
      <c r="C62" s="74" t="s">
        <v>466</v>
      </c>
      <c r="D62" s="114" t="s">
        <v>424</v>
      </c>
      <c r="E62" s="114"/>
      <c r="F62" s="196"/>
      <c r="G62" s="215">
        <f>SUM(G63)</f>
        <v>2112.2</v>
      </c>
      <c r="H62" s="14" t="e">
        <f>SUM(H63)</f>
        <v>#REF!</v>
      </c>
      <c r="I62" s="14" t="e">
        <f t="shared" si="1"/>
        <v>#REF!</v>
      </c>
    </row>
    <row r="63" spans="1:9" s="15" customFormat="1" ht="15">
      <c r="A63" s="156" t="s">
        <v>392</v>
      </c>
      <c r="B63" s="367"/>
      <c r="C63" s="74" t="s">
        <v>466</v>
      </c>
      <c r="D63" s="114" t="s">
        <v>424</v>
      </c>
      <c r="E63" s="114" t="s">
        <v>530</v>
      </c>
      <c r="F63" s="196"/>
      <c r="G63" s="215">
        <f>SUM(G64)</f>
        <v>2112.2</v>
      </c>
      <c r="H63" s="14" t="e">
        <f>SUM(#REF!)</f>
        <v>#REF!</v>
      </c>
      <c r="I63" s="14" t="e">
        <f t="shared" si="1"/>
        <v>#REF!</v>
      </c>
    </row>
    <row r="64" spans="1:10" s="15" customFormat="1" ht="15">
      <c r="A64" s="156" t="s">
        <v>524</v>
      </c>
      <c r="B64" s="367"/>
      <c r="C64" s="74" t="s">
        <v>466</v>
      </c>
      <c r="D64" s="114" t="s">
        <v>424</v>
      </c>
      <c r="E64" s="114" t="s">
        <v>530</v>
      </c>
      <c r="F64" s="196" t="s">
        <v>177</v>
      </c>
      <c r="G64" s="215">
        <v>2112.2</v>
      </c>
      <c r="H64" s="14" t="e">
        <f>SUM(#REF!)</f>
        <v>#REF!</v>
      </c>
      <c r="I64" s="14" t="e">
        <f t="shared" si="1"/>
        <v>#REF!</v>
      </c>
      <c r="J64" s="15">
        <f>SUM('ведомствен.2014'!G312)</f>
        <v>2112.2</v>
      </c>
    </row>
    <row r="65" spans="1:10" ht="15">
      <c r="A65" s="156" t="s">
        <v>112</v>
      </c>
      <c r="B65" s="367"/>
      <c r="C65" s="74" t="s">
        <v>466</v>
      </c>
      <c r="D65" s="114" t="s">
        <v>239</v>
      </c>
      <c r="E65" s="114"/>
      <c r="F65" s="197"/>
      <c r="G65" s="215">
        <f>SUM(G66+G78)</f>
        <v>40736</v>
      </c>
      <c r="H65" s="14" t="e">
        <f>SUM(H66+H80+#REF!+#REF!+#REF!+#REF!+H71+H77)</f>
        <v>#REF!</v>
      </c>
      <c r="I65" s="14" t="e">
        <f t="shared" si="1"/>
        <v>#REF!</v>
      </c>
      <c r="J65"/>
    </row>
    <row r="66" spans="1:10" ht="28.5">
      <c r="A66" s="160" t="s">
        <v>520</v>
      </c>
      <c r="B66" s="211"/>
      <c r="C66" s="235" t="s">
        <v>466</v>
      </c>
      <c r="D66" s="183" t="s">
        <v>239</v>
      </c>
      <c r="E66" s="183" t="s">
        <v>521</v>
      </c>
      <c r="F66" s="234"/>
      <c r="G66" s="213">
        <f>G67+G70+G72+G74</f>
        <v>38270.1</v>
      </c>
      <c r="H66" s="14">
        <f>SUM(H67+H69)</f>
        <v>2749.5</v>
      </c>
      <c r="I66" s="14">
        <f t="shared" si="1"/>
        <v>7.1844599308598625</v>
      </c>
      <c r="J66"/>
    </row>
    <row r="67" spans="1:10" ht="15">
      <c r="A67" s="160" t="s">
        <v>509</v>
      </c>
      <c r="B67" s="369"/>
      <c r="C67" s="235" t="s">
        <v>466</v>
      </c>
      <c r="D67" s="183" t="s">
        <v>239</v>
      </c>
      <c r="E67" s="183" t="s">
        <v>522</v>
      </c>
      <c r="F67" s="201"/>
      <c r="G67" s="213">
        <f>G68+G69</f>
        <v>3660.5</v>
      </c>
      <c r="H67" s="14">
        <f>SUM(H68)</f>
        <v>2749.5</v>
      </c>
      <c r="I67" s="14">
        <f t="shared" si="1"/>
        <v>75.11268952328916</v>
      </c>
      <c r="J67"/>
    </row>
    <row r="68" spans="1:10" ht="15">
      <c r="A68" s="160" t="s">
        <v>523</v>
      </c>
      <c r="B68" s="369"/>
      <c r="C68" s="235" t="s">
        <v>466</v>
      </c>
      <c r="D68" s="183" t="s">
        <v>239</v>
      </c>
      <c r="E68" s="183" t="s">
        <v>522</v>
      </c>
      <c r="F68" s="201" t="s">
        <v>120</v>
      </c>
      <c r="G68" s="213">
        <v>3536.6</v>
      </c>
      <c r="H68" s="14">
        <v>2749.5</v>
      </c>
      <c r="I68" s="14">
        <f t="shared" si="1"/>
        <v>77.7441610586439</v>
      </c>
      <c r="J68" s="37">
        <f>SUM('ведомствен.2014'!G27+'ведомствен.2014'!G47+'ведомствен.2014'!G81+'ведомствен.2014'!G316)</f>
        <v>3536.6</v>
      </c>
    </row>
    <row r="69" spans="1:10" ht="15">
      <c r="A69" s="160" t="s">
        <v>524</v>
      </c>
      <c r="B69" s="369"/>
      <c r="C69" s="235" t="s">
        <v>466</v>
      </c>
      <c r="D69" s="183" t="s">
        <v>239</v>
      </c>
      <c r="E69" s="183" t="s">
        <v>522</v>
      </c>
      <c r="F69" s="201" t="s">
        <v>177</v>
      </c>
      <c r="G69" s="213">
        <v>123.9</v>
      </c>
      <c r="H69" s="14">
        <f>SUM(H70)</f>
        <v>0</v>
      </c>
      <c r="I69" s="14">
        <f t="shared" si="1"/>
        <v>0</v>
      </c>
      <c r="J69" s="37">
        <f>SUM('ведомствен.2014'!G28+'ведомствен.2014'!G48+'ведомствен.2014'!G82+'ведомствен.2014'!G317)</f>
        <v>123.9</v>
      </c>
    </row>
    <row r="70" spans="1:9" ht="28.5">
      <c r="A70" s="160" t="s">
        <v>510</v>
      </c>
      <c r="B70" s="369"/>
      <c r="C70" s="235" t="s">
        <v>466</v>
      </c>
      <c r="D70" s="183" t="s">
        <v>239</v>
      </c>
      <c r="E70" s="183" t="s">
        <v>525</v>
      </c>
      <c r="F70" s="201"/>
      <c r="G70" s="213">
        <f>SUM(G71)</f>
        <v>9654</v>
      </c>
      <c r="H70" s="14"/>
      <c r="I70" s="14">
        <f t="shared" si="1"/>
        <v>0</v>
      </c>
    </row>
    <row r="71" spans="1:10" ht="15">
      <c r="A71" s="160" t="s">
        <v>523</v>
      </c>
      <c r="B71" s="369"/>
      <c r="C71" s="235" t="s">
        <v>466</v>
      </c>
      <c r="D71" s="183" t="s">
        <v>239</v>
      </c>
      <c r="E71" s="183" t="s">
        <v>525</v>
      </c>
      <c r="F71" s="201" t="s">
        <v>120</v>
      </c>
      <c r="G71" s="213">
        <v>9654</v>
      </c>
      <c r="H71" s="14">
        <f>SUM(H74+H73)</f>
        <v>836.4</v>
      </c>
      <c r="I71" s="14">
        <f t="shared" si="1"/>
        <v>8.663766314481045</v>
      </c>
      <c r="J71" s="37">
        <f>SUM('ведомствен.2014'!G30+'ведомствен.2014'!G50+'ведомствен.2014'!G84+'ведомствен.2014'!G319)</f>
        <v>9654</v>
      </c>
    </row>
    <row r="72" spans="1:10" ht="28.5">
      <c r="A72" s="160" t="s">
        <v>545</v>
      </c>
      <c r="B72" s="369"/>
      <c r="C72" s="235" t="s">
        <v>466</v>
      </c>
      <c r="D72" s="183" t="s">
        <v>239</v>
      </c>
      <c r="E72" s="183" t="s">
        <v>546</v>
      </c>
      <c r="F72" s="201"/>
      <c r="G72" s="213">
        <f>SUM(G73)</f>
        <v>1448.8</v>
      </c>
      <c r="H72" s="14">
        <f>SUM(H73)</f>
        <v>0</v>
      </c>
      <c r="I72" s="14">
        <f t="shared" si="1"/>
        <v>0</v>
      </c>
      <c r="J72"/>
    </row>
    <row r="73" spans="1:10" ht="15">
      <c r="A73" s="160" t="s">
        <v>523</v>
      </c>
      <c r="B73" s="369"/>
      <c r="C73" s="235" t="s">
        <v>466</v>
      </c>
      <c r="D73" s="183" t="s">
        <v>239</v>
      </c>
      <c r="E73" s="183" t="s">
        <v>546</v>
      </c>
      <c r="F73" s="201" t="s">
        <v>120</v>
      </c>
      <c r="G73" s="213">
        <v>1448.8</v>
      </c>
      <c r="H73" s="14"/>
      <c r="I73" s="14">
        <f t="shared" si="1"/>
        <v>0</v>
      </c>
      <c r="J73">
        <f>SUM('ведомствен.2014'!G86)</f>
        <v>1448.8</v>
      </c>
    </row>
    <row r="74" spans="1:10" ht="28.5">
      <c r="A74" s="160" t="s">
        <v>526</v>
      </c>
      <c r="B74" s="369"/>
      <c r="C74" s="235" t="s">
        <v>466</v>
      </c>
      <c r="D74" s="183" t="s">
        <v>239</v>
      </c>
      <c r="E74" s="183" t="s">
        <v>527</v>
      </c>
      <c r="F74" s="201"/>
      <c r="G74" s="213">
        <f>SUM(G75:G77)</f>
        <v>23506.8</v>
      </c>
      <c r="H74" s="14">
        <f>SUM(H75)</f>
        <v>836.4</v>
      </c>
      <c r="I74" s="14">
        <f t="shared" si="1"/>
        <v>3.558119352697943</v>
      </c>
      <c r="J74"/>
    </row>
    <row r="75" spans="1:10" ht="15">
      <c r="A75" s="160" t="s">
        <v>523</v>
      </c>
      <c r="B75" s="369"/>
      <c r="C75" s="235" t="s">
        <v>466</v>
      </c>
      <c r="D75" s="183" t="s">
        <v>239</v>
      </c>
      <c r="E75" s="183" t="s">
        <v>527</v>
      </c>
      <c r="F75" s="201" t="s">
        <v>120</v>
      </c>
      <c r="G75" s="213">
        <v>20411.7</v>
      </c>
      <c r="H75" s="14">
        <v>836.4</v>
      </c>
      <c r="I75" s="14">
        <f t="shared" si="1"/>
        <v>4.097649877276268</v>
      </c>
      <c r="J75">
        <f>SUM('ведомствен.2014'!G32+'ведомствен.2014'!G52+'ведомствен.2014'!G88+'ведомствен.2014'!G321)</f>
        <v>20411.7</v>
      </c>
    </row>
    <row r="76" spans="1:10" ht="15">
      <c r="A76" s="156" t="s">
        <v>528</v>
      </c>
      <c r="B76" s="367"/>
      <c r="C76" s="74" t="s">
        <v>466</v>
      </c>
      <c r="D76" s="114" t="s">
        <v>239</v>
      </c>
      <c r="E76" s="114" t="s">
        <v>527</v>
      </c>
      <c r="F76" s="198" t="s">
        <v>529</v>
      </c>
      <c r="G76" s="215">
        <v>416</v>
      </c>
      <c r="H76" s="14"/>
      <c r="I76" s="14"/>
      <c r="J76">
        <f>SUM('ведомствен.2014'!G33)</f>
        <v>416</v>
      </c>
    </row>
    <row r="77" spans="1:10" ht="15">
      <c r="A77" s="160" t="s">
        <v>524</v>
      </c>
      <c r="B77" s="369"/>
      <c r="C77" s="235" t="s">
        <v>466</v>
      </c>
      <c r="D77" s="183" t="s">
        <v>239</v>
      </c>
      <c r="E77" s="183" t="s">
        <v>527</v>
      </c>
      <c r="F77" s="201" t="s">
        <v>177</v>
      </c>
      <c r="G77" s="213">
        <v>2679.1</v>
      </c>
      <c r="H77" s="14">
        <f>SUM(H79)</f>
        <v>536.9</v>
      </c>
      <c r="I77" s="14">
        <f t="shared" si="1"/>
        <v>20.04031204508977</v>
      </c>
      <c r="J77">
        <f>SUM('ведомствен.2014'!G34+'ведомствен.2014'!G53+'ведомствен.2014'!G89+'ведомствен.2014'!G322)</f>
        <v>2679.1</v>
      </c>
    </row>
    <row r="78" spans="1:10" ht="28.5">
      <c r="A78" s="160" t="s">
        <v>623</v>
      </c>
      <c r="B78" s="369"/>
      <c r="C78" s="235" t="s">
        <v>466</v>
      </c>
      <c r="D78" s="183" t="s">
        <v>239</v>
      </c>
      <c r="E78" s="183" t="s">
        <v>136</v>
      </c>
      <c r="F78" s="201"/>
      <c r="G78" s="213">
        <f>G79</f>
        <v>2465.9</v>
      </c>
      <c r="H78" s="14">
        <f>SUM(H79)</f>
        <v>536.9</v>
      </c>
      <c r="I78" s="14">
        <f t="shared" si="1"/>
        <v>21.772983494870026</v>
      </c>
      <c r="J78"/>
    </row>
    <row r="79" spans="1:10" ht="28.5">
      <c r="A79" s="160" t="s">
        <v>15</v>
      </c>
      <c r="B79" s="369"/>
      <c r="C79" s="235" t="s">
        <v>466</v>
      </c>
      <c r="D79" s="183" t="s">
        <v>239</v>
      </c>
      <c r="E79" s="183" t="s">
        <v>205</v>
      </c>
      <c r="F79" s="201"/>
      <c r="G79" s="213">
        <f>G80+G82</f>
        <v>2465.9</v>
      </c>
      <c r="H79" s="14">
        <f>423.2+113.7</f>
        <v>536.9</v>
      </c>
      <c r="I79" s="14">
        <f t="shared" si="1"/>
        <v>21.772983494870026</v>
      </c>
      <c r="J79"/>
    </row>
    <row r="80" spans="1:10" ht="28.5">
      <c r="A80" s="268" t="s">
        <v>664</v>
      </c>
      <c r="B80" s="369"/>
      <c r="C80" s="235" t="s">
        <v>466</v>
      </c>
      <c r="D80" s="183" t="s">
        <v>239</v>
      </c>
      <c r="E80" s="183" t="s">
        <v>207</v>
      </c>
      <c r="F80" s="201"/>
      <c r="G80" s="213">
        <f>SUM(G81)</f>
        <v>2380.3</v>
      </c>
      <c r="H80" s="14">
        <f>SUM(H82)</f>
        <v>917.7</v>
      </c>
      <c r="I80" s="14">
        <f t="shared" si="1"/>
        <v>38.55396378607738</v>
      </c>
      <c r="J80"/>
    </row>
    <row r="81" spans="1:10" ht="28.5">
      <c r="A81" s="160" t="s">
        <v>547</v>
      </c>
      <c r="B81" s="369"/>
      <c r="C81" s="235" t="s">
        <v>466</v>
      </c>
      <c r="D81" s="183" t="s">
        <v>239</v>
      </c>
      <c r="E81" s="183" t="s">
        <v>207</v>
      </c>
      <c r="F81" s="201" t="s">
        <v>536</v>
      </c>
      <c r="G81" s="213">
        <v>2380.3</v>
      </c>
      <c r="H81" s="14"/>
      <c r="I81" s="14"/>
      <c r="J81">
        <f>SUM('ведомствен.2014'!G93)</f>
        <v>2380.3</v>
      </c>
    </row>
    <row r="82" spans="1:10" ht="28.5">
      <c r="A82" s="156" t="s">
        <v>158</v>
      </c>
      <c r="B82" s="369"/>
      <c r="C82" s="235" t="s">
        <v>466</v>
      </c>
      <c r="D82" s="183" t="s">
        <v>239</v>
      </c>
      <c r="E82" s="183" t="s">
        <v>420</v>
      </c>
      <c r="F82" s="201"/>
      <c r="G82" s="213">
        <f>SUM(G83)</f>
        <v>85.6</v>
      </c>
      <c r="H82" s="14">
        <f>SUM(H83)</f>
        <v>917.7</v>
      </c>
      <c r="I82" s="14">
        <f t="shared" si="1"/>
        <v>1072.0794392523367</v>
      </c>
      <c r="J82"/>
    </row>
    <row r="83" spans="1:10" ht="28.5">
      <c r="A83" s="160" t="s">
        <v>144</v>
      </c>
      <c r="B83" s="369"/>
      <c r="C83" s="235" t="s">
        <v>466</v>
      </c>
      <c r="D83" s="183" t="s">
        <v>239</v>
      </c>
      <c r="E83" s="183" t="s">
        <v>421</v>
      </c>
      <c r="F83" s="201"/>
      <c r="G83" s="213">
        <f>SUM(G84)</f>
        <v>85.6</v>
      </c>
      <c r="H83" s="14">
        <v>917.7</v>
      </c>
      <c r="I83" s="14">
        <f t="shared" si="1"/>
        <v>1072.0794392523367</v>
      </c>
      <c r="J83">
        <f>SUM('ведомствен.2014'!G95)</f>
        <v>85.6</v>
      </c>
    </row>
    <row r="84" spans="1:9" ht="28.5">
      <c r="A84" s="160" t="s">
        <v>547</v>
      </c>
      <c r="B84" s="369"/>
      <c r="C84" s="235" t="s">
        <v>466</v>
      </c>
      <c r="D84" s="183" t="s">
        <v>239</v>
      </c>
      <c r="E84" s="183" t="s">
        <v>421</v>
      </c>
      <c r="F84" s="201" t="s">
        <v>536</v>
      </c>
      <c r="G84" s="213">
        <v>85.6</v>
      </c>
      <c r="H84" s="14"/>
      <c r="I84" s="14"/>
    </row>
    <row r="85" spans="1:12" s="13" customFormat="1" ht="30">
      <c r="A85" s="159" t="s">
        <v>139</v>
      </c>
      <c r="B85" s="370"/>
      <c r="C85" s="203" t="s">
        <v>106</v>
      </c>
      <c r="D85" s="185"/>
      <c r="E85" s="185"/>
      <c r="F85" s="200"/>
      <c r="G85" s="217">
        <f>SUM(G86+G92)</f>
        <v>21580.8</v>
      </c>
      <c r="H85" s="17" t="e">
        <f>SUM(#REF!+H90)+H110</f>
        <v>#REF!</v>
      </c>
      <c r="I85" s="17" t="e">
        <f t="shared" si="1"/>
        <v>#REF!</v>
      </c>
      <c r="K85" s="13">
        <f>SUM(J86:J113)</f>
        <v>21580.800000000003</v>
      </c>
      <c r="L85" s="13">
        <f>SUM('ведомствен.2014'!G98)</f>
        <v>21580.8</v>
      </c>
    </row>
    <row r="86" spans="1:9" s="16" customFormat="1" ht="15">
      <c r="A86" s="161" t="s">
        <v>59</v>
      </c>
      <c r="B86" s="369"/>
      <c r="C86" s="235" t="s">
        <v>106</v>
      </c>
      <c r="D86" s="183" t="s">
        <v>122</v>
      </c>
      <c r="E86" s="183"/>
      <c r="F86" s="201"/>
      <c r="G86" s="213">
        <f>SUM(G88)</f>
        <v>4966.7</v>
      </c>
      <c r="H86" s="14">
        <f>SUM(H88)</f>
        <v>0</v>
      </c>
      <c r="I86" s="14" t="e">
        <f>SUM(H86/#REF!*100)</f>
        <v>#REF!</v>
      </c>
    </row>
    <row r="87" spans="1:9" s="16" customFormat="1" ht="15">
      <c r="A87" s="160" t="s">
        <v>415</v>
      </c>
      <c r="B87" s="369"/>
      <c r="C87" s="235" t="s">
        <v>106</v>
      </c>
      <c r="D87" s="183" t="s">
        <v>122</v>
      </c>
      <c r="E87" s="183" t="s">
        <v>416</v>
      </c>
      <c r="F87" s="201"/>
      <c r="G87" s="213">
        <f>SUM(G88)</f>
        <v>4966.7</v>
      </c>
      <c r="H87" s="14"/>
      <c r="I87" s="14"/>
    </row>
    <row r="88" spans="1:9" s="16" customFormat="1" ht="28.5">
      <c r="A88" s="160" t="s">
        <v>640</v>
      </c>
      <c r="B88" s="369"/>
      <c r="C88" s="235" t="s">
        <v>106</v>
      </c>
      <c r="D88" s="183" t="s">
        <v>122</v>
      </c>
      <c r="E88" s="183" t="s">
        <v>677</v>
      </c>
      <c r="F88" s="201"/>
      <c r="G88" s="213">
        <f>G89+G90+G91</f>
        <v>4966.7</v>
      </c>
      <c r="H88" s="14">
        <f>SUM(H89)</f>
        <v>0</v>
      </c>
      <c r="I88" s="14" t="e">
        <f>SUM(H88/#REF!*100)</f>
        <v>#REF!</v>
      </c>
    </row>
    <row r="89" spans="1:10" s="16" customFormat="1" ht="42.75">
      <c r="A89" s="160" t="s">
        <v>518</v>
      </c>
      <c r="B89" s="369"/>
      <c r="C89" s="235" t="s">
        <v>106</v>
      </c>
      <c r="D89" s="183" t="s">
        <v>122</v>
      </c>
      <c r="E89" s="183" t="s">
        <v>677</v>
      </c>
      <c r="F89" s="201" t="s">
        <v>519</v>
      </c>
      <c r="G89" s="213">
        <v>3843.6</v>
      </c>
      <c r="H89" s="14"/>
      <c r="I89" s="14" t="e">
        <f>SUM(H89/#REF!*100)</f>
        <v>#REF!</v>
      </c>
      <c r="J89" s="16">
        <f>SUM('ведомствен.2014'!G102)</f>
        <v>3843.6</v>
      </c>
    </row>
    <row r="90" spans="1:10" ht="15">
      <c r="A90" s="160" t="s">
        <v>523</v>
      </c>
      <c r="B90" s="369"/>
      <c r="C90" s="235" t="s">
        <v>106</v>
      </c>
      <c r="D90" s="183" t="s">
        <v>122</v>
      </c>
      <c r="E90" s="183" t="s">
        <v>677</v>
      </c>
      <c r="F90" s="201" t="s">
        <v>120</v>
      </c>
      <c r="G90" s="213">
        <v>1025.1</v>
      </c>
      <c r="H90" s="14" t="e">
        <f>SUM(#REF!+H95+H98+H101)+#REF!</f>
        <v>#REF!</v>
      </c>
      <c r="I90" s="14" t="e">
        <f>SUM(H90/G92*100)</f>
        <v>#REF!</v>
      </c>
      <c r="J90" s="16">
        <f>SUM('ведомствен.2014'!G103)</f>
        <v>1025.1</v>
      </c>
    </row>
    <row r="91" spans="1:10" ht="15">
      <c r="A91" s="160" t="s">
        <v>524</v>
      </c>
      <c r="B91" s="369"/>
      <c r="C91" s="235" t="s">
        <v>106</v>
      </c>
      <c r="D91" s="183" t="s">
        <v>122</v>
      </c>
      <c r="E91" s="183" t="s">
        <v>677</v>
      </c>
      <c r="F91" s="201" t="s">
        <v>177</v>
      </c>
      <c r="G91" s="213">
        <v>98</v>
      </c>
      <c r="H91" s="14" t="e">
        <f>SUM(#REF!)</f>
        <v>#REF!</v>
      </c>
      <c r="I91" s="14" t="e">
        <f>SUM(H91/G93*100)</f>
        <v>#REF!</v>
      </c>
      <c r="J91" s="16">
        <f>SUM('ведомствен.2014'!G104)</f>
        <v>98</v>
      </c>
    </row>
    <row r="92" spans="1:9" ht="42.75">
      <c r="A92" s="162" t="s">
        <v>303</v>
      </c>
      <c r="B92" s="371"/>
      <c r="C92" s="208" t="s">
        <v>106</v>
      </c>
      <c r="D92" s="186" t="s">
        <v>304</v>
      </c>
      <c r="E92" s="186"/>
      <c r="F92" s="237"/>
      <c r="G92" s="218">
        <f>G103+G108+G93+G111</f>
        <v>16614.1</v>
      </c>
      <c r="H92" s="14">
        <v>438.8</v>
      </c>
      <c r="I92" s="14" t="e">
        <f>SUM(H92/G98*100)</f>
        <v>#DIV/0!</v>
      </c>
    </row>
    <row r="93" spans="1:10" ht="42.75">
      <c r="A93" s="160" t="s">
        <v>624</v>
      </c>
      <c r="B93" s="369"/>
      <c r="C93" s="235" t="s">
        <v>106</v>
      </c>
      <c r="D93" s="183" t="s">
        <v>304</v>
      </c>
      <c r="E93" s="183" t="s">
        <v>551</v>
      </c>
      <c r="F93" s="201"/>
      <c r="G93" s="213">
        <f>SUM(G94)</f>
        <v>12554.099999999999</v>
      </c>
      <c r="H93" s="14">
        <f>SUM(H94)</f>
        <v>9825.3</v>
      </c>
      <c r="I93" s="14">
        <f>SUM(H93/G99*100)</f>
        <v>380.76654782204304</v>
      </c>
      <c r="J93"/>
    </row>
    <row r="94" spans="1:9" ht="28.5">
      <c r="A94" s="160" t="s">
        <v>56</v>
      </c>
      <c r="B94" s="369"/>
      <c r="C94" s="235" t="s">
        <v>106</v>
      </c>
      <c r="D94" s="183" t="s">
        <v>304</v>
      </c>
      <c r="E94" s="183" t="s">
        <v>552</v>
      </c>
      <c r="F94" s="201"/>
      <c r="G94" s="213">
        <f>G95+G99+G102</f>
        <v>12554.099999999999</v>
      </c>
      <c r="H94" s="14">
        <v>9825.3</v>
      </c>
      <c r="I94" s="14" t="e">
        <f>SUM(H94/G100*100)</f>
        <v>#DIV/0!</v>
      </c>
    </row>
    <row r="95" spans="1:10" ht="42.75">
      <c r="A95" s="160" t="s">
        <v>518</v>
      </c>
      <c r="B95" s="369"/>
      <c r="C95" s="235" t="s">
        <v>106</v>
      </c>
      <c r="D95" s="183" t="s">
        <v>304</v>
      </c>
      <c r="E95" s="183" t="s">
        <v>552</v>
      </c>
      <c r="F95" s="201" t="s">
        <v>519</v>
      </c>
      <c r="G95" s="213">
        <v>9868.3</v>
      </c>
      <c r="H95" s="14">
        <f>SUM(H96)</f>
        <v>227.3</v>
      </c>
      <c r="I95" s="14" t="e">
        <f>SUM(H95/G101*100)</f>
        <v>#DIV/0!</v>
      </c>
      <c r="J95">
        <f>SUM('ведомствен.2014'!G108)</f>
        <v>9868.3</v>
      </c>
    </row>
    <row r="96" spans="1:10" ht="15" hidden="1">
      <c r="A96" s="160" t="s">
        <v>553</v>
      </c>
      <c r="B96" s="369"/>
      <c r="C96" s="235" t="s">
        <v>106</v>
      </c>
      <c r="D96" s="183" t="s">
        <v>304</v>
      </c>
      <c r="E96" s="183" t="s">
        <v>552</v>
      </c>
      <c r="F96" s="201" t="s">
        <v>554</v>
      </c>
      <c r="G96" s="213"/>
      <c r="H96" s="14">
        <f>SUM(H97)</f>
        <v>227.3</v>
      </c>
      <c r="I96" s="14">
        <f aca="true" t="shared" si="2" ref="I96:I101">SUM(H96/G103*100)</f>
        <v>8.265454545454546</v>
      </c>
      <c r="J96"/>
    </row>
    <row r="97" spans="1:9" ht="28.5" hidden="1">
      <c r="A97" s="160" t="s">
        <v>555</v>
      </c>
      <c r="B97" s="372"/>
      <c r="C97" s="235" t="s">
        <v>106</v>
      </c>
      <c r="D97" s="183" t="s">
        <v>304</v>
      </c>
      <c r="E97" s="183" t="s">
        <v>552</v>
      </c>
      <c r="F97" s="201" t="s">
        <v>556</v>
      </c>
      <c r="G97" s="213"/>
      <c r="H97" s="14">
        <v>227.3</v>
      </c>
      <c r="I97" s="14">
        <f t="shared" si="2"/>
        <v>30.306666666666672</v>
      </c>
    </row>
    <row r="98" spans="1:10" ht="28.5" hidden="1">
      <c r="A98" s="160" t="s">
        <v>557</v>
      </c>
      <c r="B98" s="372"/>
      <c r="C98" s="235" t="s">
        <v>106</v>
      </c>
      <c r="D98" s="183" t="s">
        <v>304</v>
      </c>
      <c r="E98" s="183" t="s">
        <v>552</v>
      </c>
      <c r="F98" s="201" t="s">
        <v>558</v>
      </c>
      <c r="G98" s="213"/>
      <c r="H98" s="14">
        <f>SUM(H99)</f>
        <v>5387.8</v>
      </c>
      <c r="I98" s="14">
        <f t="shared" si="2"/>
        <v>718.3733333333333</v>
      </c>
      <c r="J98"/>
    </row>
    <row r="99" spans="1:10" ht="15.75">
      <c r="A99" s="160" t="s">
        <v>523</v>
      </c>
      <c r="B99" s="372"/>
      <c r="C99" s="235" t="s">
        <v>106</v>
      </c>
      <c r="D99" s="183" t="s">
        <v>304</v>
      </c>
      <c r="E99" s="183" t="s">
        <v>552</v>
      </c>
      <c r="F99" s="201" t="s">
        <v>120</v>
      </c>
      <c r="G99" s="213">
        <v>2580.4</v>
      </c>
      <c r="H99" s="14">
        <f>SUM(H100)</f>
        <v>5387.8</v>
      </c>
      <c r="I99" s="14">
        <f t="shared" si="2"/>
        <v>269.39000000000004</v>
      </c>
      <c r="J99">
        <f>SUM('ведомствен.2014'!G112)</f>
        <v>2580.4</v>
      </c>
    </row>
    <row r="100" spans="1:9" ht="28.5" hidden="1">
      <c r="A100" s="160" t="s">
        <v>541</v>
      </c>
      <c r="B100" s="372"/>
      <c r="C100" s="235" t="s">
        <v>106</v>
      </c>
      <c r="D100" s="183" t="s">
        <v>304</v>
      </c>
      <c r="E100" s="183" t="s">
        <v>552</v>
      </c>
      <c r="F100" s="201" t="s">
        <v>542</v>
      </c>
      <c r="G100" s="213"/>
      <c r="H100" s="14">
        <v>5387.8</v>
      </c>
      <c r="I100" s="14">
        <f t="shared" si="2"/>
        <v>269.39000000000004</v>
      </c>
    </row>
    <row r="101" spans="1:9" s="19" customFormat="1" ht="28.5" hidden="1">
      <c r="A101" s="160" t="s">
        <v>543</v>
      </c>
      <c r="B101" s="369"/>
      <c r="C101" s="235" t="s">
        <v>106</v>
      </c>
      <c r="D101" s="183" t="s">
        <v>304</v>
      </c>
      <c r="E101" s="183" t="s">
        <v>552</v>
      </c>
      <c r="F101" s="201" t="s">
        <v>544</v>
      </c>
      <c r="G101" s="213"/>
      <c r="H101" s="14">
        <f>SUM(H104)</f>
        <v>0</v>
      </c>
      <c r="I101" s="14">
        <f t="shared" si="2"/>
        <v>0</v>
      </c>
    </row>
    <row r="102" spans="1:10" s="19" customFormat="1" ht="15">
      <c r="A102" s="160" t="s">
        <v>524</v>
      </c>
      <c r="B102" s="369"/>
      <c r="C102" s="235" t="s">
        <v>106</v>
      </c>
      <c r="D102" s="183" t="s">
        <v>304</v>
      </c>
      <c r="E102" s="183" t="s">
        <v>552</v>
      </c>
      <c r="F102" s="201" t="s">
        <v>177</v>
      </c>
      <c r="G102" s="213">
        <v>105.4</v>
      </c>
      <c r="H102" s="14"/>
      <c r="I102" s="14"/>
      <c r="J102" s="19">
        <f>SUM('ведомствен.2014'!G114)</f>
        <v>105.4</v>
      </c>
    </row>
    <row r="103" spans="1:9" s="19" customFormat="1" ht="28.5">
      <c r="A103" s="160" t="s">
        <v>625</v>
      </c>
      <c r="B103" s="369"/>
      <c r="C103" s="235" t="s">
        <v>106</v>
      </c>
      <c r="D103" s="183" t="s">
        <v>304</v>
      </c>
      <c r="E103" s="183" t="s">
        <v>559</v>
      </c>
      <c r="F103" s="201"/>
      <c r="G103" s="213">
        <f>SUM(G105+G107)</f>
        <v>2750</v>
      </c>
      <c r="H103" s="14">
        <f>SUM(H104)</f>
        <v>0</v>
      </c>
      <c r="I103" s="14">
        <f>SUM(H103/G109*100)</f>
        <v>0</v>
      </c>
    </row>
    <row r="104" spans="1:10" ht="28.5">
      <c r="A104" s="160" t="s">
        <v>626</v>
      </c>
      <c r="B104" s="369"/>
      <c r="C104" s="235" t="s">
        <v>106</v>
      </c>
      <c r="D104" s="183" t="s">
        <v>304</v>
      </c>
      <c r="E104" s="183" t="s">
        <v>560</v>
      </c>
      <c r="F104" s="201"/>
      <c r="G104" s="213">
        <f>SUM(G105)</f>
        <v>750</v>
      </c>
      <c r="H104" s="14"/>
      <c r="I104" s="14">
        <f>SUM(H104/G110*100)</f>
        <v>0</v>
      </c>
      <c r="J104"/>
    </row>
    <row r="105" spans="1:10" ht="15">
      <c r="A105" s="160" t="s">
        <v>523</v>
      </c>
      <c r="B105" s="369"/>
      <c r="C105" s="235" t="s">
        <v>106</v>
      </c>
      <c r="D105" s="183" t="s">
        <v>304</v>
      </c>
      <c r="E105" s="183" t="s">
        <v>560</v>
      </c>
      <c r="F105" s="201" t="s">
        <v>120</v>
      </c>
      <c r="G105" s="213">
        <v>750</v>
      </c>
      <c r="H105" s="14"/>
      <c r="I105" s="14"/>
      <c r="J105">
        <f>SUM('ведомствен.2014'!G117)</f>
        <v>750</v>
      </c>
    </row>
    <row r="106" spans="1:10" ht="28.5">
      <c r="A106" s="160" t="s">
        <v>0</v>
      </c>
      <c r="B106" s="369"/>
      <c r="C106" s="235" t="s">
        <v>106</v>
      </c>
      <c r="D106" s="183" t="s">
        <v>304</v>
      </c>
      <c r="E106" s="183" t="s">
        <v>561</v>
      </c>
      <c r="F106" s="201"/>
      <c r="G106" s="213">
        <f>SUM(G107)</f>
        <v>2000</v>
      </c>
      <c r="H106" s="14"/>
      <c r="I106" s="14"/>
      <c r="J106"/>
    </row>
    <row r="107" spans="1:10" ht="15">
      <c r="A107" s="160" t="s">
        <v>524</v>
      </c>
      <c r="B107" s="369"/>
      <c r="C107" s="235" t="s">
        <v>106</v>
      </c>
      <c r="D107" s="183" t="s">
        <v>304</v>
      </c>
      <c r="E107" s="183" t="s">
        <v>561</v>
      </c>
      <c r="F107" s="201" t="s">
        <v>177</v>
      </c>
      <c r="G107" s="213">
        <v>2000</v>
      </c>
      <c r="H107" s="14"/>
      <c r="I107" s="14"/>
      <c r="J107">
        <f>SUM('ведомствен.2014'!G119)</f>
        <v>2000</v>
      </c>
    </row>
    <row r="108" spans="1:10" ht="15">
      <c r="A108" s="160" t="s">
        <v>1</v>
      </c>
      <c r="B108" s="373"/>
      <c r="C108" s="239" t="s">
        <v>106</v>
      </c>
      <c r="D108" s="240" t="s">
        <v>304</v>
      </c>
      <c r="E108" s="240" t="s">
        <v>562</v>
      </c>
      <c r="F108" s="241"/>
      <c r="G108" s="213">
        <f>SUM(G109)</f>
        <v>10</v>
      </c>
      <c r="H108" s="14"/>
      <c r="I108" s="14"/>
      <c r="J108"/>
    </row>
    <row r="109" spans="1:10" ht="28.5">
      <c r="A109" s="160" t="s">
        <v>2</v>
      </c>
      <c r="B109" s="373"/>
      <c r="C109" s="396" t="s">
        <v>106</v>
      </c>
      <c r="D109" s="242" t="s">
        <v>304</v>
      </c>
      <c r="E109" s="242" t="s">
        <v>563</v>
      </c>
      <c r="F109" s="243"/>
      <c r="G109" s="213">
        <f>SUM(G110)</f>
        <v>10</v>
      </c>
      <c r="H109" s="14"/>
      <c r="I109" s="14"/>
      <c r="J109"/>
    </row>
    <row r="110" spans="1:10" ht="15">
      <c r="A110" s="160" t="s">
        <v>523</v>
      </c>
      <c r="B110" s="373"/>
      <c r="C110" s="396" t="s">
        <v>106</v>
      </c>
      <c r="D110" s="242" t="s">
        <v>304</v>
      </c>
      <c r="E110" s="242" t="s">
        <v>563</v>
      </c>
      <c r="F110" s="243" t="s">
        <v>120</v>
      </c>
      <c r="G110" s="213">
        <v>10</v>
      </c>
      <c r="H110" s="14" t="e">
        <f>SUM(#REF!+H112)</f>
        <v>#REF!</v>
      </c>
      <c r="I110" s="14" t="e">
        <f>SUM(H110/#REF!*100)</f>
        <v>#REF!</v>
      </c>
      <c r="J110">
        <f>SUM('ведомствен.2014'!G122)</f>
        <v>10</v>
      </c>
    </row>
    <row r="111" spans="1:10" ht="15">
      <c r="A111" s="163" t="s">
        <v>574</v>
      </c>
      <c r="B111" s="373"/>
      <c r="C111" s="116" t="s">
        <v>106</v>
      </c>
      <c r="D111" s="175" t="s">
        <v>304</v>
      </c>
      <c r="E111" s="182" t="s">
        <v>129</v>
      </c>
      <c r="F111" s="244"/>
      <c r="G111" s="219">
        <f>SUM(G112)</f>
        <v>1300</v>
      </c>
      <c r="H111" s="14"/>
      <c r="I111" s="14" t="e">
        <f>SUM(H111/#REF!*100)</f>
        <v>#REF!</v>
      </c>
      <c r="J111"/>
    </row>
    <row r="112" spans="1:10" ht="28.5">
      <c r="A112" s="160" t="s">
        <v>1010</v>
      </c>
      <c r="B112" s="367"/>
      <c r="C112" s="116" t="s">
        <v>106</v>
      </c>
      <c r="D112" s="175" t="s">
        <v>304</v>
      </c>
      <c r="E112" s="182" t="s">
        <v>138</v>
      </c>
      <c r="F112" s="197"/>
      <c r="G112" s="215">
        <f>SUM(G113)</f>
        <v>1300</v>
      </c>
      <c r="H112" s="14">
        <f>SUM(H113)</f>
        <v>0</v>
      </c>
      <c r="I112" s="14" t="e">
        <f>SUM(H112/#REF!*100)</f>
        <v>#REF!</v>
      </c>
      <c r="J112"/>
    </row>
    <row r="113" spans="1:10" ht="15">
      <c r="A113" s="160" t="s">
        <v>523</v>
      </c>
      <c r="B113" s="367"/>
      <c r="C113" s="116" t="s">
        <v>106</v>
      </c>
      <c r="D113" s="175" t="s">
        <v>304</v>
      </c>
      <c r="E113" s="182" t="s">
        <v>138</v>
      </c>
      <c r="F113" s="197" t="s">
        <v>120</v>
      </c>
      <c r="G113" s="215">
        <v>1300</v>
      </c>
      <c r="H113" s="14"/>
      <c r="I113" s="14" t="e">
        <f>SUM(H113/#REF!*100)</f>
        <v>#REF!</v>
      </c>
      <c r="J113">
        <f>SUM('ведомствен.2014'!G127)</f>
        <v>1300</v>
      </c>
    </row>
    <row r="114" spans="1:12" ht="15">
      <c r="A114" s="159" t="s">
        <v>121</v>
      </c>
      <c r="B114" s="370"/>
      <c r="C114" s="199" t="s">
        <v>122</v>
      </c>
      <c r="D114" s="184"/>
      <c r="E114" s="184"/>
      <c r="F114" s="202"/>
      <c r="G114" s="217">
        <f>SUM(G115+G127+G133)</f>
        <v>143050.4</v>
      </c>
      <c r="H114" s="14"/>
      <c r="I114" s="14">
        <f>SUM(H114/G123*100)</f>
        <v>0</v>
      </c>
      <c r="J114"/>
      <c r="K114">
        <f>SUM(J115:J155)</f>
        <v>143050.4</v>
      </c>
      <c r="L114">
        <f>SUM('ведомствен.2014'!G130+'ведомствен.2014'!G346+'ведомствен.2014'!G325)</f>
        <v>143050.4</v>
      </c>
    </row>
    <row r="115" spans="1:10" ht="15">
      <c r="A115" s="160" t="s">
        <v>123</v>
      </c>
      <c r="B115" s="369"/>
      <c r="C115" s="235" t="s">
        <v>122</v>
      </c>
      <c r="D115" s="183" t="s">
        <v>124</v>
      </c>
      <c r="E115" s="183"/>
      <c r="F115" s="201"/>
      <c r="G115" s="213">
        <f>G116</f>
        <v>55462</v>
      </c>
      <c r="H115" s="14">
        <v>870.4</v>
      </c>
      <c r="I115" s="14" t="e">
        <f>SUM(H115/G125*100)</f>
        <v>#DIV/0!</v>
      </c>
      <c r="J115"/>
    </row>
    <row r="116" spans="1:10" ht="28.5">
      <c r="A116" s="160" t="s">
        <v>564</v>
      </c>
      <c r="B116" s="369"/>
      <c r="C116" s="235" t="s">
        <v>122</v>
      </c>
      <c r="D116" s="183" t="s">
        <v>124</v>
      </c>
      <c r="E116" s="183" t="s">
        <v>565</v>
      </c>
      <c r="F116" s="201"/>
      <c r="G116" s="213">
        <f>G117+G121</f>
        <v>55462</v>
      </c>
      <c r="H116" s="14">
        <f>SUM(H123)</f>
        <v>30706.4</v>
      </c>
      <c r="I116" s="14" t="e">
        <f>SUM(H116/G126*100)</f>
        <v>#DIV/0!</v>
      </c>
      <c r="J116"/>
    </row>
    <row r="117" spans="1:10" ht="15">
      <c r="A117" s="160" t="s">
        <v>566</v>
      </c>
      <c r="B117" s="369"/>
      <c r="C117" s="235" t="s">
        <v>122</v>
      </c>
      <c r="D117" s="183" t="s">
        <v>124</v>
      </c>
      <c r="E117" s="183" t="s">
        <v>567</v>
      </c>
      <c r="F117" s="201"/>
      <c r="G117" s="213">
        <f>G118</f>
        <v>23882.2</v>
      </c>
      <c r="H117" s="14"/>
      <c r="I117" s="14"/>
      <c r="J117"/>
    </row>
    <row r="118" spans="1:10" ht="28.5">
      <c r="A118" s="160" t="s">
        <v>6</v>
      </c>
      <c r="B118" s="369"/>
      <c r="C118" s="235" t="s">
        <v>122</v>
      </c>
      <c r="D118" s="183" t="s">
        <v>124</v>
      </c>
      <c r="E118" s="183" t="s">
        <v>568</v>
      </c>
      <c r="F118" s="201"/>
      <c r="G118" s="213">
        <f>SUM(G119)</f>
        <v>23882.2</v>
      </c>
      <c r="H118" s="14"/>
      <c r="I118" s="14"/>
      <c r="J118"/>
    </row>
    <row r="119" spans="1:10" ht="15">
      <c r="A119" s="160" t="s">
        <v>524</v>
      </c>
      <c r="B119" s="369"/>
      <c r="C119" s="235" t="s">
        <v>122</v>
      </c>
      <c r="D119" s="183" t="s">
        <v>124</v>
      </c>
      <c r="E119" s="183" t="s">
        <v>568</v>
      </c>
      <c r="F119" s="201" t="s">
        <v>177</v>
      </c>
      <c r="G119" s="213">
        <v>23882.2</v>
      </c>
      <c r="H119" s="14"/>
      <c r="I119" s="14"/>
      <c r="J119">
        <f>SUM('ведомствен.2014'!G135)+'ведомствен.2014'!G349</f>
        <v>23882.2</v>
      </c>
    </row>
    <row r="120" spans="1:10" ht="42.75" hidden="1">
      <c r="A120" s="160" t="s">
        <v>569</v>
      </c>
      <c r="B120" s="369"/>
      <c r="C120" s="235" t="s">
        <v>122</v>
      </c>
      <c r="D120" s="183" t="s">
        <v>124</v>
      </c>
      <c r="E120" s="183" t="s">
        <v>568</v>
      </c>
      <c r="F120" s="201" t="s">
        <v>210</v>
      </c>
      <c r="G120" s="213"/>
      <c r="H120" s="14"/>
      <c r="I120" s="14"/>
      <c r="J120"/>
    </row>
    <row r="121" spans="1:10" ht="15">
      <c r="A121" s="160" t="s">
        <v>125</v>
      </c>
      <c r="B121" s="369"/>
      <c r="C121" s="235" t="s">
        <v>122</v>
      </c>
      <c r="D121" s="183" t="s">
        <v>124</v>
      </c>
      <c r="E121" s="183" t="s">
        <v>422</v>
      </c>
      <c r="F121" s="201"/>
      <c r="G121" s="213">
        <f>G122</f>
        <v>31579.8</v>
      </c>
      <c r="H121" s="14"/>
      <c r="I121" s="14"/>
      <c r="J121"/>
    </row>
    <row r="122" spans="1:10" ht="28.5">
      <c r="A122" s="160" t="s">
        <v>15</v>
      </c>
      <c r="B122" s="369"/>
      <c r="C122" s="235" t="s">
        <v>122</v>
      </c>
      <c r="D122" s="183" t="s">
        <v>124</v>
      </c>
      <c r="E122" s="183" t="s">
        <v>76</v>
      </c>
      <c r="F122" s="201"/>
      <c r="G122" s="213">
        <f>SUM(G123)</f>
        <v>31579.8</v>
      </c>
      <c r="H122" s="14"/>
      <c r="I122" s="14"/>
      <c r="J122"/>
    </row>
    <row r="123" spans="1:10" ht="28.5">
      <c r="A123" s="160" t="s">
        <v>206</v>
      </c>
      <c r="B123" s="369"/>
      <c r="C123" s="235" t="s">
        <v>122</v>
      </c>
      <c r="D123" s="183" t="s">
        <v>124</v>
      </c>
      <c r="E123" s="183" t="s">
        <v>77</v>
      </c>
      <c r="F123" s="201"/>
      <c r="G123" s="213">
        <f>SUM(G124)</f>
        <v>31579.8</v>
      </c>
      <c r="H123" s="14">
        <f>SUM(H124)+H125</f>
        <v>30706.4</v>
      </c>
      <c r="I123" s="14">
        <f>SUM(H123/G129*100)</f>
        <v>41.6640434192673</v>
      </c>
      <c r="J123"/>
    </row>
    <row r="124" spans="1:10" ht="28.5">
      <c r="A124" s="160" t="s">
        <v>547</v>
      </c>
      <c r="B124" s="369"/>
      <c r="C124" s="235" t="s">
        <v>122</v>
      </c>
      <c r="D124" s="183" t="s">
        <v>124</v>
      </c>
      <c r="E124" s="183" t="s">
        <v>77</v>
      </c>
      <c r="F124" s="201" t="s">
        <v>536</v>
      </c>
      <c r="G124" s="213">
        <v>31579.8</v>
      </c>
      <c r="H124" s="14">
        <v>30706.4</v>
      </c>
      <c r="I124" s="14" t="e">
        <f>SUM(H124/G130*100)</f>
        <v>#DIV/0!</v>
      </c>
      <c r="J124" s="37">
        <f>SUM('ведомствен.2014'!G140)</f>
        <v>31579.8</v>
      </c>
    </row>
    <row r="125" spans="1:10" ht="15" hidden="1">
      <c r="A125" s="160" t="s">
        <v>548</v>
      </c>
      <c r="B125" s="369"/>
      <c r="C125" s="235" t="s">
        <v>122</v>
      </c>
      <c r="D125" s="183" t="s">
        <v>124</v>
      </c>
      <c r="E125" s="183" t="s">
        <v>77</v>
      </c>
      <c r="F125" s="201" t="s">
        <v>549</v>
      </c>
      <c r="G125" s="213"/>
      <c r="H125" s="14">
        <f>SUM(H126)</f>
        <v>0</v>
      </c>
      <c r="I125" s="14" t="e">
        <f>SUM(H125/G131*100)</f>
        <v>#DIV/0!</v>
      </c>
      <c r="J125"/>
    </row>
    <row r="126" spans="1:10" ht="57" hidden="1">
      <c r="A126" s="162" t="s">
        <v>550</v>
      </c>
      <c r="B126" s="369"/>
      <c r="C126" s="235" t="s">
        <v>122</v>
      </c>
      <c r="D126" s="183" t="s">
        <v>124</v>
      </c>
      <c r="E126" s="183" t="s">
        <v>77</v>
      </c>
      <c r="F126" s="201" t="s">
        <v>58</v>
      </c>
      <c r="G126" s="213"/>
      <c r="H126" s="14"/>
      <c r="I126" s="14" t="e">
        <f>SUM(H126/G132*100)</f>
        <v>#DIV/0!</v>
      </c>
      <c r="J126"/>
    </row>
    <row r="127" spans="1:10" ht="15">
      <c r="A127" s="160" t="s">
        <v>147</v>
      </c>
      <c r="B127" s="369"/>
      <c r="C127" s="235" t="s">
        <v>122</v>
      </c>
      <c r="D127" s="183" t="s">
        <v>304</v>
      </c>
      <c r="E127" s="183"/>
      <c r="F127" s="201"/>
      <c r="G127" s="213">
        <f>G128</f>
        <v>73700</v>
      </c>
      <c r="H127" s="14"/>
      <c r="I127" s="14"/>
      <c r="J127"/>
    </row>
    <row r="128" spans="1:9" s="77" customFormat="1" ht="42.75">
      <c r="A128" s="160" t="s">
        <v>38</v>
      </c>
      <c r="B128" s="369"/>
      <c r="C128" s="235" t="s">
        <v>122</v>
      </c>
      <c r="D128" s="183" t="s">
        <v>304</v>
      </c>
      <c r="E128" s="183" t="s">
        <v>39</v>
      </c>
      <c r="F128" s="201"/>
      <c r="G128" s="213">
        <f>G129</f>
        <v>73700</v>
      </c>
      <c r="H128" s="18"/>
      <c r="I128" s="18"/>
    </row>
    <row r="129" spans="1:10" s="77" customFormat="1" ht="15">
      <c r="A129" s="160" t="s">
        <v>523</v>
      </c>
      <c r="B129" s="369"/>
      <c r="C129" s="235" t="s">
        <v>122</v>
      </c>
      <c r="D129" s="183" t="s">
        <v>304</v>
      </c>
      <c r="E129" s="183" t="s">
        <v>39</v>
      </c>
      <c r="F129" s="201" t="s">
        <v>120</v>
      </c>
      <c r="G129" s="213">
        <v>73700</v>
      </c>
      <c r="H129" s="18"/>
      <c r="I129" s="18"/>
      <c r="J129" s="37">
        <f>SUM('ведомствен.2014'!G145)</f>
        <v>73700</v>
      </c>
    </row>
    <row r="130" spans="1:9" s="2" customFormat="1" ht="28.5" hidden="1">
      <c r="A130" s="160" t="s">
        <v>541</v>
      </c>
      <c r="B130" s="369"/>
      <c r="C130" s="235" t="s">
        <v>122</v>
      </c>
      <c r="D130" s="183" t="s">
        <v>304</v>
      </c>
      <c r="E130" s="183" t="s">
        <v>39</v>
      </c>
      <c r="F130" s="201" t="s">
        <v>542</v>
      </c>
      <c r="G130" s="213"/>
      <c r="H130" s="18"/>
      <c r="I130" s="18"/>
    </row>
    <row r="131" spans="1:9" s="81" customFormat="1" ht="28.5" hidden="1">
      <c r="A131" s="160" t="s">
        <v>543</v>
      </c>
      <c r="B131" s="369"/>
      <c r="C131" s="235" t="s">
        <v>122</v>
      </c>
      <c r="D131" s="183" t="s">
        <v>304</v>
      </c>
      <c r="E131" s="183" t="s">
        <v>39</v>
      </c>
      <c r="F131" s="201" t="s">
        <v>544</v>
      </c>
      <c r="G131" s="213"/>
      <c r="H131" s="80"/>
      <c r="I131" s="80"/>
    </row>
    <row r="132" spans="1:9" s="15" customFormat="1" ht="28.5" hidden="1">
      <c r="A132" s="160" t="s">
        <v>570</v>
      </c>
      <c r="B132" s="369"/>
      <c r="C132" s="235" t="s">
        <v>122</v>
      </c>
      <c r="D132" s="183" t="s">
        <v>304</v>
      </c>
      <c r="E132" s="183" t="s">
        <v>39</v>
      </c>
      <c r="F132" s="201" t="s">
        <v>544</v>
      </c>
      <c r="G132" s="213"/>
      <c r="H132" s="14"/>
      <c r="I132" s="14"/>
    </row>
    <row r="133" spans="1:9" s="15" customFormat="1" ht="15">
      <c r="A133" s="160" t="s">
        <v>423</v>
      </c>
      <c r="B133" s="369"/>
      <c r="C133" s="235" t="s">
        <v>122</v>
      </c>
      <c r="D133" s="183" t="s">
        <v>413</v>
      </c>
      <c r="E133" s="183"/>
      <c r="F133" s="201"/>
      <c r="G133" s="213">
        <f>SUM(G134+G144+G150)+G148</f>
        <v>13888.400000000001</v>
      </c>
      <c r="H133" s="14"/>
      <c r="I133" s="14"/>
    </row>
    <row r="134" spans="1:9" s="15" customFormat="1" ht="28.5">
      <c r="A134" s="160" t="s">
        <v>564</v>
      </c>
      <c r="B134" s="369"/>
      <c r="C134" s="235" t="s">
        <v>122</v>
      </c>
      <c r="D134" s="183" t="s">
        <v>413</v>
      </c>
      <c r="E134" s="183" t="s">
        <v>565</v>
      </c>
      <c r="F134" s="201"/>
      <c r="G134" s="213">
        <f>SUM(G135)</f>
        <v>5584.1</v>
      </c>
      <c r="H134" s="14"/>
      <c r="I134" s="14"/>
    </row>
    <row r="135" spans="1:9" s="15" customFormat="1" ht="15">
      <c r="A135" s="160" t="s">
        <v>428</v>
      </c>
      <c r="B135" s="369"/>
      <c r="C135" s="235" t="s">
        <v>122</v>
      </c>
      <c r="D135" s="183" t="s">
        <v>413</v>
      </c>
      <c r="E135" s="183" t="s">
        <v>571</v>
      </c>
      <c r="F135" s="201"/>
      <c r="G135" s="213">
        <f>SUM(G136,G140)</f>
        <v>5584.1</v>
      </c>
      <c r="H135" s="14"/>
      <c r="I135" s="14"/>
    </row>
    <row r="136" spans="1:9" s="81" customFormat="1" ht="28.5">
      <c r="A136" s="160" t="s">
        <v>575</v>
      </c>
      <c r="B136" s="369"/>
      <c r="C136" s="235" t="s">
        <v>122</v>
      </c>
      <c r="D136" s="183" t="s">
        <v>413</v>
      </c>
      <c r="E136" s="242" t="s">
        <v>572</v>
      </c>
      <c r="F136" s="201"/>
      <c r="G136" s="213">
        <f>SUM(G137)</f>
        <v>1704.7</v>
      </c>
      <c r="H136" s="80"/>
      <c r="I136" s="80"/>
    </row>
    <row r="137" spans="1:10" s="81" customFormat="1" ht="18.75" customHeight="1">
      <c r="A137" s="160" t="s">
        <v>523</v>
      </c>
      <c r="B137" s="369"/>
      <c r="C137" s="235" t="s">
        <v>122</v>
      </c>
      <c r="D137" s="183" t="s">
        <v>413</v>
      </c>
      <c r="E137" s="242" t="s">
        <v>572</v>
      </c>
      <c r="F137" s="201" t="s">
        <v>120</v>
      </c>
      <c r="G137" s="213">
        <v>1704.7</v>
      </c>
      <c r="H137" s="80"/>
      <c r="I137" s="80"/>
      <c r="J137" s="37">
        <f>SUM('ведомствен.2014'!G153)</f>
        <v>1704.7</v>
      </c>
    </row>
    <row r="138" spans="1:9" s="81" customFormat="1" ht="28.5" hidden="1">
      <c r="A138" s="160" t="s">
        <v>541</v>
      </c>
      <c r="B138" s="369"/>
      <c r="C138" s="235" t="s">
        <v>122</v>
      </c>
      <c r="D138" s="183" t="s">
        <v>413</v>
      </c>
      <c r="E138" s="242" t="s">
        <v>572</v>
      </c>
      <c r="F138" s="201" t="s">
        <v>542</v>
      </c>
      <c r="G138" s="213"/>
      <c r="H138" s="80"/>
      <c r="I138" s="80"/>
    </row>
    <row r="139" spans="1:9" s="81" customFormat="1" ht="28.5">
      <c r="A139" s="160" t="s">
        <v>15</v>
      </c>
      <c r="B139" s="369"/>
      <c r="C139" s="235" t="s">
        <v>122</v>
      </c>
      <c r="D139" s="183" t="s">
        <v>413</v>
      </c>
      <c r="E139" s="183" t="s">
        <v>576</v>
      </c>
      <c r="F139" s="201"/>
      <c r="G139" s="213">
        <f>SUM(G140)</f>
        <v>3879.4</v>
      </c>
      <c r="H139" s="80"/>
      <c r="I139" s="80"/>
    </row>
    <row r="140" spans="1:9" s="81" customFormat="1" ht="28.5">
      <c r="A140" s="160" t="s">
        <v>206</v>
      </c>
      <c r="B140" s="369"/>
      <c r="C140" s="235" t="s">
        <v>122</v>
      </c>
      <c r="D140" s="183" t="s">
        <v>413</v>
      </c>
      <c r="E140" s="183" t="s">
        <v>573</v>
      </c>
      <c r="F140" s="201"/>
      <c r="G140" s="213">
        <f>G141</f>
        <v>3879.4</v>
      </c>
      <c r="H140" s="80"/>
      <c r="I140" s="80"/>
    </row>
    <row r="141" spans="1:10" s="81" customFormat="1" ht="28.5">
      <c r="A141" s="160" t="s">
        <v>547</v>
      </c>
      <c r="B141" s="369"/>
      <c r="C141" s="235" t="s">
        <v>122</v>
      </c>
      <c r="D141" s="183" t="s">
        <v>413</v>
      </c>
      <c r="E141" s="183" t="s">
        <v>573</v>
      </c>
      <c r="F141" s="201" t="s">
        <v>536</v>
      </c>
      <c r="G141" s="213">
        <v>3879.4</v>
      </c>
      <c r="H141" s="80"/>
      <c r="I141" s="80"/>
      <c r="J141" s="37">
        <f>SUM('ведомствен.2014'!G157)</f>
        <v>3879.4</v>
      </c>
    </row>
    <row r="142" spans="1:9" s="81" customFormat="1" ht="15" hidden="1">
      <c r="A142" s="160" t="s">
        <v>548</v>
      </c>
      <c r="B142" s="369"/>
      <c r="C142" s="235" t="s">
        <v>122</v>
      </c>
      <c r="D142" s="183" t="s">
        <v>413</v>
      </c>
      <c r="E142" s="183" t="s">
        <v>573</v>
      </c>
      <c r="F142" s="201" t="s">
        <v>549</v>
      </c>
      <c r="G142" s="213"/>
      <c r="H142" s="80"/>
      <c r="I142" s="80"/>
    </row>
    <row r="143" spans="1:9" s="81" customFormat="1" ht="57" hidden="1">
      <c r="A143" s="162" t="s">
        <v>550</v>
      </c>
      <c r="B143" s="371"/>
      <c r="C143" s="208" t="s">
        <v>122</v>
      </c>
      <c r="D143" s="186" t="s">
        <v>413</v>
      </c>
      <c r="E143" s="186" t="s">
        <v>573</v>
      </c>
      <c r="F143" s="237" t="s">
        <v>58</v>
      </c>
      <c r="G143" s="218"/>
      <c r="H143" s="80"/>
      <c r="I143" s="80"/>
    </row>
    <row r="144" spans="1:9" s="81" customFormat="1" ht="28.5">
      <c r="A144" s="160" t="s">
        <v>425</v>
      </c>
      <c r="B144" s="367"/>
      <c r="C144" s="235" t="s">
        <v>122</v>
      </c>
      <c r="D144" s="183" t="s">
        <v>413</v>
      </c>
      <c r="E144" s="182" t="s">
        <v>426</v>
      </c>
      <c r="F144" s="197"/>
      <c r="G144" s="215">
        <f>SUM(G145)</f>
        <v>2615.8</v>
      </c>
      <c r="H144" s="80"/>
      <c r="I144" s="80"/>
    </row>
    <row r="145" spans="1:9" s="81" customFormat="1" ht="28.5">
      <c r="A145" s="160" t="s">
        <v>15</v>
      </c>
      <c r="B145" s="369"/>
      <c r="C145" s="235" t="s">
        <v>122</v>
      </c>
      <c r="D145" s="183" t="s">
        <v>413</v>
      </c>
      <c r="E145" s="183" t="s">
        <v>641</v>
      </c>
      <c r="F145" s="201"/>
      <c r="G145" s="213">
        <f>SUM(G146)</f>
        <v>2615.8</v>
      </c>
      <c r="H145" s="80"/>
      <c r="I145" s="80"/>
    </row>
    <row r="146" spans="1:9" s="81" customFormat="1" ht="28.5">
      <c r="A146" s="160" t="s">
        <v>206</v>
      </c>
      <c r="B146" s="369"/>
      <c r="C146" s="235" t="s">
        <v>122</v>
      </c>
      <c r="D146" s="183" t="s">
        <v>413</v>
      </c>
      <c r="E146" s="183" t="s">
        <v>642</v>
      </c>
      <c r="F146" s="201"/>
      <c r="G146" s="213">
        <f>G147</f>
        <v>2615.8</v>
      </c>
      <c r="H146" s="80"/>
      <c r="I146" s="80"/>
    </row>
    <row r="147" spans="1:10" s="81" customFormat="1" ht="28.5">
      <c r="A147" s="160" t="s">
        <v>547</v>
      </c>
      <c r="B147" s="369"/>
      <c r="C147" s="235" t="s">
        <v>122</v>
      </c>
      <c r="D147" s="183" t="s">
        <v>413</v>
      </c>
      <c r="E147" s="183" t="s">
        <v>642</v>
      </c>
      <c r="F147" s="201" t="s">
        <v>536</v>
      </c>
      <c r="G147" s="213">
        <v>2615.8</v>
      </c>
      <c r="H147" s="80"/>
      <c r="I147" s="80"/>
      <c r="J147" s="81">
        <f>SUM('ведомствен.2014'!G354)</f>
        <v>2615.8</v>
      </c>
    </row>
    <row r="148" spans="1:9" s="81" customFormat="1" ht="15" hidden="1">
      <c r="A148" s="157" t="s">
        <v>534</v>
      </c>
      <c r="B148" s="367"/>
      <c r="C148" s="235" t="s">
        <v>122</v>
      </c>
      <c r="D148" s="183" t="s">
        <v>413</v>
      </c>
      <c r="E148" s="114" t="s">
        <v>535</v>
      </c>
      <c r="F148" s="196"/>
      <c r="G148" s="215">
        <f>SUM(G149)</f>
        <v>0</v>
      </c>
      <c r="H148" s="80"/>
      <c r="I148" s="80"/>
    </row>
    <row r="149" spans="1:10" s="81" customFormat="1" ht="15" hidden="1">
      <c r="A149" s="156" t="s">
        <v>524</v>
      </c>
      <c r="B149" s="367"/>
      <c r="C149" s="235" t="s">
        <v>122</v>
      </c>
      <c r="D149" s="183" t="s">
        <v>413</v>
      </c>
      <c r="E149" s="114" t="s">
        <v>535</v>
      </c>
      <c r="F149" s="196" t="s">
        <v>177</v>
      </c>
      <c r="G149" s="215"/>
      <c r="H149" s="80"/>
      <c r="I149" s="80"/>
      <c r="J149" s="81">
        <f>SUM('ведомствен.2014'!G328)</f>
        <v>0</v>
      </c>
    </row>
    <row r="150" spans="1:9" s="81" customFormat="1" ht="15">
      <c r="A150" s="164" t="s">
        <v>574</v>
      </c>
      <c r="B150" s="371"/>
      <c r="C150" s="208" t="s">
        <v>122</v>
      </c>
      <c r="D150" s="186" t="s">
        <v>413</v>
      </c>
      <c r="E150" s="186" t="s">
        <v>129</v>
      </c>
      <c r="F150" s="237"/>
      <c r="G150" s="218">
        <f>G154+G151</f>
        <v>5688.5</v>
      </c>
      <c r="H150" s="80"/>
      <c r="I150" s="80"/>
    </row>
    <row r="151" spans="1:9" s="81" customFormat="1" ht="42.75">
      <c r="A151" s="73" t="s">
        <v>678</v>
      </c>
      <c r="B151" s="281"/>
      <c r="C151" s="353" t="s">
        <v>122</v>
      </c>
      <c r="D151" s="279" t="s">
        <v>413</v>
      </c>
      <c r="E151" s="280" t="s">
        <v>679</v>
      </c>
      <c r="F151" s="354"/>
      <c r="G151" s="345">
        <f>SUM(G152)</f>
        <v>5</v>
      </c>
      <c r="H151" s="80"/>
      <c r="I151" s="80"/>
    </row>
    <row r="152" spans="1:9" s="81" customFormat="1" ht="28.5">
      <c r="A152" s="282" t="s">
        <v>680</v>
      </c>
      <c r="B152" s="281"/>
      <c r="C152" s="353" t="s">
        <v>122</v>
      </c>
      <c r="D152" s="279" t="s">
        <v>413</v>
      </c>
      <c r="E152" s="280" t="s">
        <v>681</v>
      </c>
      <c r="F152" s="354"/>
      <c r="G152" s="345">
        <v>5</v>
      </c>
      <c r="H152" s="80"/>
      <c r="I152" s="80"/>
    </row>
    <row r="153" spans="1:10" s="81" customFormat="1" ht="15">
      <c r="A153" s="270" t="s">
        <v>103</v>
      </c>
      <c r="B153" s="281"/>
      <c r="C153" s="353" t="s">
        <v>122</v>
      </c>
      <c r="D153" s="279" t="s">
        <v>413</v>
      </c>
      <c r="E153" s="280" t="s">
        <v>681</v>
      </c>
      <c r="F153" s="354" t="s">
        <v>104</v>
      </c>
      <c r="G153" s="345">
        <v>5</v>
      </c>
      <c r="H153" s="80"/>
      <c r="I153" s="80"/>
      <c r="J153" s="81">
        <f>SUM('ведомствен.2014'!G163)</f>
        <v>5</v>
      </c>
    </row>
    <row r="154" spans="1:9" s="81" customFormat="1" ht="28.5">
      <c r="A154" s="164" t="s">
        <v>1012</v>
      </c>
      <c r="B154" s="371"/>
      <c r="C154" s="208" t="s">
        <v>122</v>
      </c>
      <c r="D154" s="186" t="s">
        <v>413</v>
      </c>
      <c r="E154" s="186" t="s">
        <v>54</v>
      </c>
      <c r="F154" s="237"/>
      <c r="G154" s="218">
        <f>SUM(G155)</f>
        <v>5683.5</v>
      </c>
      <c r="H154" s="80"/>
      <c r="I154" s="80"/>
    </row>
    <row r="155" spans="1:10" s="81" customFormat="1" ht="28.5">
      <c r="A155" s="162" t="s">
        <v>547</v>
      </c>
      <c r="B155" s="371"/>
      <c r="C155" s="208" t="s">
        <v>122</v>
      </c>
      <c r="D155" s="186" t="s">
        <v>413</v>
      </c>
      <c r="E155" s="186" t="s">
        <v>54</v>
      </c>
      <c r="F155" s="237" t="s">
        <v>536</v>
      </c>
      <c r="G155" s="218">
        <v>5683.5</v>
      </c>
      <c r="H155" s="80"/>
      <c r="I155" s="80"/>
      <c r="J155" s="81">
        <f>SUM('ведомствен.2014'!G165)</f>
        <v>5683.5</v>
      </c>
    </row>
    <row r="156" spans="1:12" ht="15">
      <c r="A156" s="158" t="s">
        <v>429</v>
      </c>
      <c r="B156" s="374"/>
      <c r="C156" s="203" t="s">
        <v>131</v>
      </c>
      <c r="D156" s="185"/>
      <c r="E156" s="185"/>
      <c r="F156" s="204"/>
      <c r="G156" s="217">
        <f>SUM(G157+G209+G220+G235)</f>
        <v>67244.1</v>
      </c>
      <c r="H156" s="14">
        <f>SUM(H157)</f>
        <v>0</v>
      </c>
      <c r="I156" s="14" t="e">
        <f aca="true" t="shared" si="3" ref="I156:I179">SUM(H156/G162*100)</f>
        <v>#DIV/0!</v>
      </c>
      <c r="J156"/>
      <c r="K156">
        <f>SUM(J157:J249)</f>
        <v>67244.1</v>
      </c>
      <c r="L156">
        <f>SUM('ведомствен.2014'!G166)+'ведомствен.2014'!G329</f>
        <v>67244.1</v>
      </c>
    </row>
    <row r="157" spans="1:10" ht="15" hidden="1">
      <c r="A157" s="156" t="s">
        <v>430</v>
      </c>
      <c r="B157" s="367"/>
      <c r="C157" s="74" t="s">
        <v>131</v>
      </c>
      <c r="D157" s="114" t="s">
        <v>466</v>
      </c>
      <c r="E157" s="114"/>
      <c r="F157" s="196"/>
      <c r="G157" s="215"/>
      <c r="H157" s="14"/>
      <c r="I157" s="14" t="e">
        <f t="shared" si="3"/>
        <v>#DIV/0!</v>
      </c>
      <c r="J157">
        <f>SUM('ведомствен.2014'!G173)</f>
        <v>0</v>
      </c>
    </row>
    <row r="158" spans="1:10" ht="42.75" hidden="1">
      <c r="A158" s="160" t="s">
        <v>431</v>
      </c>
      <c r="B158" s="367"/>
      <c r="C158" s="74" t="s">
        <v>131</v>
      </c>
      <c r="D158" s="114" t="s">
        <v>466</v>
      </c>
      <c r="E158" s="114" t="s">
        <v>432</v>
      </c>
      <c r="F158" s="196"/>
      <c r="G158" s="215">
        <f>SUM(G159+G166)</f>
        <v>0</v>
      </c>
      <c r="H158" s="14">
        <f>SUM(H159)</f>
        <v>4761.6</v>
      </c>
      <c r="I158" s="14" t="e">
        <f t="shared" si="3"/>
        <v>#DIV/0!</v>
      </c>
      <c r="J158"/>
    </row>
    <row r="159" spans="1:10" ht="71.25" hidden="1">
      <c r="A159" s="160" t="s">
        <v>433</v>
      </c>
      <c r="B159" s="367"/>
      <c r="C159" s="74" t="s">
        <v>131</v>
      </c>
      <c r="D159" s="114" t="s">
        <v>466</v>
      </c>
      <c r="E159" s="114" t="s">
        <v>434</v>
      </c>
      <c r="F159" s="196"/>
      <c r="G159" s="215">
        <f>SUM(G160+G162+G164)</f>
        <v>0</v>
      </c>
      <c r="H159" s="14">
        <v>4761.6</v>
      </c>
      <c r="I159" s="14" t="e">
        <f t="shared" si="3"/>
        <v>#DIV/0!</v>
      </c>
      <c r="J159"/>
    </row>
    <row r="160" spans="1:10" ht="57" hidden="1">
      <c r="A160" s="160" t="s">
        <v>28</v>
      </c>
      <c r="B160" s="367"/>
      <c r="C160" s="74" t="s">
        <v>131</v>
      </c>
      <c r="D160" s="114" t="s">
        <v>466</v>
      </c>
      <c r="E160" s="114" t="s">
        <v>29</v>
      </c>
      <c r="F160" s="196"/>
      <c r="G160" s="215">
        <f>SUM(G161)</f>
        <v>0</v>
      </c>
      <c r="H160" s="14">
        <f>SUM(H161)+H171+H167</f>
        <v>3383.9</v>
      </c>
      <c r="I160" s="14" t="e">
        <f t="shared" si="3"/>
        <v>#DIV/0!</v>
      </c>
      <c r="J160"/>
    </row>
    <row r="161" spans="1:10" ht="15" hidden="1">
      <c r="A161" s="156" t="s">
        <v>7</v>
      </c>
      <c r="B161" s="367"/>
      <c r="C161" s="74" t="s">
        <v>131</v>
      </c>
      <c r="D161" s="114" t="s">
        <v>466</v>
      </c>
      <c r="E161" s="114" t="s">
        <v>29</v>
      </c>
      <c r="F161" s="196" t="s">
        <v>8</v>
      </c>
      <c r="G161" s="215"/>
      <c r="H161" s="14">
        <f>SUM(H162+H163)</f>
        <v>1562</v>
      </c>
      <c r="I161" s="14" t="e">
        <f t="shared" si="3"/>
        <v>#DIV/0!</v>
      </c>
      <c r="J161"/>
    </row>
    <row r="162" spans="1:9" ht="57" hidden="1">
      <c r="A162" s="160" t="s">
        <v>30</v>
      </c>
      <c r="B162" s="367"/>
      <c r="C162" s="74" t="s">
        <v>131</v>
      </c>
      <c r="D162" s="114" t="s">
        <v>466</v>
      </c>
      <c r="E162" s="114" t="s">
        <v>31</v>
      </c>
      <c r="F162" s="196"/>
      <c r="G162" s="215">
        <f>SUM(G163)</f>
        <v>0</v>
      </c>
      <c r="H162" s="14">
        <v>233.9</v>
      </c>
      <c r="I162" s="14" t="e">
        <f t="shared" si="3"/>
        <v>#DIV/0!</v>
      </c>
    </row>
    <row r="163" spans="1:10" ht="15" hidden="1">
      <c r="A163" s="165" t="s">
        <v>134</v>
      </c>
      <c r="B163" s="367"/>
      <c r="C163" s="74" t="s">
        <v>131</v>
      </c>
      <c r="D163" s="114" t="s">
        <v>466</v>
      </c>
      <c r="E163" s="114" t="s">
        <v>31</v>
      </c>
      <c r="F163" s="196" t="s">
        <v>135</v>
      </c>
      <c r="G163" s="215"/>
      <c r="H163" s="14">
        <v>1328.1</v>
      </c>
      <c r="I163" s="14" t="e">
        <f t="shared" si="3"/>
        <v>#DIV/0!</v>
      </c>
      <c r="J163"/>
    </row>
    <row r="164" spans="1:10" ht="71.25" hidden="1">
      <c r="A164" s="160" t="s">
        <v>258</v>
      </c>
      <c r="B164" s="367"/>
      <c r="C164" s="74" t="s">
        <v>131</v>
      </c>
      <c r="D164" s="114" t="s">
        <v>466</v>
      </c>
      <c r="E164" s="114" t="s">
        <v>140</v>
      </c>
      <c r="F164" s="196"/>
      <c r="G164" s="215">
        <f>SUM(G165)</f>
        <v>0</v>
      </c>
      <c r="H164" s="14">
        <f>SUM(H165)</f>
        <v>0</v>
      </c>
      <c r="I164" s="14" t="e">
        <f t="shared" si="3"/>
        <v>#DIV/0!</v>
      </c>
      <c r="J164"/>
    </row>
    <row r="165" spans="1:10" ht="15" hidden="1">
      <c r="A165" s="165" t="s">
        <v>134</v>
      </c>
      <c r="B165" s="367"/>
      <c r="C165" s="74" t="s">
        <v>131</v>
      </c>
      <c r="D165" s="114" t="s">
        <v>466</v>
      </c>
      <c r="E165" s="114" t="s">
        <v>140</v>
      </c>
      <c r="F165" s="196" t="s">
        <v>135</v>
      </c>
      <c r="G165" s="215"/>
      <c r="H165" s="14">
        <f>SUM(H166)</f>
        <v>0</v>
      </c>
      <c r="I165" s="14" t="e">
        <f t="shared" si="3"/>
        <v>#DIV/0!</v>
      </c>
      <c r="J165"/>
    </row>
    <row r="166" spans="1:10" ht="42.75" hidden="1">
      <c r="A166" s="160" t="s">
        <v>435</v>
      </c>
      <c r="B166" s="367"/>
      <c r="C166" s="74" t="s">
        <v>131</v>
      </c>
      <c r="D166" s="114" t="s">
        <v>466</v>
      </c>
      <c r="E166" s="114" t="s">
        <v>436</v>
      </c>
      <c r="F166" s="196"/>
      <c r="G166" s="215">
        <f>SUM(G167)+G173+G176</f>
        <v>0</v>
      </c>
      <c r="H166" s="14"/>
      <c r="I166" s="14" t="e">
        <f t="shared" si="3"/>
        <v>#DIV/0!</v>
      </c>
      <c r="J166"/>
    </row>
    <row r="167" spans="1:10" ht="28.5" hidden="1">
      <c r="A167" s="160" t="s">
        <v>437</v>
      </c>
      <c r="B167" s="367"/>
      <c r="C167" s="74" t="s">
        <v>131</v>
      </c>
      <c r="D167" s="114" t="s">
        <v>466</v>
      </c>
      <c r="E167" s="114" t="s">
        <v>438</v>
      </c>
      <c r="F167" s="196"/>
      <c r="G167" s="215">
        <f>SUM(G168+G169)</f>
        <v>0</v>
      </c>
      <c r="H167" s="14">
        <f>SUM(H169+H170)</f>
        <v>0</v>
      </c>
      <c r="I167" s="14" t="e">
        <f t="shared" si="3"/>
        <v>#DIV/0!</v>
      </c>
      <c r="J167"/>
    </row>
    <row r="168" spans="1:9" s="16" customFormat="1" ht="15" hidden="1">
      <c r="A168" s="160" t="s">
        <v>7</v>
      </c>
      <c r="B168" s="367"/>
      <c r="C168" s="74" t="s">
        <v>131</v>
      </c>
      <c r="D168" s="114" t="s">
        <v>466</v>
      </c>
      <c r="E168" s="114" t="s">
        <v>438</v>
      </c>
      <c r="F168" s="196" t="s">
        <v>8</v>
      </c>
      <c r="G168" s="215"/>
      <c r="H168" s="14">
        <v>1821.9</v>
      </c>
      <c r="I168" s="14" t="e">
        <f t="shared" si="3"/>
        <v>#DIV/0!</v>
      </c>
    </row>
    <row r="169" spans="1:10" ht="28.5" hidden="1">
      <c r="A169" s="160" t="s">
        <v>439</v>
      </c>
      <c r="B169" s="367"/>
      <c r="C169" s="74" t="s">
        <v>131</v>
      </c>
      <c r="D169" s="114" t="s">
        <v>466</v>
      </c>
      <c r="E169" s="114" t="s">
        <v>438</v>
      </c>
      <c r="F169" s="196" t="s">
        <v>440</v>
      </c>
      <c r="G169" s="215"/>
      <c r="H169" s="14"/>
      <c r="I169" s="14" t="e">
        <f t="shared" si="3"/>
        <v>#DIV/0!</v>
      </c>
      <c r="J169"/>
    </row>
    <row r="170" spans="1:10" ht="28.5" hidden="1">
      <c r="A170" s="160" t="s">
        <v>252</v>
      </c>
      <c r="B170" s="367"/>
      <c r="C170" s="74" t="s">
        <v>131</v>
      </c>
      <c r="D170" s="114" t="s">
        <v>466</v>
      </c>
      <c r="E170" s="114" t="s">
        <v>427</v>
      </c>
      <c r="F170" s="196"/>
      <c r="G170" s="215">
        <f>SUM(G171)</f>
        <v>0</v>
      </c>
      <c r="H170" s="14"/>
      <c r="I170" s="14" t="e">
        <f t="shared" si="3"/>
        <v>#DIV/0!</v>
      </c>
      <c r="J170"/>
    </row>
    <row r="171" spans="1:10" ht="28.5" hidden="1">
      <c r="A171" s="160" t="s">
        <v>132</v>
      </c>
      <c r="B171" s="367"/>
      <c r="C171" s="74" t="s">
        <v>131</v>
      </c>
      <c r="D171" s="114" t="s">
        <v>466</v>
      </c>
      <c r="E171" s="114" t="s">
        <v>133</v>
      </c>
      <c r="F171" s="196"/>
      <c r="G171" s="215">
        <f>SUM(G172)</f>
        <v>0</v>
      </c>
      <c r="H171" s="14">
        <f>SUM(H172)</f>
        <v>1821.9</v>
      </c>
      <c r="I171" s="14" t="e">
        <f t="shared" si="3"/>
        <v>#DIV/0!</v>
      </c>
      <c r="J171"/>
    </row>
    <row r="172" spans="1:9" ht="15" hidden="1">
      <c r="A172" s="160" t="s">
        <v>134</v>
      </c>
      <c r="B172" s="367"/>
      <c r="C172" s="74" t="s">
        <v>131</v>
      </c>
      <c r="D172" s="114" t="s">
        <v>466</v>
      </c>
      <c r="E172" s="114" t="s">
        <v>133</v>
      </c>
      <c r="F172" s="196" t="s">
        <v>135</v>
      </c>
      <c r="G172" s="215"/>
      <c r="H172" s="14">
        <v>1821.9</v>
      </c>
      <c r="I172" s="14" t="e">
        <f t="shared" si="3"/>
        <v>#DIV/0!</v>
      </c>
    </row>
    <row r="173" spans="1:10" ht="28.5" hidden="1">
      <c r="A173" s="160" t="s">
        <v>441</v>
      </c>
      <c r="B173" s="367"/>
      <c r="C173" s="74" t="s">
        <v>131</v>
      </c>
      <c r="D173" s="114" t="s">
        <v>466</v>
      </c>
      <c r="E173" s="114" t="s">
        <v>442</v>
      </c>
      <c r="F173" s="196"/>
      <c r="G173" s="215">
        <f>SUM(G174+G175)</f>
        <v>0</v>
      </c>
      <c r="H173" s="14">
        <f>SUM(H174+H176)</f>
        <v>0</v>
      </c>
      <c r="I173" s="14" t="e">
        <f t="shared" si="3"/>
        <v>#DIV/0!</v>
      </c>
      <c r="J173"/>
    </row>
    <row r="174" spans="1:10" ht="42.75" hidden="1">
      <c r="A174" s="156" t="s">
        <v>16</v>
      </c>
      <c r="B174" s="367"/>
      <c r="C174" s="74" t="s">
        <v>131</v>
      </c>
      <c r="D174" s="114" t="s">
        <v>466</v>
      </c>
      <c r="E174" s="114" t="s">
        <v>442</v>
      </c>
      <c r="F174" s="196" t="s">
        <v>58</v>
      </c>
      <c r="G174" s="215"/>
      <c r="H174" s="14">
        <f>SUM(H175)</f>
        <v>0</v>
      </c>
      <c r="I174" s="14" t="e">
        <f t="shared" si="3"/>
        <v>#DIV/0!</v>
      </c>
      <c r="J174"/>
    </row>
    <row r="175" spans="1:10" ht="15" hidden="1">
      <c r="A175" s="165" t="s">
        <v>134</v>
      </c>
      <c r="B175" s="367"/>
      <c r="C175" s="74" t="s">
        <v>131</v>
      </c>
      <c r="D175" s="114" t="s">
        <v>466</v>
      </c>
      <c r="E175" s="114" t="s">
        <v>442</v>
      </c>
      <c r="F175" s="196" t="s">
        <v>135</v>
      </c>
      <c r="G175" s="215"/>
      <c r="H175" s="14"/>
      <c r="I175" s="14" t="e">
        <f t="shared" si="3"/>
        <v>#DIV/0!</v>
      </c>
      <c r="J175"/>
    </row>
    <row r="176" spans="1:9" s="16" customFormat="1" ht="57" hidden="1">
      <c r="A176" s="160" t="s">
        <v>445</v>
      </c>
      <c r="B176" s="367"/>
      <c r="C176" s="74" t="s">
        <v>131</v>
      </c>
      <c r="D176" s="114" t="s">
        <v>466</v>
      </c>
      <c r="E176" s="114" t="s">
        <v>446</v>
      </c>
      <c r="F176" s="196"/>
      <c r="G176" s="215">
        <f>SUM(G177)</f>
        <v>0</v>
      </c>
      <c r="H176" s="14">
        <f>SUM(H177)</f>
        <v>0</v>
      </c>
      <c r="I176" s="14" t="e">
        <f t="shared" si="3"/>
        <v>#DIV/0!</v>
      </c>
    </row>
    <row r="177" spans="1:9" s="20" customFormat="1" ht="15" hidden="1">
      <c r="A177" s="165" t="s">
        <v>134</v>
      </c>
      <c r="B177" s="367"/>
      <c r="C177" s="74" t="s">
        <v>131</v>
      </c>
      <c r="D177" s="114" t="s">
        <v>466</v>
      </c>
      <c r="E177" s="114" t="s">
        <v>446</v>
      </c>
      <c r="F177" s="196" t="s">
        <v>135</v>
      </c>
      <c r="G177" s="215"/>
      <c r="H177" s="18"/>
      <c r="I177" s="14" t="e">
        <f t="shared" si="3"/>
        <v>#DIV/0!</v>
      </c>
    </row>
    <row r="178" spans="1:9" s="19" customFormat="1" ht="15" hidden="1">
      <c r="A178" s="156" t="s">
        <v>447</v>
      </c>
      <c r="B178" s="367"/>
      <c r="C178" s="74" t="s">
        <v>131</v>
      </c>
      <c r="D178" s="114" t="s">
        <v>466</v>
      </c>
      <c r="E178" s="114" t="s">
        <v>448</v>
      </c>
      <c r="F178" s="196"/>
      <c r="G178" s="215">
        <f>SUM(G179+G181)</f>
        <v>0</v>
      </c>
      <c r="H178" s="21" t="e">
        <f>SUM(H181)+#REF!+H179</f>
        <v>#REF!</v>
      </c>
      <c r="I178" s="14" t="e">
        <f t="shared" si="3"/>
        <v>#REF!</v>
      </c>
    </row>
    <row r="179" spans="1:9" s="19" customFormat="1" ht="42.75" hidden="1">
      <c r="A179" s="157" t="s">
        <v>449</v>
      </c>
      <c r="B179" s="367"/>
      <c r="C179" s="74" t="s">
        <v>131</v>
      </c>
      <c r="D179" s="114" t="s">
        <v>466</v>
      </c>
      <c r="E179" s="114" t="s">
        <v>450</v>
      </c>
      <c r="F179" s="196"/>
      <c r="G179" s="215">
        <f>SUM(G180)</f>
        <v>0</v>
      </c>
      <c r="H179" s="21">
        <f>SUM(H180)</f>
        <v>0</v>
      </c>
      <c r="I179" s="14" t="e">
        <f t="shared" si="3"/>
        <v>#DIV/0!</v>
      </c>
    </row>
    <row r="180" spans="1:9" s="19" customFormat="1" ht="15" hidden="1">
      <c r="A180" s="156" t="s">
        <v>7</v>
      </c>
      <c r="B180" s="367"/>
      <c r="C180" s="74" t="s">
        <v>131</v>
      </c>
      <c r="D180" s="114" t="s">
        <v>466</v>
      </c>
      <c r="E180" s="114" t="s">
        <v>450</v>
      </c>
      <c r="F180" s="196" t="s">
        <v>8</v>
      </c>
      <c r="G180" s="215"/>
      <c r="H180" s="21"/>
      <c r="I180" s="14" t="e">
        <f>SUM(H180/#REF!*100)</f>
        <v>#REF!</v>
      </c>
    </row>
    <row r="181" spans="1:9" s="19" customFormat="1" ht="28.5" hidden="1">
      <c r="A181" s="157" t="s">
        <v>451</v>
      </c>
      <c r="B181" s="368"/>
      <c r="C181" s="74" t="s">
        <v>131</v>
      </c>
      <c r="D181" s="114" t="s">
        <v>466</v>
      </c>
      <c r="E181" s="114" t="s">
        <v>452</v>
      </c>
      <c r="F181" s="197"/>
      <c r="G181" s="215">
        <f>SUM(G182)</f>
        <v>0</v>
      </c>
      <c r="H181" s="21" t="e">
        <f>SUM(H182+H184)</f>
        <v>#REF!</v>
      </c>
      <c r="I181" s="14" t="e">
        <f>SUM(H181/G186*100)</f>
        <v>#REF!</v>
      </c>
    </row>
    <row r="182" spans="1:9" s="19" customFormat="1" ht="15" hidden="1">
      <c r="A182" s="156" t="s">
        <v>103</v>
      </c>
      <c r="B182" s="375"/>
      <c r="C182" s="74" t="s">
        <v>131</v>
      </c>
      <c r="D182" s="114" t="s">
        <v>466</v>
      </c>
      <c r="E182" s="114" t="s">
        <v>452</v>
      </c>
      <c r="F182" s="196" t="s">
        <v>104</v>
      </c>
      <c r="G182" s="215"/>
      <c r="H182" s="21">
        <f>SUM(H183)</f>
        <v>0</v>
      </c>
      <c r="I182" s="14" t="e">
        <f>SUM(H182/G187*100)</f>
        <v>#DIV/0!</v>
      </c>
    </row>
    <row r="183" spans="1:9" s="19" customFormat="1" ht="15" hidden="1">
      <c r="A183" s="157" t="s">
        <v>3</v>
      </c>
      <c r="B183" s="367"/>
      <c r="C183" s="74" t="s">
        <v>131</v>
      </c>
      <c r="D183" s="114" t="s">
        <v>466</v>
      </c>
      <c r="E183" s="114" t="s">
        <v>4</v>
      </c>
      <c r="F183" s="196"/>
      <c r="G183" s="215">
        <f>SUM(G186)+G191+G184</f>
        <v>0</v>
      </c>
      <c r="H183" s="14">
        <v>0</v>
      </c>
      <c r="I183" s="14" t="e">
        <f>SUM(H183/G188*100)</f>
        <v>#DIV/0!</v>
      </c>
    </row>
    <row r="184" spans="1:9" s="19" customFormat="1" ht="42.75" hidden="1">
      <c r="A184" s="157" t="s">
        <v>453</v>
      </c>
      <c r="B184" s="367"/>
      <c r="C184" s="74" t="s">
        <v>131</v>
      </c>
      <c r="D184" s="114" t="s">
        <v>466</v>
      </c>
      <c r="E184" s="114" t="s">
        <v>454</v>
      </c>
      <c r="F184" s="196"/>
      <c r="G184" s="215">
        <f>SUM(G185)</f>
        <v>0</v>
      </c>
      <c r="H184" s="14" t="e">
        <f>SUM(H185)</f>
        <v>#REF!</v>
      </c>
      <c r="I184" s="14" t="e">
        <f>SUM(H184/G189*100)</f>
        <v>#REF!</v>
      </c>
    </row>
    <row r="185" spans="1:9" s="19" customFormat="1" ht="15" hidden="1">
      <c r="A185" s="157" t="s">
        <v>134</v>
      </c>
      <c r="B185" s="367"/>
      <c r="C185" s="74" t="s">
        <v>131</v>
      </c>
      <c r="D185" s="114" t="s">
        <v>466</v>
      </c>
      <c r="E185" s="114" t="s">
        <v>454</v>
      </c>
      <c r="F185" s="196" t="s">
        <v>135</v>
      </c>
      <c r="G185" s="215"/>
      <c r="H185" s="14" t="e">
        <f>SUM('[1]Ведомств.'!G180)</f>
        <v>#REF!</v>
      </c>
      <c r="I185" s="14" t="e">
        <f>SUM(H185/G190*100)</f>
        <v>#REF!</v>
      </c>
    </row>
    <row r="186" spans="1:9" s="19" customFormat="1" ht="42.75" hidden="1">
      <c r="A186" s="156" t="s">
        <v>455</v>
      </c>
      <c r="B186" s="367"/>
      <c r="C186" s="74" t="s">
        <v>131</v>
      </c>
      <c r="D186" s="114" t="s">
        <v>466</v>
      </c>
      <c r="E186" s="114" t="s">
        <v>456</v>
      </c>
      <c r="F186" s="196"/>
      <c r="G186" s="215">
        <f>SUM(G187+G189)</f>
        <v>0</v>
      </c>
      <c r="H186" s="14">
        <f>SUM(H187)</f>
        <v>0</v>
      </c>
      <c r="I186" s="14" t="e">
        <f>SUM(H186/G192*100)</f>
        <v>#DIV/0!</v>
      </c>
    </row>
    <row r="187" spans="1:9" s="19" customFormat="1" ht="28.5" hidden="1">
      <c r="A187" s="157" t="s">
        <v>457</v>
      </c>
      <c r="B187" s="367"/>
      <c r="C187" s="74" t="s">
        <v>131</v>
      </c>
      <c r="D187" s="114" t="s">
        <v>466</v>
      </c>
      <c r="E187" s="114" t="s">
        <v>458</v>
      </c>
      <c r="F187" s="196"/>
      <c r="G187" s="215">
        <f>SUM(G188)</f>
        <v>0</v>
      </c>
      <c r="H187" s="14"/>
      <c r="I187" s="14" t="e">
        <f>SUM(H187/G193*100)</f>
        <v>#DIV/0!</v>
      </c>
    </row>
    <row r="188" spans="1:9" s="19" customFormat="1" ht="15" hidden="1">
      <c r="A188" s="160" t="s">
        <v>134</v>
      </c>
      <c r="B188" s="367"/>
      <c r="C188" s="74" t="s">
        <v>131</v>
      </c>
      <c r="D188" s="114" t="s">
        <v>466</v>
      </c>
      <c r="E188" s="114" t="s">
        <v>458</v>
      </c>
      <c r="F188" s="196" t="s">
        <v>135</v>
      </c>
      <c r="G188" s="215"/>
      <c r="H188" s="14">
        <f>SUM(H189)</f>
        <v>0</v>
      </c>
      <c r="I188" s="14" t="e">
        <f>SUM(H188/G194*100)</f>
        <v>#DIV/0!</v>
      </c>
    </row>
    <row r="189" spans="1:9" s="19" customFormat="1" ht="15" hidden="1">
      <c r="A189" s="160" t="s">
        <v>459</v>
      </c>
      <c r="B189" s="367"/>
      <c r="C189" s="74" t="s">
        <v>131</v>
      </c>
      <c r="D189" s="114" t="s">
        <v>466</v>
      </c>
      <c r="E189" s="114" t="s">
        <v>460</v>
      </c>
      <c r="F189" s="196"/>
      <c r="G189" s="215">
        <f>SUM(G190)</f>
        <v>0</v>
      </c>
      <c r="H189" s="14"/>
      <c r="I189" s="14" t="e">
        <f>SUM(H189/G195*100)</f>
        <v>#DIV/0!</v>
      </c>
    </row>
    <row r="190" spans="1:9" s="16" customFormat="1" ht="15" hidden="1">
      <c r="A190" s="156" t="s">
        <v>103</v>
      </c>
      <c r="B190" s="375"/>
      <c r="C190" s="74" t="s">
        <v>131</v>
      </c>
      <c r="D190" s="114" t="s">
        <v>466</v>
      </c>
      <c r="E190" s="114" t="s">
        <v>460</v>
      </c>
      <c r="F190" s="196" t="s">
        <v>104</v>
      </c>
      <c r="G190" s="215"/>
      <c r="H190" s="14"/>
      <c r="I190" s="14"/>
    </row>
    <row r="191" spans="1:9" s="16" customFormat="1" ht="28.5" hidden="1">
      <c r="A191" s="156" t="s">
        <v>461</v>
      </c>
      <c r="B191" s="375"/>
      <c r="C191" s="74" t="s">
        <v>131</v>
      </c>
      <c r="D191" s="114" t="s">
        <v>466</v>
      </c>
      <c r="E191" s="114" t="s">
        <v>462</v>
      </c>
      <c r="F191" s="196"/>
      <c r="G191" s="215"/>
      <c r="H191" s="14"/>
      <c r="I191" s="14"/>
    </row>
    <row r="192" spans="1:9" s="16" customFormat="1" ht="42.75" hidden="1">
      <c r="A192" s="156" t="s">
        <v>44</v>
      </c>
      <c r="B192" s="375"/>
      <c r="C192" s="74" t="s">
        <v>131</v>
      </c>
      <c r="D192" s="114" t="s">
        <v>466</v>
      </c>
      <c r="E192" s="114" t="s">
        <v>45</v>
      </c>
      <c r="F192" s="196"/>
      <c r="G192" s="215">
        <f>SUM(G193)</f>
        <v>0</v>
      </c>
      <c r="H192" s="14"/>
      <c r="I192" s="14"/>
    </row>
    <row r="193" spans="1:10" ht="15" hidden="1">
      <c r="A193" s="156" t="s">
        <v>7</v>
      </c>
      <c r="B193" s="375"/>
      <c r="C193" s="74" t="s">
        <v>131</v>
      </c>
      <c r="D193" s="114" t="s">
        <v>466</v>
      </c>
      <c r="E193" s="114" t="s">
        <v>45</v>
      </c>
      <c r="F193" s="196" t="s">
        <v>8</v>
      </c>
      <c r="G193" s="215"/>
      <c r="H193" s="14"/>
      <c r="I193" s="14"/>
      <c r="J193"/>
    </row>
    <row r="194" spans="1:10" ht="42.75" hidden="1">
      <c r="A194" s="156" t="s">
        <v>46</v>
      </c>
      <c r="B194" s="375"/>
      <c r="C194" s="74" t="s">
        <v>131</v>
      </c>
      <c r="D194" s="114" t="s">
        <v>466</v>
      </c>
      <c r="E194" s="114" t="s">
        <v>47</v>
      </c>
      <c r="F194" s="196"/>
      <c r="G194" s="215">
        <f>SUM(G195)</f>
        <v>0</v>
      </c>
      <c r="H194" s="14"/>
      <c r="I194" s="14"/>
      <c r="J194"/>
    </row>
    <row r="195" spans="1:9" s="19" customFormat="1" ht="15" hidden="1">
      <c r="A195" s="156" t="s">
        <v>7</v>
      </c>
      <c r="B195" s="375"/>
      <c r="C195" s="74" t="s">
        <v>131</v>
      </c>
      <c r="D195" s="114" t="s">
        <v>466</v>
      </c>
      <c r="E195" s="114" t="s">
        <v>47</v>
      </c>
      <c r="F195" s="196" t="s">
        <v>8</v>
      </c>
      <c r="G195" s="215"/>
      <c r="H195" s="14" t="e">
        <f>SUM(#REF!+#REF!)+H200</f>
        <v>#REF!</v>
      </c>
      <c r="I195" s="14" t="e">
        <f aca="true" t="shared" si="4" ref="I195:I208">SUM(H195/G201*100)</f>
        <v>#REF!</v>
      </c>
    </row>
    <row r="196" spans="1:9" s="19" customFormat="1" ht="15" hidden="1">
      <c r="A196" s="156" t="s">
        <v>447</v>
      </c>
      <c r="B196" s="375"/>
      <c r="C196" s="74" t="s">
        <v>131</v>
      </c>
      <c r="D196" s="114" t="s">
        <v>466</v>
      </c>
      <c r="E196" s="114" t="s">
        <v>448</v>
      </c>
      <c r="F196" s="196"/>
      <c r="G196" s="215">
        <f>SUM(G197)</f>
        <v>0</v>
      </c>
      <c r="H196" s="22" t="e">
        <f>SUM('[1]Ведомств.'!G188)</f>
        <v>#REF!</v>
      </c>
      <c r="I196" s="14" t="e">
        <f t="shared" si="4"/>
        <v>#REF!</v>
      </c>
    </row>
    <row r="197" spans="1:10" s="19" customFormat="1" ht="42.75" hidden="1">
      <c r="A197" s="156" t="s">
        <v>291</v>
      </c>
      <c r="B197" s="375"/>
      <c r="C197" s="74" t="s">
        <v>131</v>
      </c>
      <c r="D197" s="114" t="s">
        <v>466</v>
      </c>
      <c r="E197" s="114" t="s">
        <v>452</v>
      </c>
      <c r="F197" s="196"/>
      <c r="G197" s="215">
        <f>SUM(G198)</f>
        <v>0</v>
      </c>
      <c r="H197" s="22"/>
      <c r="I197" s="14" t="e">
        <f t="shared" si="4"/>
        <v>#DIV/0!</v>
      </c>
      <c r="J197" s="16"/>
    </row>
    <row r="198" spans="1:9" s="19" customFormat="1" ht="15" hidden="1">
      <c r="A198" s="156" t="s">
        <v>103</v>
      </c>
      <c r="B198" s="375"/>
      <c r="C198" s="74" t="s">
        <v>131</v>
      </c>
      <c r="D198" s="114" t="s">
        <v>466</v>
      </c>
      <c r="E198" s="114" t="s">
        <v>452</v>
      </c>
      <c r="F198" s="196" t="s">
        <v>104</v>
      </c>
      <c r="G198" s="215"/>
      <c r="H198" s="14">
        <f>SUM(H199)</f>
        <v>167.7</v>
      </c>
      <c r="I198" s="14" t="e">
        <f t="shared" si="4"/>
        <v>#DIV/0!</v>
      </c>
    </row>
    <row r="199" spans="1:9" s="19" customFormat="1" ht="15" hidden="1">
      <c r="A199" s="165" t="s">
        <v>128</v>
      </c>
      <c r="B199" s="367"/>
      <c r="C199" s="74" t="s">
        <v>131</v>
      </c>
      <c r="D199" s="114" t="s">
        <v>466</v>
      </c>
      <c r="E199" s="114" t="s">
        <v>129</v>
      </c>
      <c r="F199" s="196"/>
      <c r="G199" s="215">
        <f>SUM(G200+G203)+G207</f>
        <v>0</v>
      </c>
      <c r="H199" s="14">
        <v>167.7</v>
      </c>
      <c r="I199" s="14" t="e">
        <f t="shared" si="4"/>
        <v>#DIV/0!</v>
      </c>
    </row>
    <row r="200" spans="1:9" s="19" customFormat="1" ht="42.75" hidden="1">
      <c r="A200" s="165" t="s">
        <v>515</v>
      </c>
      <c r="B200" s="367"/>
      <c r="C200" s="74" t="s">
        <v>131</v>
      </c>
      <c r="D200" s="114" t="s">
        <v>466</v>
      </c>
      <c r="E200" s="114" t="s">
        <v>302</v>
      </c>
      <c r="F200" s="196"/>
      <c r="G200" s="216">
        <f>SUM(G201)</f>
        <v>0</v>
      </c>
      <c r="H200" s="14">
        <f>SUM(H201)</f>
        <v>110.4</v>
      </c>
      <c r="I200" s="14" t="e">
        <f t="shared" si="4"/>
        <v>#DIV/0!</v>
      </c>
    </row>
    <row r="201" spans="1:9" s="19" customFormat="1" ht="15" hidden="1">
      <c r="A201" s="160" t="s">
        <v>7</v>
      </c>
      <c r="B201" s="367"/>
      <c r="C201" s="74" t="s">
        <v>131</v>
      </c>
      <c r="D201" s="114" t="s">
        <v>466</v>
      </c>
      <c r="E201" s="114" t="s">
        <v>302</v>
      </c>
      <c r="F201" s="196" t="s">
        <v>8</v>
      </c>
      <c r="G201" s="216"/>
      <c r="H201" s="14">
        <v>110.4</v>
      </c>
      <c r="I201" s="14" t="e">
        <f t="shared" si="4"/>
        <v>#DIV/0!</v>
      </c>
    </row>
    <row r="202" spans="1:9" s="16" customFormat="1" ht="15" hidden="1">
      <c r="A202" s="165" t="s">
        <v>48</v>
      </c>
      <c r="B202" s="367"/>
      <c r="C202" s="74" t="s">
        <v>131</v>
      </c>
      <c r="D202" s="114" t="s">
        <v>466</v>
      </c>
      <c r="E202" s="114" t="s">
        <v>49</v>
      </c>
      <c r="F202" s="196" t="s">
        <v>104</v>
      </c>
      <c r="G202" s="215"/>
      <c r="H202" s="14" t="e">
        <f>SUM(H210+H227)+H205+H223+H207</f>
        <v>#REF!</v>
      </c>
      <c r="I202" s="14" t="e">
        <f t="shared" si="4"/>
        <v>#REF!</v>
      </c>
    </row>
    <row r="203" spans="1:9" s="16" customFormat="1" ht="15" hidden="1">
      <c r="A203" s="165" t="s">
        <v>134</v>
      </c>
      <c r="B203" s="367"/>
      <c r="C203" s="74" t="s">
        <v>131</v>
      </c>
      <c r="D203" s="114" t="s">
        <v>466</v>
      </c>
      <c r="E203" s="114" t="s">
        <v>129</v>
      </c>
      <c r="F203" s="196" t="s">
        <v>135</v>
      </c>
      <c r="G203" s="215">
        <f>SUM(G204)</f>
        <v>0</v>
      </c>
      <c r="H203" s="14"/>
      <c r="I203" s="14">
        <f t="shared" si="4"/>
        <v>0</v>
      </c>
    </row>
    <row r="204" spans="1:9" s="16" customFormat="1" ht="28.5" hidden="1">
      <c r="A204" s="160" t="s">
        <v>50</v>
      </c>
      <c r="B204" s="367"/>
      <c r="C204" s="74" t="s">
        <v>131</v>
      </c>
      <c r="D204" s="114" t="s">
        <v>466</v>
      </c>
      <c r="E204" s="114" t="s">
        <v>51</v>
      </c>
      <c r="F204" s="196" t="s">
        <v>135</v>
      </c>
      <c r="G204" s="215">
        <f>SUM(G206)</f>
        <v>0</v>
      </c>
      <c r="H204" s="14"/>
      <c r="I204" s="14">
        <f t="shared" si="4"/>
        <v>0</v>
      </c>
    </row>
    <row r="205" spans="1:9" s="16" customFormat="1" ht="28.5" hidden="1">
      <c r="A205" s="160" t="s">
        <v>66</v>
      </c>
      <c r="B205" s="367"/>
      <c r="C205" s="74"/>
      <c r="D205" s="114"/>
      <c r="E205" s="114"/>
      <c r="F205" s="196"/>
      <c r="G205" s="215"/>
      <c r="H205" s="14">
        <f>SUM(H206)</f>
        <v>0</v>
      </c>
      <c r="I205" s="14">
        <f t="shared" si="4"/>
        <v>0</v>
      </c>
    </row>
    <row r="206" spans="1:9" s="16" customFormat="1" ht="28.5" hidden="1">
      <c r="A206" s="157" t="s">
        <v>457</v>
      </c>
      <c r="B206" s="367"/>
      <c r="C206" s="74" t="s">
        <v>131</v>
      </c>
      <c r="D206" s="114" t="s">
        <v>466</v>
      </c>
      <c r="E206" s="114" t="s">
        <v>52</v>
      </c>
      <c r="F206" s="196" t="s">
        <v>135</v>
      </c>
      <c r="G206" s="215"/>
      <c r="H206" s="14"/>
      <c r="I206" s="14">
        <f t="shared" si="4"/>
        <v>0</v>
      </c>
    </row>
    <row r="207" spans="1:9" s="16" customFormat="1" ht="28.5" hidden="1">
      <c r="A207" s="156" t="s">
        <v>53</v>
      </c>
      <c r="B207" s="367"/>
      <c r="C207" s="74" t="s">
        <v>131</v>
      </c>
      <c r="D207" s="114" t="s">
        <v>466</v>
      </c>
      <c r="E207" s="114" t="s">
        <v>54</v>
      </c>
      <c r="F207" s="196"/>
      <c r="G207" s="215">
        <f>SUM(G208)</f>
        <v>0</v>
      </c>
      <c r="H207" s="14">
        <f>SUM(H208)</f>
        <v>9483.6</v>
      </c>
      <c r="I207" s="14" t="e">
        <f t="shared" si="4"/>
        <v>#DIV/0!</v>
      </c>
    </row>
    <row r="208" spans="1:9" s="16" customFormat="1" ht="15" hidden="1">
      <c r="A208" s="165" t="s">
        <v>134</v>
      </c>
      <c r="B208" s="367"/>
      <c r="C208" s="74" t="s">
        <v>131</v>
      </c>
      <c r="D208" s="114" t="s">
        <v>466</v>
      </c>
      <c r="E208" s="114" t="s">
        <v>54</v>
      </c>
      <c r="F208" s="196" t="s">
        <v>135</v>
      </c>
      <c r="G208" s="215"/>
      <c r="H208" s="14">
        <f>SUM(H209)</f>
        <v>9483.6</v>
      </c>
      <c r="I208" s="14" t="e">
        <f t="shared" si="4"/>
        <v>#DIV/0!</v>
      </c>
    </row>
    <row r="209" spans="1:11" s="16" customFormat="1" ht="15">
      <c r="A209" s="160" t="s">
        <v>55</v>
      </c>
      <c r="B209" s="369"/>
      <c r="C209" s="235" t="s">
        <v>131</v>
      </c>
      <c r="D209" s="183" t="s">
        <v>468</v>
      </c>
      <c r="E209" s="183"/>
      <c r="F209" s="201"/>
      <c r="G209" s="213">
        <f>G210+G215+G217</f>
        <v>11351.6</v>
      </c>
      <c r="H209" s="14">
        <v>9483.6</v>
      </c>
      <c r="I209" s="14">
        <f>SUM(H209/G220*100)</f>
        <v>19.0711760518346</v>
      </c>
      <c r="K209" s="291">
        <f>SUM(G156-K156)</f>
        <v>0</v>
      </c>
    </row>
    <row r="210" spans="1:9" s="16" customFormat="1" ht="15">
      <c r="A210" s="160" t="s">
        <v>299</v>
      </c>
      <c r="B210" s="369"/>
      <c r="C210" s="235" t="s">
        <v>131</v>
      </c>
      <c r="D210" s="183" t="s">
        <v>468</v>
      </c>
      <c r="E210" s="183" t="s">
        <v>577</v>
      </c>
      <c r="F210" s="201"/>
      <c r="G210" s="213">
        <f>G211</f>
        <v>11335.2</v>
      </c>
      <c r="H210" s="14">
        <f>SUM(H211+H213+H220)</f>
        <v>15047</v>
      </c>
      <c r="I210" s="14">
        <f>SUM(H210/G221*100)</f>
        <v>30.36448684884955</v>
      </c>
    </row>
    <row r="211" spans="1:9" s="16" customFormat="1" ht="15">
      <c r="A211" s="160" t="s">
        <v>41</v>
      </c>
      <c r="B211" s="369"/>
      <c r="C211" s="235" t="s">
        <v>131</v>
      </c>
      <c r="D211" s="183" t="s">
        <v>468</v>
      </c>
      <c r="E211" s="183" t="s">
        <v>578</v>
      </c>
      <c r="F211" s="201"/>
      <c r="G211" s="213">
        <f>SUM(G212)</f>
        <v>11335.2</v>
      </c>
      <c r="H211" s="14">
        <f>SUM(H212)</f>
        <v>0</v>
      </c>
      <c r="I211" s="14">
        <f>SUM(H211/G222*100)</f>
        <v>0</v>
      </c>
    </row>
    <row r="212" spans="1:10" s="16" customFormat="1" ht="13.5" customHeight="1">
      <c r="A212" s="160" t="s">
        <v>523</v>
      </c>
      <c r="B212" s="369"/>
      <c r="C212" s="235" t="s">
        <v>131</v>
      </c>
      <c r="D212" s="183" t="s">
        <v>468</v>
      </c>
      <c r="E212" s="183" t="s">
        <v>578</v>
      </c>
      <c r="F212" s="201" t="s">
        <v>120</v>
      </c>
      <c r="G212" s="213">
        <v>11335.2</v>
      </c>
      <c r="H212" s="14"/>
      <c r="I212" s="14">
        <f>SUM(H212/G223*100)</f>
        <v>0</v>
      </c>
      <c r="J212" s="16">
        <f>SUM('ведомствен.2014'!G223)</f>
        <v>11335.2</v>
      </c>
    </row>
    <row r="213" spans="1:9" s="16" customFormat="1" ht="28.5" hidden="1">
      <c r="A213" s="160" t="s">
        <v>543</v>
      </c>
      <c r="B213" s="369"/>
      <c r="C213" s="235" t="s">
        <v>131</v>
      </c>
      <c r="D213" s="183" t="s">
        <v>468</v>
      </c>
      <c r="E213" s="183" t="s">
        <v>578</v>
      </c>
      <c r="F213" s="201" t="s">
        <v>544</v>
      </c>
      <c r="G213" s="213"/>
      <c r="H213" s="14">
        <f>SUM(H214)</f>
        <v>0</v>
      </c>
      <c r="I213" s="14">
        <f>SUM(H213/G224*100)</f>
        <v>0</v>
      </c>
    </row>
    <row r="214" spans="1:9" s="16" customFormat="1" ht="28.5" hidden="1">
      <c r="A214" s="160" t="s">
        <v>543</v>
      </c>
      <c r="B214" s="369"/>
      <c r="C214" s="235" t="s">
        <v>131</v>
      </c>
      <c r="D214" s="183" t="s">
        <v>468</v>
      </c>
      <c r="E214" s="183" t="s">
        <v>578</v>
      </c>
      <c r="F214" s="201" t="s">
        <v>544</v>
      </c>
      <c r="G214" s="213"/>
      <c r="H214" s="14"/>
      <c r="I214" s="14" t="e">
        <f>SUM(H214/#REF!*100)</f>
        <v>#REF!</v>
      </c>
    </row>
    <row r="215" spans="1:9" s="16" customFormat="1" ht="15" hidden="1">
      <c r="A215" s="157" t="s">
        <v>534</v>
      </c>
      <c r="B215" s="367"/>
      <c r="C215" s="235" t="s">
        <v>131</v>
      </c>
      <c r="D215" s="183" t="s">
        <v>468</v>
      </c>
      <c r="E215" s="114" t="s">
        <v>535</v>
      </c>
      <c r="F215" s="196"/>
      <c r="G215" s="213">
        <f>G216</f>
        <v>0</v>
      </c>
      <c r="H215" s="14"/>
      <c r="I215" s="14"/>
    </row>
    <row r="216" spans="1:10" s="16" customFormat="1" ht="15" hidden="1">
      <c r="A216" s="156" t="s">
        <v>524</v>
      </c>
      <c r="B216" s="367"/>
      <c r="C216" s="235" t="s">
        <v>131</v>
      </c>
      <c r="D216" s="183" t="s">
        <v>468</v>
      </c>
      <c r="E216" s="114" t="s">
        <v>535</v>
      </c>
      <c r="F216" s="196" t="s">
        <v>177</v>
      </c>
      <c r="G216" s="215"/>
      <c r="H216" s="14"/>
      <c r="I216" s="14"/>
      <c r="J216" s="16">
        <f>SUM('ведомствен.2014'!G332)</f>
        <v>0</v>
      </c>
    </row>
    <row r="217" spans="1:9" s="16" customFormat="1" ht="15">
      <c r="A217" s="74" t="s">
        <v>128</v>
      </c>
      <c r="B217" s="376"/>
      <c r="C217" s="397" t="s">
        <v>131</v>
      </c>
      <c r="D217" s="287" t="s">
        <v>468</v>
      </c>
      <c r="E217" s="287" t="s">
        <v>129</v>
      </c>
      <c r="F217" s="356"/>
      <c r="G217" s="346">
        <f>SUM(G218)</f>
        <v>16.4</v>
      </c>
      <c r="H217" s="14"/>
      <c r="I217" s="14"/>
    </row>
    <row r="218" spans="1:9" s="16" customFormat="1" ht="57">
      <c r="A218" s="340" t="s">
        <v>1013</v>
      </c>
      <c r="B218" s="377"/>
      <c r="C218" s="397" t="s">
        <v>131</v>
      </c>
      <c r="D218" s="287" t="s">
        <v>468</v>
      </c>
      <c r="E218" s="287" t="s">
        <v>688</v>
      </c>
      <c r="F218" s="358"/>
      <c r="G218" s="346">
        <f>SUM(G219:G219)</f>
        <v>16.4</v>
      </c>
      <c r="H218" s="14"/>
      <c r="I218" s="14"/>
    </row>
    <row r="219" spans="1:10" s="16" customFormat="1" ht="15">
      <c r="A219" s="160" t="s">
        <v>523</v>
      </c>
      <c r="B219" s="377"/>
      <c r="C219" s="397" t="s">
        <v>131</v>
      </c>
      <c r="D219" s="287" t="s">
        <v>468</v>
      </c>
      <c r="E219" s="287" t="s">
        <v>688</v>
      </c>
      <c r="F219" s="358" t="s">
        <v>120</v>
      </c>
      <c r="G219" s="346">
        <v>16.4</v>
      </c>
      <c r="H219" s="14"/>
      <c r="I219" s="14"/>
      <c r="J219" s="16">
        <f>SUM('ведомствен.2014'!G226)</f>
        <v>16.4</v>
      </c>
    </row>
    <row r="220" spans="1:9" s="16" customFormat="1" ht="15">
      <c r="A220" s="160" t="s">
        <v>43</v>
      </c>
      <c r="B220" s="369"/>
      <c r="C220" s="235" t="s">
        <v>131</v>
      </c>
      <c r="D220" s="183" t="s">
        <v>106</v>
      </c>
      <c r="E220" s="183"/>
      <c r="F220" s="201"/>
      <c r="G220" s="213">
        <f>G221+G232</f>
        <v>49727.40000000001</v>
      </c>
      <c r="H220" s="14">
        <f>SUM(H221)+H222</f>
        <v>15047</v>
      </c>
      <c r="I220" s="14">
        <f>SUM(H220/G226*100)</f>
        <v>84.8937910801433</v>
      </c>
    </row>
    <row r="221" spans="1:10" s="16" customFormat="1" ht="15">
      <c r="A221" s="160" t="s">
        <v>43</v>
      </c>
      <c r="B221" s="373"/>
      <c r="C221" s="235" t="s">
        <v>131</v>
      </c>
      <c r="D221" s="183" t="s">
        <v>106</v>
      </c>
      <c r="E221" s="242" t="s">
        <v>71</v>
      </c>
      <c r="F221" s="243"/>
      <c r="G221" s="213">
        <f>G222+G226+G230+G224</f>
        <v>49554.600000000006</v>
      </c>
      <c r="H221" s="18">
        <f>878+4272.1+2990.6</f>
        <v>8140.700000000001</v>
      </c>
      <c r="I221" s="14">
        <f>SUM(H221/G227*100)</f>
        <v>45.92908121526701</v>
      </c>
      <c r="J221" s="37"/>
    </row>
    <row r="222" spans="1:10" s="16" customFormat="1" ht="15">
      <c r="A222" s="163" t="s">
        <v>72</v>
      </c>
      <c r="B222" s="373"/>
      <c r="C222" s="235" t="s">
        <v>131</v>
      </c>
      <c r="D222" s="183" t="s">
        <v>106</v>
      </c>
      <c r="E222" s="242" t="s">
        <v>73</v>
      </c>
      <c r="F222" s="243"/>
      <c r="G222" s="213">
        <f>SUM(G223)</f>
        <v>31390.9</v>
      </c>
      <c r="H222" s="18">
        <v>6906.3</v>
      </c>
      <c r="I222" s="14" t="e">
        <f>SUM(H222/G228*100)</f>
        <v>#DIV/0!</v>
      </c>
      <c r="J222" s="37"/>
    </row>
    <row r="223" spans="1:10" s="16" customFormat="1" ht="15">
      <c r="A223" s="160" t="s">
        <v>523</v>
      </c>
      <c r="B223" s="373"/>
      <c r="C223" s="235" t="s">
        <v>131</v>
      </c>
      <c r="D223" s="183" t="s">
        <v>106</v>
      </c>
      <c r="E223" s="242" t="s">
        <v>73</v>
      </c>
      <c r="F223" s="243" t="s">
        <v>120</v>
      </c>
      <c r="G223" s="213">
        <v>31390.9</v>
      </c>
      <c r="H223" s="18" t="e">
        <f>SUM(H224)</f>
        <v>#REF!</v>
      </c>
      <c r="I223" s="14" t="e">
        <f>SUM(H223/G229*100)</f>
        <v>#REF!</v>
      </c>
      <c r="J223" s="16">
        <f>SUM('ведомствен.2014'!G233)</f>
        <v>31390.9</v>
      </c>
    </row>
    <row r="224" spans="1:9" s="16" customFormat="1" ht="15">
      <c r="A224" s="74" t="s">
        <v>689</v>
      </c>
      <c r="B224" s="378"/>
      <c r="C224" s="353" t="s">
        <v>131</v>
      </c>
      <c r="D224" s="279" t="s">
        <v>106</v>
      </c>
      <c r="E224" s="114" t="s">
        <v>690</v>
      </c>
      <c r="F224" s="243"/>
      <c r="G224" s="213">
        <f>SUM(G225)</f>
        <v>240.8</v>
      </c>
      <c r="H224" s="18" t="e">
        <f>SUM(#REF!)</f>
        <v>#REF!</v>
      </c>
      <c r="I224" s="14" t="e">
        <f>SUM(H224/G230*100)</f>
        <v>#REF!</v>
      </c>
    </row>
    <row r="225" spans="1:10" s="16" customFormat="1" ht="15">
      <c r="A225" s="160" t="s">
        <v>523</v>
      </c>
      <c r="B225" s="379"/>
      <c r="C225" s="235" t="s">
        <v>131</v>
      </c>
      <c r="D225" s="183" t="s">
        <v>106</v>
      </c>
      <c r="E225" s="114" t="s">
        <v>690</v>
      </c>
      <c r="F225" s="243" t="s">
        <v>120</v>
      </c>
      <c r="G225" s="213">
        <v>240.8</v>
      </c>
      <c r="H225" s="18"/>
      <c r="I225" s="14"/>
      <c r="J225" s="16">
        <f>SUM('ведомствен.2014'!G235)</f>
        <v>240.8</v>
      </c>
    </row>
    <row r="226" spans="1:9" s="16" customFormat="1" ht="28.5">
      <c r="A226" s="160" t="s">
        <v>629</v>
      </c>
      <c r="B226" s="373"/>
      <c r="C226" s="235" t="s">
        <v>131</v>
      </c>
      <c r="D226" s="183" t="s">
        <v>106</v>
      </c>
      <c r="E226" s="242" t="s">
        <v>40</v>
      </c>
      <c r="F226" s="243"/>
      <c r="G226" s="213">
        <f>G227</f>
        <v>17724.5</v>
      </c>
      <c r="H226" s="18"/>
      <c r="I226" s="14">
        <f>SUM(H226/G235*100)</f>
        <v>0</v>
      </c>
    </row>
    <row r="227" spans="1:10" s="16" customFormat="1" ht="15">
      <c r="A227" s="160" t="s">
        <v>523</v>
      </c>
      <c r="B227" s="373"/>
      <c r="C227" s="235" t="s">
        <v>131</v>
      </c>
      <c r="D227" s="183" t="s">
        <v>106</v>
      </c>
      <c r="E227" s="242" t="s">
        <v>40</v>
      </c>
      <c r="F227" s="243" t="s">
        <v>120</v>
      </c>
      <c r="G227" s="213">
        <v>17724.5</v>
      </c>
      <c r="H227" s="18">
        <f>SUM(H228)</f>
        <v>0</v>
      </c>
      <c r="I227" s="14">
        <f>SUM(H227/G238*100)</f>
        <v>0</v>
      </c>
      <c r="J227" s="16">
        <f>SUM('ведомствен.2014'!G237)</f>
        <v>17724.5</v>
      </c>
    </row>
    <row r="228" spans="1:9" s="16" customFormat="1" ht="28.5" hidden="1">
      <c r="A228" s="160" t="s">
        <v>541</v>
      </c>
      <c r="B228" s="373"/>
      <c r="C228" s="235" t="s">
        <v>131</v>
      </c>
      <c r="D228" s="183" t="s">
        <v>106</v>
      </c>
      <c r="E228" s="242" t="s">
        <v>40</v>
      </c>
      <c r="F228" s="243" t="s">
        <v>542</v>
      </c>
      <c r="G228" s="213"/>
      <c r="H228" s="18">
        <f>SUM(H229:H235)</f>
        <v>0</v>
      </c>
      <c r="I228" s="14" t="e">
        <f>SUM(H228/G241*100)</f>
        <v>#DIV/0!</v>
      </c>
    </row>
    <row r="229" spans="1:9" s="16" customFormat="1" ht="28.5" hidden="1">
      <c r="A229" s="160" t="s">
        <v>543</v>
      </c>
      <c r="B229" s="373"/>
      <c r="C229" s="235" t="s">
        <v>131</v>
      </c>
      <c r="D229" s="183" t="s">
        <v>106</v>
      </c>
      <c r="E229" s="242" t="s">
        <v>40</v>
      </c>
      <c r="F229" s="243" t="s">
        <v>544</v>
      </c>
      <c r="G229" s="213"/>
      <c r="H229" s="18"/>
      <c r="I229" s="14" t="e">
        <f>SUM(H229/G242*100)</f>
        <v>#DIV/0!</v>
      </c>
    </row>
    <row r="230" spans="1:9" s="16" customFormat="1" ht="57">
      <c r="A230" s="162" t="s">
        <v>627</v>
      </c>
      <c r="B230" s="371"/>
      <c r="C230" s="208" t="s">
        <v>131</v>
      </c>
      <c r="D230" s="186" t="s">
        <v>106</v>
      </c>
      <c r="E230" s="245" t="s">
        <v>628</v>
      </c>
      <c r="F230" s="237"/>
      <c r="G230" s="218">
        <f>SUM(G231)</f>
        <v>198.4</v>
      </c>
      <c r="H230" s="18"/>
      <c r="I230" s="14" t="e">
        <f>SUM(H230/G243*100)</f>
        <v>#DIV/0!</v>
      </c>
    </row>
    <row r="231" spans="1:10" s="16" customFormat="1" ht="15">
      <c r="A231" s="160" t="s">
        <v>523</v>
      </c>
      <c r="B231" s="373"/>
      <c r="C231" s="235" t="s">
        <v>131</v>
      </c>
      <c r="D231" s="183" t="s">
        <v>106</v>
      </c>
      <c r="E231" s="245" t="s">
        <v>628</v>
      </c>
      <c r="F231" s="243" t="s">
        <v>120</v>
      </c>
      <c r="G231" s="213">
        <v>198.4</v>
      </c>
      <c r="H231" s="18"/>
      <c r="I231" s="14" t="e">
        <f>SUM(H231/G244*100)</f>
        <v>#DIV/0!</v>
      </c>
      <c r="J231" s="16">
        <f>SUM('ведомствен.2014'!G241)</f>
        <v>198.4</v>
      </c>
    </row>
    <row r="232" spans="1:9" s="16" customFormat="1" ht="15">
      <c r="A232" s="74" t="s">
        <v>128</v>
      </c>
      <c r="B232" s="378"/>
      <c r="C232" s="353" t="s">
        <v>131</v>
      </c>
      <c r="D232" s="279" t="s">
        <v>106</v>
      </c>
      <c r="E232" s="114" t="s">
        <v>129</v>
      </c>
      <c r="F232" s="243"/>
      <c r="G232" s="213">
        <f>SUM(G233)</f>
        <v>172.8</v>
      </c>
      <c r="H232" s="18"/>
      <c r="I232" s="14"/>
    </row>
    <row r="233" spans="1:9" s="16" customFormat="1" ht="42.75">
      <c r="A233" s="337" t="s">
        <v>1014</v>
      </c>
      <c r="B233" s="286"/>
      <c r="C233" s="398" t="s">
        <v>131</v>
      </c>
      <c r="D233" s="285" t="s">
        <v>106</v>
      </c>
      <c r="E233" s="114" t="s">
        <v>691</v>
      </c>
      <c r="F233" s="243"/>
      <c r="G233" s="213">
        <f>SUM(G234)</f>
        <v>172.8</v>
      </c>
      <c r="H233" s="18"/>
      <c r="I233" s="14"/>
    </row>
    <row r="234" spans="1:10" s="16" customFormat="1" ht="15">
      <c r="A234" s="160" t="s">
        <v>523</v>
      </c>
      <c r="B234" s="379"/>
      <c r="C234" s="398" t="s">
        <v>131</v>
      </c>
      <c r="D234" s="285" t="s">
        <v>106</v>
      </c>
      <c r="E234" s="114" t="s">
        <v>691</v>
      </c>
      <c r="F234" s="243" t="s">
        <v>120</v>
      </c>
      <c r="G234" s="213">
        <v>172.8</v>
      </c>
      <c r="H234" s="18"/>
      <c r="I234" s="14"/>
      <c r="J234" s="16">
        <f>SUM('ведомствен.2014'!G244)</f>
        <v>172.8</v>
      </c>
    </row>
    <row r="235" spans="1:9" s="16" customFormat="1" ht="27.75" customHeight="1">
      <c r="A235" s="160" t="s">
        <v>64</v>
      </c>
      <c r="B235" s="373"/>
      <c r="C235" s="235" t="s">
        <v>131</v>
      </c>
      <c r="D235" s="183" t="s">
        <v>131</v>
      </c>
      <c r="E235" s="242"/>
      <c r="F235" s="243"/>
      <c r="G235" s="213">
        <f>G238+G236</f>
        <v>6165.1</v>
      </c>
      <c r="H235" s="18">
        <f>SUM(H238)</f>
        <v>0</v>
      </c>
      <c r="I235" s="14">
        <f>SUM(H235/G245*100)</f>
        <v>0</v>
      </c>
    </row>
    <row r="236" spans="1:9" s="16" customFormat="1" ht="15" hidden="1">
      <c r="A236" s="157" t="s">
        <v>534</v>
      </c>
      <c r="B236" s="367"/>
      <c r="C236" s="235" t="s">
        <v>131</v>
      </c>
      <c r="D236" s="183" t="s">
        <v>131</v>
      </c>
      <c r="E236" s="114" t="s">
        <v>535</v>
      </c>
      <c r="F236" s="196"/>
      <c r="G236" s="213">
        <f>G237</f>
        <v>0</v>
      </c>
      <c r="H236" s="18"/>
      <c r="I236" s="14"/>
    </row>
    <row r="237" spans="1:10" s="16" customFormat="1" ht="15" hidden="1">
      <c r="A237" s="156" t="s">
        <v>524</v>
      </c>
      <c r="B237" s="367"/>
      <c r="C237" s="235" t="s">
        <v>131</v>
      </c>
      <c r="D237" s="183" t="s">
        <v>131</v>
      </c>
      <c r="E237" s="114" t="s">
        <v>535</v>
      </c>
      <c r="F237" s="196" t="s">
        <v>177</v>
      </c>
      <c r="G237" s="215"/>
      <c r="H237" s="18"/>
      <c r="I237" s="14"/>
      <c r="J237" s="16">
        <f>SUM('ведомствен.2014'!G335)</f>
        <v>0</v>
      </c>
    </row>
    <row r="238" spans="1:9" s="16" customFormat="1" ht="15">
      <c r="A238" s="160" t="s">
        <v>574</v>
      </c>
      <c r="B238" s="373"/>
      <c r="C238" s="235" t="s">
        <v>131</v>
      </c>
      <c r="D238" s="183" t="s">
        <v>131</v>
      </c>
      <c r="E238" s="242" t="s">
        <v>129</v>
      </c>
      <c r="F238" s="243"/>
      <c r="G238" s="213">
        <f>G241+G243+G245+G247+G239</f>
        <v>6165.1</v>
      </c>
      <c r="H238" s="18">
        <f>SUM(H241)</f>
        <v>0</v>
      </c>
      <c r="I238" s="14">
        <f>SUM(H238/G246*100)</f>
        <v>0</v>
      </c>
    </row>
    <row r="239" spans="1:9" s="16" customFormat="1" ht="28.5">
      <c r="A239" s="156" t="s">
        <v>1015</v>
      </c>
      <c r="B239" s="378"/>
      <c r="C239" s="113" t="s">
        <v>131</v>
      </c>
      <c r="D239" s="182" t="s">
        <v>131</v>
      </c>
      <c r="E239" s="114" t="s">
        <v>695</v>
      </c>
      <c r="F239" s="243"/>
      <c r="G239" s="213">
        <f>SUM(G240)</f>
        <v>995.3</v>
      </c>
      <c r="H239" s="18"/>
      <c r="I239" s="14"/>
    </row>
    <row r="240" spans="1:10" s="16" customFormat="1" ht="42" customHeight="1">
      <c r="A240" s="74" t="s">
        <v>694</v>
      </c>
      <c r="B240" s="379"/>
      <c r="C240" s="113" t="s">
        <v>131</v>
      </c>
      <c r="D240" s="182" t="s">
        <v>131</v>
      </c>
      <c r="E240" s="114" t="s">
        <v>695</v>
      </c>
      <c r="F240" s="197" t="s">
        <v>583</v>
      </c>
      <c r="G240" s="213">
        <v>995.3</v>
      </c>
      <c r="H240" s="18"/>
      <c r="I240" s="14"/>
      <c r="J240" s="16">
        <f>SUM('ведомствен.2014'!G251)</f>
        <v>995.3</v>
      </c>
    </row>
    <row r="241" spans="1:9" s="16" customFormat="1" ht="0.75" customHeight="1" hidden="1">
      <c r="A241" s="163" t="s">
        <v>579</v>
      </c>
      <c r="B241" s="373"/>
      <c r="C241" s="235" t="s">
        <v>131</v>
      </c>
      <c r="D241" s="183" t="s">
        <v>131</v>
      </c>
      <c r="E241" s="242" t="s">
        <v>13</v>
      </c>
      <c r="F241" s="243"/>
      <c r="G241" s="213">
        <f>G242</f>
        <v>0</v>
      </c>
      <c r="H241" s="18"/>
      <c r="I241" s="14">
        <f>SUM(H241/G247*100)</f>
        <v>0</v>
      </c>
    </row>
    <row r="242" spans="1:10" ht="28.5" hidden="1">
      <c r="A242" s="160" t="s">
        <v>547</v>
      </c>
      <c r="B242" s="373"/>
      <c r="C242" s="235" t="s">
        <v>131</v>
      </c>
      <c r="D242" s="183" t="s">
        <v>131</v>
      </c>
      <c r="E242" s="242" t="s">
        <v>13</v>
      </c>
      <c r="F242" s="243" t="s">
        <v>536</v>
      </c>
      <c r="G242" s="213"/>
      <c r="H242" s="14"/>
      <c r="I242" s="14"/>
      <c r="J242" s="16">
        <f>SUM('ведомствен.2014'!G253)</f>
        <v>0</v>
      </c>
    </row>
    <row r="243" spans="1:10" ht="42.75" hidden="1">
      <c r="A243" s="163" t="s">
        <v>580</v>
      </c>
      <c r="B243" s="373"/>
      <c r="C243" s="235" t="s">
        <v>581</v>
      </c>
      <c r="D243" s="183" t="s">
        <v>131</v>
      </c>
      <c r="E243" s="242" t="s">
        <v>14</v>
      </c>
      <c r="F243" s="243"/>
      <c r="G243" s="213">
        <f>G244</f>
        <v>0</v>
      </c>
      <c r="H243" s="14"/>
      <c r="I243" s="14"/>
      <c r="J243"/>
    </row>
    <row r="244" spans="1:10" ht="28.5" hidden="1">
      <c r="A244" s="160" t="s">
        <v>582</v>
      </c>
      <c r="B244" s="373"/>
      <c r="C244" s="235" t="s">
        <v>581</v>
      </c>
      <c r="D244" s="183" t="s">
        <v>131</v>
      </c>
      <c r="E244" s="242" t="s">
        <v>14</v>
      </c>
      <c r="F244" s="243" t="s">
        <v>583</v>
      </c>
      <c r="G244" s="213"/>
      <c r="H244" s="14"/>
      <c r="I244" s="14"/>
      <c r="J244" s="16">
        <f>SUM('ведомствен.2014'!G255)</f>
        <v>0</v>
      </c>
    </row>
    <row r="245" spans="1:10" ht="57">
      <c r="A245" s="160" t="s">
        <v>1016</v>
      </c>
      <c r="B245" s="373"/>
      <c r="C245" s="235" t="s">
        <v>131</v>
      </c>
      <c r="D245" s="183" t="s">
        <v>131</v>
      </c>
      <c r="E245" s="242" t="s">
        <v>42</v>
      </c>
      <c r="F245" s="243"/>
      <c r="G245" s="213">
        <f>G246</f>
        <v>669.8</v>
      </c>
      <c r="H245" s="14"/>
      <c r="I245" s="14"/>
      <c r="J245"/>
    </row>
    <row r="246" spans="1:10" ht="28.5">
      <c r="A246" s="160" t="s">
        <v>582</v>
      </c>
      <c r="B246" s="373"/>
      <c r="C246" s="235" t="s">
        <v>131</v>
      </c>
      <c r="D246" s="183" t="s">
        <v>131</v>
      </c>
      <c r="E246" s="242" t="s">
        <v>42</v>
      </c>
      <c r="F246" s="243" t="s">
        <v>583</v>
      </c>
      <c r="G246" s="213">
        <v>669.8</v>
      </c>
      <c r="H246" s="14"/>
      <c r="I246" s="14"/>
      <c r="J246" s="16">
        <f>SUM('ведомствен.2014'!G257)</f>
        <v>669.8</v>
      </c>
    </row>
    <row r="247" spans="1:10" ht="28.5">
      <c r="A247" s="163" t="s">
        <v>1011</v>
      </c>
      <c r="B247" s="373"/>
      <c r="C247" s="235" t="s">
        <v>131</v>
      </c>
      <c r="D247" s="183" t="s">
        <v>131</v>
      </c>
      <c r="E247" s="242" t="s">
        <v>54</v>
      </c>
      <c r="F247" s="243"/>
      <c r="G247" s="213">
        <f>SUM(G248:G249)</f>
        <v>4500</v>
      </c>
      <c r="H247" s="14"/>
      <c r="I247" s="14"/>
      <c r="J247"/>
    </row>
    <row r="248" spans="1:10" ht="28.5">
      <c r="A248" s="160" t="s">
        <v>582</v>
      </c>
      <c r="B248" s="373"/>
      <c r="C248" s="235" t="s">
        <v>131</v>
      </c>
      <c r="D248" s="183" t="s">
        <v>131</v>
      </c>
      <c r="E248" s="242" t="s">
        <v>54</v>
      </c>
      <c r="F248" s="243" t="s">
        <v>583</v>
      </c>
      <c r="G248" s="213">
        <v>2300</v>
      </c>
      <c r="H248" s="14"/>
      <c r="I248" s="14"/>
      <c r="J248" s="16">
        <f>SUM('ведомствен.2014'!G259)</f>
        <v>2300</v>
      </c>
    </row>
    <row r="249" spans="1:10" ht="28.5">
      <c r="A249" s="160" t="s">
        <v>547</v>
      </c>
      <c r="B249" s="373"/>
      <c r="C249" s="235" t="s">
        <v>131</v>
      </c>
      <c r="D249" s="183" t="s">
        <v>131</v>
      </c>
      <c r="E249" s="242" t="s">
        <v>54</v>
      </c>
      <c r="F249" s="243" t="s">
        <v>536</v>
      </c>
      <c r="G249" s="213">
        <v>2200</v>
      </c>
      <c r="H249" s="14"/>
      <c r="I249" s="14"/>
      <c r="J249" s="16">
        <f>SUM('ведомствен.2014'!G260)</f>
        <v>2200</v>
      </c>
    </row>
    <row r="250" spans="1:12" ht="15">
      <c r="A250" s="159" t="s">
        <v>67</v>
      </c>
      <c r="B250" s="370"/>
      <c r="C250" s="199" t="s">
        <v>396</v>
      </c>
      <c r="D250" s="184"/>
      <c r="E250" s="184"/>
      <c r="F250" s="202"/>
      <c r="G250" s="217">
        <f>SUM(G251)</f>
        <v>5826</v>
      </c>
      <c r="H250" s="18">
        <f>SUM(H251)</f>
        <v>0</v>
      </c>
      <c r="I250" s="14">
        <f>SUM(H250/G256*100)</f>
        <v>0</v>
      </c>
      <c r="J250"/>
      <c r="K250">
        <f>SUM(J251:J260)</f>
        <v>5826</v>
      </c>
      <c r="L250">
        <f>SUM('ведомствен.2014'!G261)</f>
        <v>5826</v>
      </c>
    </row>
    <row r="251" spans="1:10" ht="15">
      <c r="A251" s="156" t="s">
        <v>67</v>
      </c>
      <c r="B251" s="367"/>
      <c r="C251" s="74" t="s">
        <v>396</v>
      </c>
      <c r="D251" s="114"/>
      <c r="E251" s="114"/>
      <c r="F251" s="196"/>
      <c r="G251" s="215">
        <f>SUM(G252)+G257</f>
        <v>5826</v>
      </c>
      <c r="H251" s="18">
        <f>SUM(H252)</f>
        <v>0</v>
      </c>
      <c r="I251" s="14">
        <f>SUM(H251/G257*100)</f>
        <v>0</v>
      </c>
      <c r="J251"/>
    </row>
    <row r="252" spans="1:9" s="23" customFormat="1" ht="15">
      <c r="A252" s="160" t="s">
        <v>68</v>
      </c>
      <c r="B252" s="369"/>
      <c r="C252" s="235" t="s">
        <v>396</v>
      </c>
      <c r="D252" s="183" t="s">
        <v>106</v>
      </c>
      <c r="E252" s="183" t="s">
        <v>584</v>
      </c>
      <c r="F252" s="201"/>
      <c r="G252" s="213">
        <f>SUM(G253)</f>
        <v>5280.9</v>
      </c>
      <c r="H252" s="18"/>
      <c r="I252" s="14">
        <f>SUM(H252/G258*100)</f>
        <v>0</v>
      </c>
    </row>
    <row r="253" spans="1:10" ht="28.5">
      <c r="A253" s="160" t="s">
        <v>56</v>
      </c>
      <c r="B253" s="369"/>
      <c r="C253" s="235" t="s">
        <v>396</v>
      </c>
      <c r="D253" s="183" t="s">
        <v>106</v>
      </c>
      <c r="E253" s="183" t="s">
        <v>585</v>
      </c>
      <c r="F253" s="201"/>
      <c r="G253" s="213">
        <f>SUM(G254:G256)</f>
        <v>5280.9</v>
      </c>
      <c r="H253" s="18" t="e">
        <f>SUM(H256+H257+#REF!)</f>
        <v>#REF!</v>
      </c>
      <c r="I253" s="14" t="e">
        <f>SUM(H253/G259*100)</f>
        <v>#REF!</v>
      </c>
      <c r="J253"/>
    </row>
    <row r="254" spans="1:10" ht="42.75">
      <c r="A254" s="160" t="s">
        <v>518</v>
      </c>
      <c r="B254" s="369"/>
      <c r="C254" s="235" t="s">
        <v>396</v>
      </c>
      <c r="D254" s="183" t="s">
        <v>106</v>
      </c>
      <c r="E254" s="183" t="s">
        <v>585</v>
      </c>
      <c r="F254" s="201" t="s">
        <v>519</v>
      </c>
      <c r="G254" s="213">
        <v>4446.9</v>
      </c>
      <c r="H254" s="18"/>
      <c r="I254" s="14">
        <f>SUM(H254/G260*100)</f>
        <v>0</v>
      </c>
      <c r="J254">
        <f>SUM('ведомствен.2014'!G265)</f>
        <v>4446.9</v>
      </c>
    </row>
    <row r="255" spans="1:10" ht="15">
      <c r="A255" s="160" t="s">
        <v>523</v>
      </c>
      <c r="B255" s="369"/>
      <c r="C255" s="235" t="s">
        <v>396</v>
      </c>
      <c r="D255" s="183" t="s">
        <v>106</v>
      </c>
      <c r="E255" s="183" t="s">
        <v>585</v>
      </c>
      <c r="F255" s="201" t="s">
        <v>120</v>
      </c>
      <c r="G255" s="213">
        <v>753.9</v>
      </c>
      <c r="H255" s="24">
        <v>300</v>
      </c>
      <c r="I255" s="14" t="e">
        <f>SUM(H255/#REF!*100)</f>
        <v>#REF!</v>
      </c>
      <c r="J255">
        <f>SUM('ведомствен.2014'!G266)</f>
        <v>753.9</v>
      </c>
    </row>
    <row r="256" spans="1:10" ht="15">
      <c r="A256" s="160" t="s">
        <v>524</v>
      </c>
      <c r="B256" s="369"/>
      <c r="C256" s="235" t="s">
        <v>396</v>
      </c>
      <c r="D256" s="183" t="s">
        <v>106</v>
      </c>
      <c r="E256" s="183" t="s">
        <v>585</v>
      </c>
      <c r="F256" s="201" t="s">
        <v>177</v>
      </c>
      <c r="G256" s="213">
        <v>80.1</v>
      </c>
      <c r="H256" s="18"/>
      <c r="I256" s="14" t="e">
        <f>SUM(H256/#REF!*100)</f>
        <v>#REF!</v>
      </c>
      <c r="J256">
        <f>SUM('ведомствен.2014'!G267)</f>
        <v>80.1</v>
      </c>
    </row>
    <row r="257" spans="1:10" ht="15">
      <c r="A257" s="160" t="s">
        <v>69</v>
      </c>
      <c r="B257" s="369"/>
      <c r="C257" s="235" t="s">
        <v>396</v>
      </c>
      <c r="D257" s="183" t="s">
        <v>131</v>
      </c>
      <c r="E257" s="246"/>
      <c r="F257" s="201"/>
      <c r="G257" s="213">
        <f>G259</f>
        <v>545.1</v>
      </c>
      <c r="H257" s="18">
        <f>SUM(H258:H260)</f>
        <v>347.3</v>
      </c>
      <c r="I257" s="14" t="e">
        <f>SUM(H257/#REF!*100)</f>
        <v>#REF!</v>
      </c>
      <c r="J257"/>
    </row>
    <row r="258" spans="1:9" ht="15">
      <c r="A258" s="160" t="s">
        <v>574</v>
      </c>
      <c r="B258" s="369"/>
      <c r="C258" s="235" t="s">
        <v>396</v>
      </c>
      <c r="D258" s="183" t="s">
        <v>131</v>
      </c>
      <c r="E258" s="242" t="s">
        <v>129</v>
      </c>
      <c r="F258" s="201"/>
      <c r="G258" s="213">
        <f>SUM(G259)</f>
        <v>545.1</v>
      </c>
      <c r="H258" s="18"/>
      <c r="I258" s="14" t="e">
        <f>SUM(H258/#REF!*100)</f>
        <v>#REF!</v>
      </c>
    </row>
    <row r="259" spans="1:10" ht="15.75">
      <c r="A259" s="160" t="s">
        <v>673</v>
      </c>
      <c r="B259" s="372"/>
      <c r="C259" s="235" t="s">
        <v>396</v>
      </c>
      <c r="D259" s="183" t="s">
        <v>131</v>
      </c>
      <c r="E259" s="183" t="s">
        <v>70</v>
      </c>
      <c r="F259" s="201"/>
      <c r="G259" s="213">
        <f>G260</f>
        <v>545.1</v>
      </c>
      <c r="H259" s="18"/>
      <c r="I259" s="14"/>
      <c r="J259"/>
    </row>
    <row r="260" spans="1:10" ht="15">
      <c r="A260" s="160" t="s">
        <v>523</v>
      </c>
      <c r="B260" s="369"/>
      <c r="C260" s="235" t="s">
        <v>396</v>
      </c>
      <c r="D260" s="183" t="s">
        <v>131</v>
      </c>
      <c r="E260" s="183" t="s">
        <v>70</v>
      </c>
      <c r="F260" s="201" t="s">
        <v>120</v>
      </c>
      <c r="G260" s="213">
        <v>545.1</v>
      </c>
      <c r="H260" s="18">
        <v>347.3</v>
      </c>
      <c r="I260" s="14" t="e">
        <f>SUM(H260/#REF!*100)</f>
        <v>#REF!</v>
      </c>
      <c r="J260">
        <f>SUM('ведомствен.2014'!G271)</f>
        <v>545.1</v>
      </c>
    </row>
    <row r="261" spans="1:12" s="25" customFormat="1" ht="15">
      <c r="A261" s="159" t="s">
        <v>116</v>
      </c>
      <c r="B261" s="370"/>
      <c r="C261" s="203" t="s">
        <v>117</v>
      </c>
      <c r="D261" s="185"/>
      <c r="E261" s="185"/>
      <c r="F261" s="200"/>
      <c r="G261" s="217">
        <f>SUM(G262+G283+G332+G352)</f>
        <v>1709945.9000000001</v>
      </c>
      <c r="H261" s="14"/>
      <c r="I261" s="14"/>
      <c r="K261" s="117">
        <f>SUM(J266:J360)</f>
        <v>1709945.9</v>
      </c>
      <c r="L261" s="117">
        <f>SUM('ведомствен.2014'!G272+'ведомствен.2014'!G355+'ведомствен.2014'!G508+'ведомствен.2014'!G548+'ведомствен.2014'!G648)</f>
        <v>1709945.9</v>
      </c>
    </row>
    <row r="262" spans="1:12" s="25" customFormat="1" ht="15">
      <c r="A262" s="162" t="s">
        <v>342</v>
      </c>
      <c r="B262" s="380"/>
      <c r="C262" s="116" t="s">
        <v>117</v>
      </c>
      <c r="D262" s="175" t="s">
        <v>466</v>
      </c>
      <c r="E262" s="175"/>
      <c r="F262" s="252"/>
      <c r="G262" s="220">
        <f>SUM(G263+G280)</f>
        <v>615133</v>
      </c>
      <c r="H262" s="14"/>
      <c r="I262" s="14"/>
      <c r="L262" s="83">
        <f>SUM(G261-L261)</f>
        <v>2.3283064365386963E-10</v>
      </c>
    </row>
    <row r="263" spans="1:12" s="25" customFormat="1" ht="15">
      <c r="A263" s="162" t="s">
        <v>343</v>
      </c>
      <c r="B263" s="380"/>
      <c r="C263" s="116" t="s">
        <v>117</v>
      </c>
      <c r="D263" s="175" t="s">
        <v>466</v>
      </c>
      <c r="E263" s="175" t="s">
        <v>344</v>
      </c>
      <c r="F263" s="252"/>
      <c r="G263" s="220">
        <f>SUM(G264+G272+G276)</f>
        <v>610933</v>
      </c>
      <c r="H263" s="14"/>
      <c r="I263" s="14"/>
      <c r="K263" s="25">
        <f>SUM(J262:J282)</f>
        <v>615133.0000000001</v>
      </c>
      <c r="L263" s="25">
        <f>SUM('ведомствен.2014'!G549)</f>
        <v>615133</v>
      </c>
    </row>
    <row r="264" spans="1:10" ht="28.5">
      <c r="A264" s="162" t="s">
        <v>630</v>
      </c>
      <c r="B264" s="380"/>
      <c r="C264" s="116" t="s">
        <v>117</v>
      </c>
      <c r="D264" s="175" t="s">
        <v>466</v>
      </c>
      <c r="E264" s="175" t="s">
        <v>85</v>
      </c>
      <c r="F264" s="252"/>
      <c r="G264" s="220">
        <f>SUM(G267+G265+G269)</f>
        <v>521715.8</v>
      </c>
      <c r="H264" s="14"/>
      <c r="I264" s="14"/>
      <c r="J264"/>
    </row>
    <row r="265" spans="1:10" ht="85.5">
      <c r="A265" s="162" t="s">
        <v>631</v>
      </c>
      <c r="B265" s="380"/>
      <c r="C265" s="116" t="s">
        <v>117</v>
      </c>
      <c r="D265" s="175" t="s">
        <v>466</v>
      </c>
      <c r="E265" s="175" t="s">
        <v>213</v>
      </c>
      <c r="F265" s="252"/>
      <c r="G265" s="220">
        <f>G266</f>
        <v>333529.6</v>
      </c>
      <c r="H265" s="14"/>
      <c r="I265" s="14"/>
      <c r="J265"/>
    </row>
    <row r="266" spans="1:10" s="25" customFormat="1" ht="28.5">
      <c r="A266" s="162" t="s">
        <v>547</v>
      </c>
      <c r="B266" s="380"/>
      <c r="C266" s="116" t="s">
        <v>117</v>
      </c>
      <c r="D266" s="175" t="s">
        <v>466</v>
      </c>
      <c r="E266" s="175" t="s">
        <v>213</v>
      </c>
      <c r="F266" s="252" t="s">
        <v>536</v>
      </c>
      <c r="G266" s="220">
        <v>333529.6</v>
      </c>
      <c r="H266" s="14"/>
      <c r="I266" s="14"/>
      <c r="J266">
        <f>SUM('ведомствен.2014'!G553)</f>
        <v>333529.6</v>
      </c>
    </row>
    <row r="267" spans="1:10" ht="28.5">
      <c r="A267" s="162" t="s">
        <v>206</v>
      </c>
      <c r="B267" s="380"/>
      <c r="C267" s="116" t="s">
        <v>117</v>
      </c>
      <c r="D267" s="175" t="s">
        <v>466</v>
      </c>
      <c r="E267" s="175" t="s">
        <v>86</v>
      </c>
      <c r="F267" s="252"/>
      <c r="G267" s="220">
        <f>SUM(G268)</f>
        <v>184978.4</v>
      </c>
      <c r="H267" s="14"/>
      <c r="I267" s="14"/>
      <c r="J267"/>
    </row>
    <row r="268" spans="1:10" ht="28.5">
      <c r="A268" s="162" t="s">
        <v>547</v>
      </c>
      <c r="B268" s="380"/>
      <c r="C268" s="116" t="s">
        <v>117</v>
      </c>
      <c r="D268" s="175" t="s">
        <v>466</v>
      </c>
      <c r="E268" s="175" t="s">
        <v>86</v>
      </c>
      <c r="F268" s="252" t="s">
        <v>536</v>
      </c>
      <c r="G268" s="220">
        <v>184978.4</v>
      </c>
      <c r="H268" s="14"/>
      <c r="I268" s="14"/>
      <c r="J268">
        <f>SUM('ведомствен.2014'!G555)</f>
        <v>184978.4</v>
      </c>
    </row>
    <row r="269" spans="1:10" ht="28.5">
      <c r="A269" s="271" t="s">
        <v>158</v>
      </c>
      <c r="B269" s="381"/>
      <c r="C269" s="353" t="s">
        <v>117</v>
      </c>
      <c r="D269" s="279" t="s">
        <v>466</v>
      </c>
      <c r="E269" s="279" t="s">
        <v>698</v>
      </c>
      <c r="F269" s="354"/>
      <c r="G269" s="347">
        <f>SUM(G270)</f>
        <v>3207.8</v>
      </c>
      <c r="H269" s="289"/>
      <c r="I269" s="289"/>
      <c r="J269"/>
    </row>
    <row r="270" spans="1:7" ht="28.5">
      <c r="A270" s="270" t="s">
        <v>154</v>
      </c>
      <c r="B270" s="381"/>
      <c r="C270" s="353" t="s">
        <v>117</v>
      </c>
      <c r="D270" s="279" t="s">
        <v>466</v>
      </c>
      <c r="E270" s="279" t="s">
        <v>697</v>
      </c>
      <c r="F270" s="354"/>
      <c r="G270" s="347">
        <f>SUM(G271)</f>
        <v>3207.8</v>
      </c>
    </row>
    <row r="271" spans="1:10" ht="28.5">
      <c r="A271" s="162" t="s">
        <v>547</v>
      </c>
      <c r="B271" s="381"/>
      <c r="C271" s="353" t="s">
        <v>117</v>
      </c>
      <c r="D271" s="279" t="s">
        <v>466</v>
      </c>
      <c r="E271" s="279" t="s">
        <v>697</v>
      </c>
      <c r="F271" s="252" t="s">
        <v>536</v>
      </c>
      <c r="G271" s="347">
        <v>3207.8</v>
      </c>
      <c r="J271" s="37">
        <f>SUM('ведомствен.2014'!G558)</f>
        <v>3207.8</v>
      </c>
    </row>
    <row r="272" spans="1:9" s="25" customFormat="1" ht="28.5">
      <c r="A272" s="162" t="s">
        <v>56</v>
      </c>
      <c r="B272" s="380"/>
      <c r="C272" s="116" t="s">
        <v>117</v>
      </c>
      <c r="D272" s="175" t="s">
        <v>466</v>
      </c>
      <c r="E272" s="175" t="s">
        <v>345</v>
      </c>
      <c r="F272" s="252"/>
      <c r="G272" s="220">
        <f>SUM(G273+G274+G275)</f>
        <v>38208.00000000001</v>
      </c>
      <c r="H272" s="14"/>
      <c r="I272" s="14"/>
    </row>
    <row r="273" spans="1:10" s="25" customFormat="1" ht="42.75">
      <c r="A273" s="162" t="s">
        <v>518</v>
      </c>
      <c r="B273" s="380"/>
      <c r="C273" s="116" t="s">
        <v>117</v>
      </c>
      <c r="D273" s="175" t="s">
        <v>466</v>
      </c>
      <c r="E273" s="175" t="s">
        <v>345</v>
      </c>
      <c r="F273" s="252" t="s">
        <v>519</v>
      </c>
      <c r="G273" s="220">
        <v>9732.7</v>
      </c>
      <c r="H273" s="14"/>
      <c r="I273" s="14"/>
      <c r="J273">
        <f>SUM('ведомствен.2014'!G560)</f>
        <v>9732.7</v>
      </c>
    </row>
    <row r="274" spans="1:10" s="25" customFormat="1" ht="15">
      <c r="A274" s="162" t="s">
        <v>523</v>
      </c>
      <c r="B274" s="382"/>
      <c r="C274" s="116" t="s">
        <v>117</v>
      </c>
      <c r="D274" s="175" t="s">
        <v>466</v>
      </c>
      <c r="E274" s="175" t="s">
        <v>345</v>
      </c>
      <c r="F274" s="252" t="s">
        <v>120</v>
      </c>
      <c r="G274" s="220">
        <v>26168.9</v>
      </c>
      <c r="H274" s="14"/>
      <c r="I274" s="14"/>
      <c r="J274">
        <f>SUM('ведомствен.2014'!G561)</f>
        <v>26168.9</v>
      </c>
    </row>
    <row r="275" spans="1:10" s="25" customFormat="1" ht="15">
      <c r="A275" s="162" t="s">
        <v>524</v>
      </c>
      <c r="B275" s="380"/>
      <c r="C275" s="116" t="s">
        <v>117</v>
      </c>
      <c r="D275" s="175" t="s">
        <v>466</v>
      </c>
      <c r="E275" s="175" t="s">
        <v>345</v>
      </c>
      <c r="F275" s="252" t="s">
        <v>177</v>
      </c>
      <c r="G275" s="220">
        <v>2306.4</v>
      </c>
      <c r="H275" s="14"/>
      <c r="I275" s="14"/>
      <c r="J275">
        <f>SUM('ведомствен.2014'!G562)</f>
        <v>2306.4</v>
      </c>
    </row>
    <row r="276" spans="1:9" s="25" customFormat="1" ht="57">
      <c r="A276" s="171" t="s">
        <v>632</v>
      </c>
      <c r="B276" s="380"/>
      <c r="C276" s="116" t="s">
        <v>117</v>
      </c>
      <c r="D276" s="175" t="s">
        <v>466</v>
      </c>
      <c r="E276" s="175" t="s">
        <v>346</v>
      </c>
      <c r="F276" s="252"/>
      <c r="G276" s="220">
        <f>SUM(G277+G278)</f>
        <v>51009.200000000004</v>
      </c>
      <c r="H276" s="14">
        <f>SUM(H283+H287+H294+H296+H285)</f>
        <v>213007.5</v>
      </c>
      <c r="I276" s="14">
        <f>SUM(H276/G283*100)</f>
        <v>20.101790751689904</v>
      </c>
    </row>
    <row r="277" spans="1:10" ht="42.75">
      <c r="A277" s="162" t="s">
        <v>518</v>
      </c>
      <c r="B277" s="380"/>
      <c r="C277" s="116" t="s">
        <v>117</v>
      </c>
      <c r="D277" s="175" t="s">
        <v>466</v>
      </c>
      <c r="E277" s="175" t="s">
        <v>346</v>
      </c>
      <c r="F277" s="252" t="s">
        <v>519</v>
      </c>
      <c r="G277" s="220">
        <v>49715.8</v>
      </c>
      <c r="H277" s="14"/>
      <c r="I277" s="14"/>
      <c r="J277">
        <f>SUM('ведомствен.2014'!G564)</f>
        <v>49715.8</v>
      </c>
    </row>
    <row r="278" spans="1:10" ht="15">
      <c r="A278" s="162" t="s">
        <v>523</v>
      </c>
      <c r="B278" s="380"/>
      <c r="C278" s="116" t="s">
        <v>117</v>
      </c>
      <c r="D278" s="175" t="s">
        <v>466</v>
      </c>
      <c r="E278" s="175" t="s">
        <v>346</v>
      </c>
      <c r="F278" s="252" t="s">
        <v>120</v>
      </c>
      <c r="G278" s="220">
        <v>1293.4</v>
      </c>
      <c r="H278" s="14">
        <v>187516.5</v>
      </c>
      <c r="I278" s="14">
        <f>SUM(H278/G285*100)</f>
        <v>51.909391617329405</v>
      </c>
      <c r="J278">
        <f>SUM('ведомствен.2014'!G565)</f>
        <v>1293.4</v>
      </c>
    </row>
    <row r="279" spans="1:9" s="16" customFormat="1" ht="15">
      <c r="A279" s="162" t="s">
        <v>617</v>
      </c>
      <c r="B279" s="383"/>
      <c r="C279" s="116" t="s">
        <v>117</v>
      </c>
      <c r="D279" s="175" t="s">
        <v>466</v>
      </c>
      <c r="E279" s="175" t="s">
        <v>129</v>
      </c>
      <c r="F279" s="252"/>
      <c r="G279" s="220">
        <f>G280</f>
        <v>4200</v>
      </c>
      <c r="H279" s="14"/>
      <c r="I279" s="14"/>
    </row>
    <row r="280" spans="1:9" s="16" customFormat="1" ht="28.5">
      <c r="A280" s="162" t="s">
        <v>633</v>
      </c>
      <c r="B280" s="380"/>
      <c r="C280" s="116" t="s">
        <v>117</v>
      </c>
      <c r="D280" s="175" t="s">
        <v>466</v>
      </c>
      <c r="E280" s="175" t="s">
        <v>371</v>
      </c>
      <c r="F280" s="252"/>
      <c r="G280" s="220">
        <f>SUM(G281:G282)</f>
        <v>4200</v>
      </c>
      <c r="H280" s="14">
        <v>187516.5</v>
      </c>
      <c r="I280" s="14">
        <f>SUM(H280/G287*100)</f>
        <v>209.6325213722511</v>
      </c>
    </row>
    <row r="281" spans="1:10" s="16" customFormat="1" ht="15">
      <c r="A281" s="164" t="s">
        <v>528</v>
      </c>
      <c r="B281" s="384"/>
      <c r="C281" s="116" t="s">
        <v>117</v>
      </c>
      <c r="D281" s="175" t="s">
        <v>466</v>
      </c>
      <c r="E281" s="175" t="s">
        <v>371</v>
      </c>
      <c r="F281" s="252" t="s">
        <v>529</v>
      </c>
      <c r="G281" s="220">
        <v>1700</v>
      </c>
      <c r="H281" s="14"/>
      <c r="I281" s="14"/>
      <c r="J281">
        <f>SUM('ведомствен.2014'!G568)</f>
        <v>1700</v>
      </c>
    </row>
    <row r="282" spans="1:10" s="16" customFormat="1" ht="15">
      <c r="A282" s="162" t="s">
        <v>523</v>
      </c>
      <c r="B282" s="385"/>
      <c r="C282" s="116" t="s">
        <v>117</v>
      </c>
      <c r="D282" s="175" t="s">
        <v>466</v>
      </c>
      <c r="E282" s="175" t="s">
        <v>371</v>
      </c>
      <c r="F282" s="252" t="s">
        <v>120</v>
      </c>
      <c r="G282" s="220">
        <v>2500</v>
      </c>
      <c r="H282" s="14"/>
      <c r="I282" s="14"/>
      <c r="J282">
        <f>SUM('ведомствен.2014'!G569)</f>
        <v>2500</v>
      </c>
    </row>
    <row r="283" spans="1:12" s="25" customFormat="1" ht="15">
      <c r="A283" s="162" t="s">
        <v>347</v>
      </c>
      <c r="B283" s="380"/>
      <c r="C283" s="116" t="s">
        <v>117</v>
      </c>
      <c r="D283" s="175" t="s">
        <v>468</v>
      </c>
      <c r="E283" s="175"/>
      <c r="F283" s="252"/>
      <c r="G283" s="220">
        <f>SUM(G284+G304+G320+G328+G314)</f>
        <v>1059644.4000000001</v>
      </c>
      <c r="H283" s="14">
        <v>187516.5</v>
      </c>
      <c r="I283" s="14">
        <f>SUM(H283/G294*100)</f>
        <v>70.57890309334228</v>
      </c>
      <c r="J283" s="40"/>
      <c r="K283" s="25">
        <f>SUM(J284:J331)</f>
        <v>1059644.4000000001</v>
      </c>
      <c r="L283" s="25">
        <f>SUM('ведомствен.2014'!G356+'ведомствен.2014'!G509+'ведомствен.2014'!G570+'ведомствен.2014'!G649)</f>
        <v>1059644.4</v>
      </c>
    </row>
    <row r="284" spans="1:11" s="25" customFormat="1" ht="28.5">
      <c r="A284" s="162" t="s">
        <v>348</v>
      </c>
      <c r="B284" s="380"/>
      <c r="C284" s="116" t="s">
        <v>117</v>
      </c>
      <c r="D284" s="175" t="s">
        <v>468</v>
      </c>
      <c r="E284" s="175" t="s">
        <v>349</v>
      </c>
      <c r="F284" s="252"/>
      <c r="G284" s="220">
        <f>G285+G295</f>
        <v>777073.5</v>
      </c>
      <c r="H284" s="14"/>
      <c r="I284" s="14">
        <f>SUM(H284/G295*100)</f>
        <v>0</v>
      </c>
      <c r="K284" s="117">
        <f>SUM(K283-G283)</f>
        <v>0</v>
      </c>
    </row>
    <row r="285" spans="1:10" ht="28.5">
      <c r="A285" s="162" t="s">
        <v>15</v>
      </c>
      <c r="B285" s="380"/>
      <c r="C285" s="116" t="s">
        <v>117</v>
      </c>
      <c r="D285" s="175" t="s">
        <v>468</v>
      </c>
      <c r="E285" s="175" t="s">
        <v>87</v>
      </c>
      <c r="F285" s="252"/>
      <c r="G285" s="220">
        <f>G286+G293+G288+G291</f>
        <v>361238.1</v>
      </c>
      <c r="H285" s="14">
        <f>SUM(H286)</f>
        <v>120.3</v>
      </c>
      <c r="I285" s="14">
        <f>SUM(H285/G296*100)</f>
        <v>0.3291831987960049</v>
      </c>
      <c r="J285"/>
    </row>
    <row r="286" spans="1:10" ht="28.5">
      <c r="A286" s="162" t="s">
        <v>206</v>
      </c>
      <c r="B286" s="380"/>
      <c r="C286" s="116" t="s">
        <v>117</v>
      </c>
      <c r="D286" s="175" t="s">
        <v>468</v>
      </c>
      <c r="E286" s="175" t="s">
        <v>88</v>
      </c>
      <c r="F286" s="252"/>
      <c r="G286" s="220">
        <f>SUM(G287)</f>
        <v>89450.1</v>
      </c>
      <c r="H286" s="14">
        <v>120.3</v>
      </c>
      <c r="I286" s="14">
        <f>SUM(H286/G297*100)</f>
        <v>0.24703273235040452</v>
      </c>
      <c r="J286"/>
    </row>
    <row r="287" spans="1:10" s="25" customFormat="1" ht="28.5">
      <c r="A287" s="162" t="s">
        <v>540</v>
      </c>
      <c r="B287" s="380"/>
      <c r="C287" s="116" t="s">
        <v>117</v>
      </c>
      <c r="D287" s="175" t="s">
        <v>468</v>
      </c>
      <c r="E287" s="175" t="s">
        <v>88</v>
      </c>
      <c r="F287" s="252" t="s">
        <v>536</v>
      </c>
      <c r="G287" s="220">
        <v>89450.1</v>
      </c>
      <c r="H287" s="14">
        <f>SUM(H293)</f>
        <v>24134</v>
      </c>
      <c r="I287" s="14">
        <f>SUM(H287/G298*100)</f>
        <v>155.22353501115907</v>
      </c>
      <c r="J287">
        <f>SUM('ведомствен.2014'!G574)</f>
        <v>89450.1</v>
      </c>
    </row>
    <row r="288" spans="1:10" s="25" customFormat="1" ht="28.5">
      <c r="A288" s="271" t="s">
        <v>158</v>
      </c>
      <c r="B288" s="386"/>
      <c r="C288" s="353" t="s">
        <v>117</v>
      </c>
      <c r="D288" s="279" t="s">
        <v>468</v>
      </c>
      <c r="E288" s="279" t="s">
        <v>700</v>
      </c>
      <c r="F288" s="252"/>
      <c r="G288" s="220">
        <f>SUM(G289)</f>
        <v>1406.2</v>
      </c>
      <c r="H288" s="14"/>
      <c r="I288" s="14"/>
      <c r="J288"/>
    </row>
    <row r="289" spans="1:10" s="25" customFormat="1" ht="28.5">
      <c r="A289" s="270" t="s">
        <v>216</v>
      </c>
      <c r="B289" s="381"/>
      <c r="C289" s="353" t="s">
        <v>117</v>
      </c>
      <c r="D289" s="279" t="s">
        <v>468</v>
      </c>
      <c r="E289" s="279" t="s">
        <v>699</v>
      </c>
      <c r="F289" s="354"/>
      <c r="G289" s="336">
        <f>SUM(G290)</f>
        <v>1406.2</v>
      </c>
      <c r="H289" s="14"/>
      <c r="I289" s="14"/>
      <c r="J289"/>
    </row>
    <row r="290" spans="1:10" s="25" customFormat="1" ht="28.5">
      <c r="A290" s="162" t="s">
        <v>547</v>
      </c>
      <c r="B290" s="381"/>
      <c r="C290" s="353" t="s">
        <v>117</v>
      </c>
      <c r="D290" s="279" t="s">
        <v>468</v>
      </c>
      <c r="E290" s="279" t="s">
        <v>699</v>
      </c>
      <c r="F290" s="354" t="s">
        <v>536</v>
      </c>
      <c r="G290" s="336">
        <v>1406.2</v>
      </c>
      <c r="H290" s="14"/>
      <c r="I290" s="14"/>
      <c r="J290">
        <f>SUM('ведомствен.2014'!G577)</f>
        <v>1406.2</v>
      </c>
    </row>
    <row r="291" spans="1:10" s="25" customFormat="1" ht="57">
      <c r="A291" s="271" t="s">
        <v>987</v>
      </c>
      <c r="B291" s="387"/>
      <c r="C291" s="353" t="s">
        <v>117</v>
      </c>
      <c r="D291" s="279" t="s">
        <v>468</v>
      </c>
      <c r="E291" s="279" t="s">
        <v>989</v>
      </c>
      <c r="F291" s="354"/>
      <c r="G291" s="336">
        <f>SUM(G292)</f>
        <v>4698.3</v>
      </c>
      <c r="H291" s="14"/>
      <c r="I291" s="14"/>
      <c r="J291"/>
    </row>
    <row r="292" spans="1:10" s="25" customFormat="1" ht="28.5">
      <c r="A292" s="162" t="s">
        <v>547</v>
      </c>
      <c r="B292" s="388"/>
      <c r="C292" s="353" t="s">
        <v>117</v>
      </c>
      <c r="D292" s="279" t="s">
        <v>468</v>
      </c>
      <c r="E292" s="279" t="s">
        <v>989</v>
      </c>
      <c r="F292" s="354" t="s">
        <v>536</v>
      </c>
      <c r="G292" s="336">
        <v>4698.3</v>
      </c>
      <c r="H292" s="14"/>
      <c r="I292" s="14"/>
      <c r="J292">
        <f>SUM('ведомствен.2014'!G579)</f>
        <v>4698.3</v>
      </c>
    </row>
    <row r="293" spans="1:10" s="25" customFormat="1" ht="85.5">
      <c r="A293" s="162" t="s">
        <v>634</v>
      </c>
      <c r="B293" s="380"/>
      <c r="C293" s="116" t="s">
        <v>117</v>
      </c>
      <c r="D293" s="175" t="s">
        <v>468</v>
      </c>
      <c r="E293" s="175" t="s">
        <v>89</v>
      </c>
      <c r="F293" s="252"/>
      <c r="G293" s="220">
        <f>SUM(G294)</f>
        <v>265683.5</v>
      </c>
      <c r="H293" s="14">
        <v>24134</v>
      </c>
      <c r="I293" s="14">
        <f aca="true" t="shared" si="5" ref="I293:I298">SUM(H293/G301*100)</f>
        <v>7.774137062410852</v>
      </c>
      <c r="J293" s="40"/>
    </row>
    <row r="294" spans="1:10" s="25" customFormat="1" ht="28.5">
      <c r="A294" s="162" t="s">
        <v>540</v>
      </c>
      <c r="B294" s="380"/>
      <c r="C294" s="116" t="s">
        <v>117</v>
      </c>
      <c r="D294" s="175" t="s">
        <v>468</v>
      </c>
      <c r="E294" s="175" t="s">
        <v>89</v>
      </c>
      <c r="F294" s="252" t="s">
        <v>536</v>
      </c>
      <c r="G294" s="220">
        <v>265683.5</v>
      </c>
      <c r="H294" s="14">
        <f>SUM(H295)</f>
        <v>1236.7</v>
      </c>
      <c r="I294" s="14">
        <f t="shared" si="5"/>
        <v>0.4036755463100752</v>
      </c>
      <c r="J294">
        <f>SUM('ведомствен.2014'!G581)</f>
        <v>265683.5</v>
      </c>
    </row>
    <row r="295" spans="1:10" s="25" customFormat="1" ht="28.5">
      <c r="A295" s="162" t="s">
        <v>56</v>
      </c>
      <c r="B295" s="380"/>
      <c r="C295" s="116" t="s">
        <v>117</v>
      </c>
      <c r="D295" s="175" t="s">
        <v>468</v>
      </c>
      <c r="E295" s="175" t="s">
        <v>350</v>
      </c>
      <c r="F295" s="252"/>
      <c r="G295" s="220">
        <f>SUM(G296+G297+G298+G301+G299)</f>
        <v>415835.4</v>
      </c>
      <c r="H295" s="14">
        <v>1236.7</v>
      </c>
      <c r="I295" s="14">
        <f t="shared" si="5"/>
        <v>30.31350344388068</v>
      </c>
      <c r="J295" s="40"/>
    </row>
    <row r="296" spans="1:10" s="25" customFormat="1" ht="42.75">
      <c r="A296" s="162" t="s">
        <v>518</v>
      </c>
      <c r="B296" s="380"/>
      <c r="C296" s="116" t="s">
        <v>117</v>
      </c>
      <c r="D296" s="175" t="s">
        <v>468</v>
      </c>
      <c r="E296" s="175" t="s">
        <v>350</v>
      </c>
      <c r="F296" s="252" t="s">
        <v>519</v>
      </c>
      <c r="G296" s="220">
        <v>36545</v>
      </c>
      <c r="H296" s="14">
        <f>SUM(H297)</f>
        <v>0</v>
      </c>
      <c r="I296" s="14">
        <f t="shared" si="5"/>
        <v>0</v>
      </c>
      <c r="J296">
        <f>SUM('ведомствен.2014'!G583)</f>
        <v>36545</v>
      </c>
    </row>
    <row r="297" spans="1:10" s="25" customFormat="1" ht="15">
      <c r="A297" s="162" t="s">
        <v>523</v>
      </c>
      <c r="B297" s="380"/>
      <c r="C297" s="116" t="s">
        <v>117</v>
      </c>
      <c r="D297" s="175" t="s">
        <v>468</v>
      </c>
      <c r="E297" s="175" t="s">
        <v>350</v>
      </c>
      <c r="F297" s="252" t="s">
        <v>120</v>
      </c>
      <c r="G297" s="220">
        <v>48698</v>
      </c>
      <c r="H297" s="14"/>
      <c r="I297" s="14">
        <f t="shared" si="5"/>
        <v>0</v>
      </c>
      <c r="J297">
        <f>SUM('ведомствен.2014'!G584)</f>
        <v>48698</v>
      </c>
    </row>
    <row r="298" spans="1:15" s="25" customFormat="1" ht="15">
      <c r="A298" s="162" t="s">
        <v>524</v>
      </c>
      <c r="B298" s="384"/>
      <c r="C298" s="116" t="s">
        <v>117</v>
      </c>
      <c r="D298" s="175" t="s">
        <v>468</v>
      </c>
      <c r="E298" s="175" t="s">
        <v>350</v>
      </c>
      <c r="F298" s="255">
        <v>800</v>
      </c>
      <c r="G298" s="220">
        <v>15547.9</v>
      </c>
      <c r="H298" s="14">
        <f>SUM(H301)</f>
        <v>9549.8</v>
      </c>
      <c r="I298" s="14" t="e">
        <f t="shared" si="5"/>
        <v>#DIV/0!</v>
      </c>
      <c r="J298">
        <f>SUM('ведомствен.2014'!G585)</f>
        <v>15547.9</v>
      </c>
      <c r="O298" s="83">
        <f>SUM(G306+G321)</f>
        <v>52860.4</v>
      </c>
    </row>
    <row r="299" spans="1:15" s="25" customFormat="1" ht="57">
      <c r="A299" s="271" t="s">
        <v>987</v>
      </c>
      <c r="B299" s="387"/>
      <c r="C299" s="353" t="s">
        <v>117</v>
      </c>
      <c r="D299" s="279" t="s">
        <v>468</v>
      </c>
      <c r="E299" s="279" t="s">
        <v>988</v>
      </c>
      <c r="F299" s="354"/>
      <c r="G299" s="336">
        <f>SUM(G300)</f>
        <v>4604.9</v>
      </c>
      <c r="H299" s="14"/>
      <c r="I299" s="14"/>
      <c r="J299"/>
      <c r="O299" s="83"/>
    </row>
    <row r="300" spans="1:15" s="25" customFormat="1" ht="15">
      <c r="A300" s="162" t="s">
        <v>523</v>
      </c>
      <c r="B300" s="385"/>
      <c r="C300" s="353" t="s">
        <v>117</v>
      </c>
      <c r="D300" s="279" t="s">
        <v>468</v>
      </c>
      <c r="E300" s="279" t="s">
        <v>988</v>
      </c>
      <c r="F300" s="255">
        <v>200</v>
      </c>
      <c r="G300" s="220">
        <v>4604.9</v>
      </c>
      <c r="H300" s="14"/>
      <c r="I300" s="14"/>
      <c r="J300">
        <f>SUM('ведомствен.2014'!G587)</f>
        <v>4604.9</v>
      </c>
      <c r="O300" s="83"/>
    </row>
    <row r="301" spans="1:9" s="25" customFormat="1" ht="85.5">
      <c r="A301" s="172" t="s">
        <v>634</v>
      </c>
      <c r="B301" s="380"/>
      <c r="C301" s="116" t="s">
        <v>117</v>
      </c>
      <c r="D301" s="175" t="s">
        <v>468</v>
      </c>
      <c r="E301" s="175" t="s">
        <v>323</v>
      </c>
      <c r="F301" s="252"/>
      <c r="G301" s="220">
        <f>SUM(G302+G303)</f>
        <v>310439.60000000003</v>
      </c>
      <c r="H301" s="14">
        <f>SUM(H302)</f>
        <v>9549.8</v>
      </c>
      <c r="I301" s="14" t="e">
        <f>SUM(H301/G307*100)</f>
        <v>#DIV/0!</v>
      </c>
    </row>
    <row r="302" spans="1:10" ht="42.75">
      <c r="A302" s="162" t="s">
        <v>518</v>
      </c>
      <c r="B302" s="380"/>
      <c r="C302" s="116" t="s">
        <v>117</v>
      </c>
      <c r="D302" s="175" t="s">
        <v>468</v>
      </c>
      <c r="E302" s="175" t="s">
        <v>323</v>
      </c>
      <c r="F302" s="252" t="s">
        <v>519</v>
      </c>
      <c r="G302" s="220">
        <v>306359.9</v>
      </c>
      <c r="H302" s="14">
        <v>9549.8</v>
      </c>
      <c r="I302" s="14">
        <f>SUM(H302/G308*100)</f>
        <v>6.218402690052691</v>
      </c>
      <c r="J302">
        <f>SUM('ведомствен.2014'!G589)</f>
        <v>306359.9</v>
      </c>
    </row>
    <row r="303" spans="1:10" ht="15">
      <c r="A303" s="162" t="s">
        <v>523</v>
      </c>
      <c r="B303" s="380"/>
      <c r="C303" s="116" t="s">
        <v>117</v>
      </c>
      <c r="D303" s="175" t="s">
        <v>468</v>
      </c>
      <c r="E303" s="175" t="s">
        <v>323</v>
      </c>
      <c r="F303" s="252" t="s">
        <v>120</v>
      </c>
      <c r="G303" s="220">
        <v>4079.7</v>
      </c>
      <c r="H303" s="14">
        <v>9549.8</v>
      </c>
      <c r="I303" s="14">
        <f>SUM(H303/G309*100)</f>
        <v>6.218402690052691</v>
      </c>
      <c r="J303">
        <f>SUM('ведомствен.2014'!G590)</f>
        <v>4079.7</v>
      </c>
    </row>
    <row r="304" spans="1:10" ht="15">
      <c r="A304" s="162" t="s">
        <v>665</v>
      </c>
      <c r="B304" s="382"/>
      <c r="C304" s="116" t="s">
        <v>117</v>
      </c>
      <c r="D304" s="175" t="s">
        <v>468</v>
      </c>
      <c r="E304" s="175" t="s">
        <v>325</v>
      </c>
      <c r="F304" s="252"/>
      <c r="G304" s="220">
        <f>SUM(G305)</f>
        <v>160594.80000000002</v>
      </c>
      <c r="H304" s="14">
        <v>56722</v>
      </c>
      <c r="I304" s="14">
        <f>SUM(H304/G320*100)</f>
        <v>107.30527956655645</v>
      </c>
      <c r="J304"/>
    </row>
    <row r="305" spans="1:10" ht="28.5">
      <c r="A305" s="162" t="s">
        <v>630</v>
      </c>
      <c r="B305" s="380"/>
      <c r="C305" s="116" t="s">
        <v>117</v>
      </c>
      <c r="D305" s="175" t="s">
        <v>468</v>
      </c>
      <c r="E305" s="175" t="s">
        <v>78</v>
      </c>
      <c r="F305" s="252"/>
      <c r="G305" s="220">
        <f>SUM(G308+G310)</f>
        <v>160594.80000000002</v>
      </c>
      <c r="H305" s="14" t="e">
        <f>SUM(#REF!)</f>
        <v>#REF!</v>
      </c>
      <c r="I305" s="14" t="e">
        <f>SUM(H305/G321*100)</f>
        <v>#REF!</v>
      </c>
      <c r="J305"/>
    </row>
    <row r="306" spans="1:9" s="16" customFormat="1" ht="57" hidden="1">
      <c r="A306" s="162" t="s">
        <v>212</v>
      </c>
      <c r="B306" s="380"/>
      <c r="C306" s="116" t="s">
        <v>117</v>
      </c>
      <c r="D306" s="175" t="s">
        <v>468</v>
      </c>
      <c r="E306" s="175" t="s">
        <v>214</v>
      </c>
      <c r="F306" s="252"/>
      <c r="G306" s="220">
        <f>SUM(G307)</f>
        <v>0</v>
      </c>
      <c r="H306" s="14"/>
      <c r="I306" s="14"/>
    </row>
    <row r="307" spans="1:9" s="16" customFormat="1" ht="28.5" hidden="1">
      <c r="A307" s="162" t="s">
        <v>158</v>
      </c>
      <c r="B307" s="380"/>
      <c r="C307" s="116" t="s">
        <v>117</v>
      </c>
      <c r="D307" s="175" t="s">
        <v>468</v>
      </c>
      <c r="E307" s="175" t="s">
        <v>214</v>
      </c>
      <c r="F307" s="252" t="s">
        <v>83</v>
      </c>
      <c r="G307" s="220"/>
      <c r="H307" s="14"/>
      <c r="I307" s="14"/>
    </row>
    <row r="308" spans="1:9" s="16" customFormat="1" ht="28.5">
      <c r="A308" s="162" t="s">
        <v>94</v>
      </c>
      <c r="B308" s="380"/>
      <c r="C308" s="116" t="s">
        <v>117</v>
      </c>
      <c r="D308" s="175" t="s">
        <v>468</v>
      </c>
      <c r="E308" s="175" t="s">
        <v>79</v>
      </c>
      <c r="F308" s="252"/>
      <c r="G308" s="220">
        <f>SUM(G309)</f>
        <v>153573.2</v>
      </c>
      <c r="H308" s="14"/>
      <c r="I308" s="14"/>
    </row>
    <row r="309" spans="1:10" s="16" customFormat="1" ht="28.5">
      <c r="A309" s="162" t="s">
        <v>540</v>
      </c>
      <c r="B309" s="380"/>
      <c r="C309" s="116" t="s">
        <v>117</v>
      </c>
      <c r="D309" s="175" t="s">
        <v>468</v>
      </c>
      <c r="E309" s="175" t="s">
        <v>79</v>
      </c>
      <c r="F309" s="252" t="s">
        <v>536</v>
      </c>
      <c r="G309" s="220">
        <v>153573.2</v>
      </c>
      <c r="H309" s="14"/>
      <c r="I309" s="14"/>
      <c r="J309" s="16">
        <f>SUM('ведомствен.2014'!G653+'ведомствен.2014'!G596+'ведомствен.2014'!G513)</f>
        <v>153573.2</v>
      </c>
    </row>
    <row r="310" spans="1:9" s="16" customFormat="1" ht="28.5">
      <c r="A310" s="162" t="s">
        <v>158</v>
      </c>
      <c r="B310" s="386"/>
      <c r="C310" s="113" t="s">
        <v>117</v>
      </c>
      <c r="D310" s="182" t="s">
        <v>468</v>
      </c>
      <c r="E310" s="182" t="s">
        <v>151</v>
      </c>
      <c r="F310" s="198"/>
      <c r="G310" s="215">
        <f>SUM(G311)</f>
        <v>7021.6</v>
      </c>
      <c r="H310" s="14"/>
      <c r="I310" s="14"/>
    </row>
    <row r="311" spans="1:9" s="16" customFormat="1" ht="28.5">
      <c r="A311" s="162" t="s">
        <v>154</v>
      </c>
      <c r="B311" s="386"/>
      <c r="C311" s="113" t="s">
        <v>117</v>
      </c>
      <c r="D311" s="182" t="s">
        <v>468</v>
      </c>
      <c r="E311" s="182" t="s">
        <v>221</v>
      </c>
      <c r="F311" s="198"/>
      <c r="G311" s="215">
        <f>SUM(G312)</f>
        <v>7021.6</v>
      </c>
      <c r="H311" s="14"/>
      <c r="I311" s="14"/>
    </row>
    <row r="312" spans="1:10" s="16" customFormat="1" ht="27.75" customHeight="1">
      <c r="A312" s="162" t="s">
        <v>540</v>
      </c>
      <c r="B312" s="386"/>
      <c r="C312" s="113" t="s">
        <v>117</v>
      </c>
      <c r="D312" s="182" t="s">
        <v>468</v>
      </c>
      <c r="E312" s="182" t="s">
        <v>221</v>
      </c>
      <c r="F312" s="198" t="s">
        <v>536</v>
      </c>
      <c r="G312" s="215">
        <v>7021.6</v>
      </c>
      <c r="H312" s="14"/>
      <c r="I312" s="14"/>
      <c r="J312" s="16">
        <f>SUM('ведомствен.2014'!G658)+'ведомствен.2014'!G599</f>
        <v>7021.6</v>
      </c>
    </row>
    <row r="313" spans="1:9" s="16" customFormat="1" ht="28.5" hidden="1">
      <c r="A313" s="162" t="s">
        <v>154</v>
      </c>
      <c r="B313" s="386"/>
      <c r="C313" s="113" t="s">
        <v>117</v>
      </c>
      <c r="D313" s="182" t="s">
        <v>468</v>
      </c>
      <c r="E313" s="182" t="s">
        <v>221</v>
      </c>
      <c r="F313" s="198"/>
      <c r="G313" s="215"/>
      <c r="H313" s="14"/>
      <c r="I313" s="14"/>
    </row>
    <row r="314" spans="1:10" ht="15">
      <c r="A314" s="156" t="s">
        <v>327</v>
      </c>
      <c r="B314" s="367"/>
      <c r="C314" s="113" t="s">
        <v>117</v>
      </c>
      <c r="D314" s="182" t="s">
        <v>468</v>
      </c>
      <c r="E314" s="182" t="s">
        <v>328</v>
      </c>
      <c r="F314" s="196"/>
      <c r="G314" s="215">
        <f>SUM(G315)</f>
        <v>62934.40000000001</v>
      </c>
      <c r="H314" s="14">
        <f>SUM(H315)</f>
        <v>0</v>
      </c>
      <c r="I314" s="14">
        <f>SUM(H314/G326*100)</f>
        <v>0</v>
      </c>
      <c r="J314"/>
    </row>
    <row r="315" spans="1:9" s="16" customFormat="1" ht="71.25">
      <c r="A315" s="156" t="s">
        <v>486</v>
      </c>
      <c r="B315" s="367"/>
      <c r="C315" s="113" t="s">
        <v>117</v>
      </c>
      <c r="D315" s="182" t="s">
        <v>468</v>
      </c>
      <c r="E315" s="182" t="s">
        <v>333</v>
      </c>
      <c r="F315" s="196"/>
      <c r="G315" s="215">
        <f>SUM(G316:G319)</f>
        <v>62934.40000000001</v>
      </c>
      <c r="H315" s="14"/>
      <c r="I315" s="14"/>
    </row>
    <row r="316" spans="1:10" s="16" customFormat="1" ht="42.75">
      <c r="A316" s="156" t="s">
        <v>518</v>
      </c>
      <c r="B316" s="367"/>
      <c r="C316" s="113" t="s">
        <v>117</v>
      </c>
      <c r="D316" s="182" t="s">
        <v>468</v>
      </c>
      <c r="E316" s="182" t="s">
        <v>333</v>
      </c>
      <c r="F316" s="196" t="s">
        <v>519</v>
      </c>
      <c r="G316" s="215">
        <v>43545.8</v>
      </c>
      <c r="H316" s="14"/>
      <c r="I316" s="14"/>
      <c r="J316" s="16">
        <f>SUM('ведомствен.2014'!G369)</f>
        <v>43545.8</v>
      </c>
    </row>
    <row r="317" spans="1:10" s="16" customFormat="1" ht="15">
      <c r="A317" s="156" t="s">
        <v>523</v>
      </c>
      <c r="B317" s="367"/>
      <c r="C317" s="113" t="s">
        <v>117</v>
      </c>
      <c r="D317" s="182" t="s">
        <v>468</v>
      </c>
      <c r="E317" s="182" t="s">
        <v>333</v>
      </c>
      <c r="F317" s="196" t="s">
        <v>120</v>
      </c>
      <c r="G317" s="215">
        <v>18694.8</v>
      </c>
      <c r="H317" s="14"/>
      <c r="I317" s="14"/>
      <c r="J317" s="16">
        <f>SUM('ведомствен.2014'!G370)</f>
        <v>18694.8</v>
      </c>
    </row>
    <row r="318" spans="1:10" s="16" customFormat="1" ht="15">
      <c r="A318" s="156" t="s">
        <v>528</v>
      </c>
      <c r="B318" s="165"/>
      <c r="C318" s="113" t="s">
        <v>117</v>
      </c>
      <c r="D318" s="182" t="s">
        <v>468</v>
      </c>
      <c r="E318" s="182" t="s">
        <v>333</v>
      </c>
      <c r="F318" s="196" t="s">
        <v>529</v>
      </c>
      <c r="G318" s="215">
        <v>16.8</v>
      </c>
      <c r="H318" s="14"/>
      <c r="I318" s="14"/>
      <c r="J318" s="16">
        <f>SUM('ведомствен.2014'!G371)</f>
        <v>16.8</v>
      </c>
    </row>
    <row r="319" spans="1:10" s="16" customFormat="1" ht="15">
      <c r="A319" s="156" t="s">
        <v>524</v>
      </c>
      <c r="B319" s="367"/>
      <c r="C319" s="113" t="s">
        <v>117</v>
      </c>
      <c r="D319" s="182" t="s">
        <v>468</v>
      </c>
      <c r="E319" s="182" t="s">
        <v>333</v>
      </c>
      <c r="F319" s="196" t="s">
        <v>177</v>
      </c>
      <c r="G319" s="215">
        <v>677</v>
      </c>
      <c r="H319" s="14"/>
      <c r="I319" s="14"/>
      <c r="J319" s="16">
        <f>SUM('ведомствен.2014'!G372)</f>
        <v>677</v>
      </c>
    </row>
    <row r="320" spans="1:9" s="16" customFormat="1" ht="15">
      <c r="A320" s="162" t="s">
        <v>334</v>
      </c>
      <c r="B320" s="382"/>
      <c r="C320" s="116" t="s">
        <v>117</v>
      </c>
      <c r="D320" s="175" t="s">
        <v>468</v>
      </c>
      <c r="E320" s="175" t="s">
        <v>335</v>
      </c>
      <c r="F320" s="252"/>
      <c r="G320" s="220">
        <f>SUM(G321)</f>
        <v>52860.4</v>
      </c>
      <c r="H320" s="14"/>
      <c r="I320" s="14"/>
    </row>
    <row r="321" spans="1:9" s="16" customFormat="1" ht="28.5">
      <c r="A321" s="162" t="s">
        <v>56</v>
      </c>
      <c r="B321" s="380"/>
      <c r="C321" s="116" t="s">
        <v>117</v>
      </c>
      <c r="D321" s="175" t="s">
        <v>468</v>
      </c>
      <c r="E321" s="175" t="s">
        <v>336</v>
      </c>
      <c r="F321" s="252"/>
      <c r="G321" s="220">
        <f>SUM(G322+G323+G324+G325)</f>
        <v>52860.4</v>
      </c>
      <c r="H321" s="14"/>
      <c r="I321" s="14"/>
    </row>
    <row r="322" spans="1:10" s="16" customFormat="1" ht="42.75">
      <c r="A322" s="162" t="s">
        <v>518</v>
      </c>
      <c r="B322" s="380"/>
      <c r="C322" s="116" t="s">
        <v>117</v>
      </c>
      <c r="D322" s="175" t="s">
        <v>468</v>
      </c>
      <c r="E322" s="175" t="s">
        <v>267</v>
      </c>
      <c r="F322" s="252" t="s">
        <v>519</v>
      </c>
      <c r="G322" s="220">
        <v>3013.1</v>
      </c>
      <c r="H322" s="14"/>
      <c r="I322" s="14"/>
      <c r="J322" s="16">
        <f>SUM('ведомствен.2014'!G602)</f>
        <v>3013.1</v>
      </c>
    </row>
    <row r="323" spans="1:10" s="16" customFormat="1" ht="15">
      <c r="A323" s="162" t="s">
        <v>523</v>
      </c>
      <c r="B323" s="380"/>
      <c r="C323" s="116" t="s">
        <v>117</v>
      </c>
      <c r="D323" s="175" t="s">
        <v>468</v>
      </c>
      <c r="E323" s="175" t="s">
        <v>267</v>
      </c>
      <c r="F323" s="252" t="s">
        <v>120</v>
      </c>
      <c r="G323" s="220">
        <v>3101.9</v>
      </c>
      <c r="H323" s="14"/>
      <c r="I323" s="14" t="e">
        <f>SUM(H323/#REF!*100)</f>
        <v>#REF!</v>
      </c>
      <c r="J323" s="16">
        <f>SUM('ведомствен.2014'!G603)</f>
        <v>3101.9</v>
      </c>
    </row>
    <row r="324" spans="1:10" ht="15">
      <c r="A324" s="162" t="s">
        <v>524</v>
      </c>
      <c r="B324" s="380"/>
      <c r="C324" s="116" t="s">
        <v>117</v>
      </c>
      <c r="D324" s="175" t="s">
        <v>468</v>
      </c>
      <c r="E324" s="175" t="s">
        <v>267</v>
      </c>
      <c r="F324" s="252" t="s">
        <v>177</v>
      </c>
      <c r="G324" s="220">
        <v>1218</v>
      </c>
      <c r="H324" s="14"/>
      <c r="I324" s="14"/>
      <c r="J324" s="16">
        <f>SUM('ведомствен.2014'!G604)</f>
        <v>1218</v>
      </c>
    </row>
    <row r="325" spans="1:10" ht="85.5">
      <c r="A325" s="162" t="s">
        <v>636</v>
      </c>
      <c r="B325" s="380"/>
      <c r="C325" s="116" t="s">
        <v>117</v>
      </c>
      <c r="D325" s="175" t="s">
        <v>468</v>
      </c>
      <c r="E325" s="175" t="s">
        <v>337</v>
      </c>
      <c r="F325" s="252"/>
      <c r="G325" s="220">
        <f>SUM(G326+G327)</f>
        <v>45527.4</v>
      </c>
      <c r="H325" s="14"/>
      <c r="I325" s="14"/>
      <c r="J325" s="16"/>
    </row>
    <row r="326" spans="1:12" s="25" customFormat="1" ht="42.75">
      <c r="A326" s="162" t="s">
        <v>518</v>
      </c>
      <c r="B326" s="380"/>
      <c r="C326" s="116" t="s">
        <v>117</v>
      </c>
      <c r="D326" s="175" t="s">
        <v>468</v>
      </c>
      <c r="E326" s="175" t="s">
        <v>337</v>
      </c>
      <c r="F326" s="252" t="s">
        <v>519</v>
      </c>
      <c r="G326" s="220">
        <v>33584</v>
      </c>
      <c r="H326" s="14" t="e">
        <f>SUM(H328+#REF!+#REF!+#REF!)+#REF!+#REF!+#REF!+#REF!+#REF!+#REF!</f>
        <v>#REF!</v>
      </c>
      <c r="I326" s="14" t="e">
        <f>SUM(H326/G328*100)</f>
        <v>#REF!</v>
      </c>
      <c r="J326" s="16">
        <f>SUM('ведомствен.2014'!G606)</f>
        <v>33584</v>
      </c>
      <c r="L326" s="25">
        <f>SUM(J328:J360)</f>
        <v>41349.8</v>
      </c>
    </row>
    <row r="327" spans="1:10" ht="15">
      <c r="A327" s="162" t="s">
        <v>523</v>
      </c>
      <c r="B327" s="380"/>
      <c r="C327" s="116" t="s">
        <v>117</v>
      </c>
      <c r="D327" s="175" t="s">
        <v>468</v>
      </c>
      <c r="E327" s="175" t="s">
        <v>337</v>
      </c>
      <c r="F327" s="252" t="s">
        <v>120</v>
      </c>
      <c r="G327" s="220">
        <v>11943.4</v>
      </c>
      <c r="H327" s="14"/>
      <c r="I327" s="14" t="e">
        <f>SUM(H327/G333*100)</f>
        <v>#DIV/0!</v>
      </c>
      <c r="J327" s="16">
        <f>SUM('ведомствен.2014'!G607)</f>
        <v>11943.4</v>
      </c>
    </row>
    <row r="328" spans="1:9" s="25" customFormat="1" ht="15">
      <c r="A328" s="162" t="s">
        <v>338</v>
      </c>
      <c r="B328" s="382"/>
      <c r="C328" s="116" t="s">
        <v>117</v>
      </c>
      <c r="D328" s="175" t="s">
        <v>468</v>
      </c>
      <c r="E328" s="175" t="s">
        <v>339</v>
      </c>
      <c r="F328" s="252"/>
      <c r="G328" s="220">
        <f>G329</f>
        <v>6181.3</v>
      </c>
      <c r="H328" s="14" t="e">
        <f>SUM(H344)</f>
        <v>#REF!</v>
      </c>
      <c r="I328" s="14" t="e">
        <f>SUM(H328/G334*100)</f>
        <v>#REF!</v>
      </c>
    </row>
    <row r="329" spans="1:9" s="25" customFormat="1" ht="15">
      <c r="A329" s="162" t="s">
        <v>235</v>
      </c>
      <c r="B329" s="382"/>
      <c r="C329" s="116" t="s">
        <v>117</v>
      </c>
      <c r="D329" s="175" t="s">
        <v>468</v>
      </c>
      <c r="E329" s="175" t="s">
        <v>298</v>
      </c>
      <c r="F329" s="252"/>
      <c r="G329" s="220">
        <f>G330</f>
        <v>6181.3</v>
      </c>
      <c r="H329" s="14"/>
      <c r="I329" s="14"/>
    </row>
    <row r="330" spans="1:10" ht="57">
      <c r="A330" s="162" t="s">
        <v>637</v>
      </c>
      <c r="B330" s="382"/>
      <c r="C330" s="116" t="s">
        <v>117</v>
      </c>
      <c r="D330" s="175" t="s">
        <v>468</v>
      </c>
      <c r="E330" s="175" t="s">
        <v>293</v>
      </c>
      <c r="F330" s="252"/>
      <c r="G330" s="220">
        <f>G331</f>
        <v>6181.3</v>
      </c>
      <c r="H330" s="14"/>
      <c r="I330" s="14"/>
      <c r="J330"/>
    </row>
    <row r="331" spans="1:10" ht="28.5">
      <c r="A331" s="162" t="s">
        <v>540</v>
      </c>
      <c r="B331" s="382"/>
      <c r="C331" s="116" t="s">
        <v>117</v>
      </c>
      <c r="D331" s="175" t="s">
        <v>468</v>
      </c>
      <c r="E331" s="175" t="s">
        <v>293</v>
      </c>
      <c r="F331" s="252" t="s">
        <v>536</v>
      </c>
      <c r="G331" s="220">
        <v>6181.3</v>
      </c>
      <c r="H331" s="14"/>
      <c r="I331" s="14"/>
      <c r="J331">
        <f>SUM('ведомствен.2014'!G611)</f>
        <v>6181.3</v>
      </c>
    </row>
    <row r="332" spans="1:9" s="25" customFormat="1" ht="15">
      <c r="A332" s="162" t="s">
        <v>118</v>
      </c>
      <c r="B332" s="382"/>
      <c r="C332" s="116" t="s">
        <v>117</v>
      </c>
      <c r="D332" s="175" t="s">
        <v>117</v>
      </c>
      <c r="E332" s="175"/>
      <c r="F332" s="252"/>
      <c r="G332" s="220">
        <f>SUM(G337+G344+G333+G349)</f>
        <v>4170.799999999999</v>
      </c>
      <c r="H332" s="14"/>
      <c r="I332" s="14"/>
    </row>
    <row r="333" spans="1:9" s="25" customFormat="1" ht="15" hidden="1">
      <c r="A333" s="162" t="s">
        <v>412</v>
      </c>
      <c r="B333" s="382"/>
      <c r="C333" s="116" t="s">
        <v>117</v>
      </c>
      <c r="D333" s="175" t="s">
        <v>117</v>
      </c>
      <c r="E333" s="175" t="s">
        <v>414</v>
      </c>
      <c r="F333" s="252"/>
      <c r="G333" s="220">
        <f>SUM(G334)</f>
        <v>0</v>
      </c>
      <c r="H333" s="14"/>
      <c r="I333" s="14"/>
    </row>
    <row r="334" spans="1:9" s="25" customFormat="1" ht="15" hidden="1">
      <c r="A334" s="162" t="s">
        <v>392</v>
      </c>
      <c r="B334" s="382"/>
      <c r="C334" s="116" t="s">
        <v>117</v>
      </c>
      <c r="D334" s="175" t="s">
        <v>117</v>
      </c>
      <c r="E334" s="175" t="s">
        <v>393</v>
      </c>
      <c r="F334" s="252"/>
      <c r="G334" s="220">
        <f>SUM(G335+G336)</f>
        <v>0</v>
      </c>
      <c r="H334" s="14"/>
      <c r="I334" s="14"/>
    </row>
    <row r="335" spans="1:9" s="16" customFormat="1" ht="15" hidden="1">
      <c r="A335" s="162" t="s">
        <v>249</v>
      </c>
      <c r="B335" s="382"/>
      <c r="C335" s="116" t="s">
        <v>117</v>
      </c>
      <c r="D335" s="175" t="s">
        <v>117</v>
      </c>
      <c r="E335" s="175" t="s">
        <v>393</v>
      </c>
      <c r="F335" s="252" t="s">
        <v>250</v>
      </c>
      <c r="G335" s="220"/>
      <c r="H335" s="14"/>
      <c r="I335" s="14"/>
    </row>
    <row r="336" spans="1:9" s="16" customFormat="1" ht="15" hidden="1">
      <c r="A336" s="162" t="s">
        <v>226</v>
      </c>
      <c r="B336" s="382"/>
      <c r="C336" s="116" t="s">
        <v>117</v>
      </c>
      <c r="D336" s="175" t="s">
        <v>117</v>
      </c>
      <c r="E336" s="175" t="s">
        <v>393</v>
      </c>
      <c r="F336" s="252" t="s">
        <v>227</v>
      </c>
      <c r="G336" s="220"/>
      <c r="H336" s="14"/>
      <c r="I336" s="14"/>
    </row>
    <row r="337" spans="1:9" s="16" customFormat="1" ht="15">
      <c r="A337" s="162" t="s">
        <v>228</v>
      </c>
      <c r="B337" s="382"/>
      <c r="C337" s="116" t="s">
        <v>117</v>
      </c>
      <c r="D337" s="175" t="s">
        <v>117</v>
      </c>
      <c r="E337" s="175" t="s">
        <v>229</v>
      </c>
      <c r="F337" s="252"/>
      <c r="G337" s="220">
        <f>SUM(G340+G338)</f>
        <v>1873.8999999999999</v>
      </c>
      <c r="H337" s="14"/>
      <c r="I337" s="14"/>
    </row>
    <row r="338" spans="1:9" s="16" customFormat="1" ht="28.5" hidden="1">
      <c r="A338" s="162" t="s">
        <v>260</v>
      </c>
      <c r="B338" s="382"/>
      <c r="C338" s="116" t="s">
        <v>117</v>
      </c>
      <c r="D338" s="175" t="s">
        <v>117</v>
      </c>
      <c r="E338" s="175" t="s">
        <v>215</v>
      </c>
      <c r="F338" s="252"/>
      <c r="G338" s="220"/>
      <c r="H338" s="14"/>
      <c r="I338" s="14"/>
    </row>
    <row r="339" spans="1:10" ht="15" hidden="1">
      <c r="A339" s="162" t="s">
        <v>57</v>
      </c>
      <c r="B339" s="382"/>
      <c r="C339" s="116" t="s">
        <v>117</v>
      </c>
      <c r="D339" s="175" t="s">
        <v>117</v>
      </c>
      <c r="E339" s="175" t="s">
        <v>215</v>
      </c>
      <c r="F339" s="252"/>
      <c r="G339" s="220"/>
      <c r="H339" s="14"/>
      <c r="I339" s="14"/>
      <c r="J339"/>
    </row>
    <row r="340" spans="1:10" ht="28.5">
      <c r="A340" s="162" t="s">
        <v>56</v>
      </c>
      <c r="B340" s="382"/>
      <c r="C340" s="116" t="s">
        <v>117</v>
      </c>
      <c r="D340" s="175" t="s">
        <v>117</v>
      </c>
      <c r="E340" s="175" t="s">
        <v>232</v>
      </c>
      <c r="F340" s="252"/>
      <c r="G340" s="220">
        <f>SUM(G341+G342+G343)</f>
        <v>1873.8999999999999</v>
      </c>
      <c r="H340" s="14"/>
      <c r="I340" s="14"/>
      <c r="J340"/>
    </row>
    <row r="341" spans="1:10" s="25" customFormat="1" ht="42.75">
      <c r="A341" s="162" t="s">
        <v>518</v>
      </c>
      <c r="B341" s="382"/>
      <c r="C341" s="116" t="s">
        <v>117</v>
      </c>
      <c r="D341" s="175" t="s">
        <v>117</v>
      </c>
      <c r="E341" s="175" t="s">
        <v>232</v>
      </c>
      <c r="F341" s="252" t="s">
        <v>519</v>
      </c>
      <c r="G341" s="220">
        <v>1714.3</v>
      </c>
      <c r="H341" s="14"/>
      <c r="I341" s="14"/>
      <c r="J341">
        <f>SUM('ведомствен.2014'!G621)</f>
        <v>1714.3</v>
      </c>
    </row>
    <row r="342" spans="1:10" ht="15">
      <c r="A342" s="162" t="s">
        <v>523</v>
      </c>
      <c r="B342" s="382"/>
      <c r="C342" s="116" t="s">
        <v>117</v>
      </c>
      <c r="D342" s="175" t="s">
        <v>117</v>
      </c>
      <c r="E342" s="175" t="s">
        <v>232</v>
      </c>
      <c r="F342" s="252" t="s">
        <v>120</v>
      </c>
      <c r="G342" s="220">
        <v>147.8</v>
      </c>
      <c r="H342" s="14"/>
      <c r="I342" s="14"/>
      <c r="J342" s="117">
        <f>SUM('ведомствен.2014'!G622)</f>
        <v>147.8</v>
      </c>
    </row>
    <row r="343" spans="1:10" s="25" customFormat="1" ht="15">
      <c r="A343" s="162" t="s">
        <v>524</v>
      </c>
      <c r="B343" s="382"/>
      <c r="C343" s="116" t="s">
        <v>117</v>
      </c>
      <c r="D343" s="175" t="s">
        <v>117</v>
      </c>
      <c r="E343" s="175" t="s">
        <v>232</v>
      </c>
      <c r="F343" s="252" t="s">
        <v>177</v>
      </c>
      <c r="G343" s="220">
        <v>11.8</v>
      </c>
      <c r="H343" s="14"/>
      <c r="I343" s="14"/>
      <c r="J343" s="117">
        <f>SUM('ведомствен.2014'!G623)</f>
        <v>11.8</v>
      </c>
    </row>
    <row r="344" spans="1:9" s="25" customFormat="1" ht="15">
      <c r="A344" s="170" t="s">
        <v>233</v>
      </c>
      <c r="B344" s="382"/>
      <c r="C344" s="116" t="s">
        <v>117</v>
      </c>
      <c r="D344" s="175" t="s">
        <v>117</v>
      </c>
      <c r="E344" s="175" t="s">
        <v>119</v>
      </c>
      <c r="F344" s="252"/>
      <c r="G344" s="220">
        <f>SUM(G345)</f>
        <v>1500</v>
      </c>
      <c r="H344" s="14" t="e">
        <f>SUM(H345+H352+H354+H358+#REF!+H348+H350)+#REF!</f>
        <v>#REF!</v>
      </c>
      <c r="I344" s="14" t="e">
        <f aca="true" t="shared" si="6" ref="I344:I354">SUM(H344/G350*100)</f>
        <v>#REF!</v>
      </c>
    </row>
    <row r="345" spans="1:9" s="25" customFormat="1" ht="42.75">
      <c r="A345" s="170" t="s">
        <v>90</v>
      </c>
      <c r="B345" s="382"/>
      <c r="C345" s="116" t="s">
        <v>117</v>
      </c>
      <c r="D345" s="175" t="s">
        <v>117</v>
      </c>
      <c r="E345" s="175" t="s">
        <v>91</v>
      </c>
      <c r="F345" s="252"/>
      <c r="G345" s="220">
        <f>SUM(G346)</f>
        <v>1500</v>
      </c>
      <c r="H345" s="14">
        <v>53118.9</v>
      </c>
      <c r="I345" s="14">
        <f t="shared" si="6"/>
        <v>6665.69205671979</v>
      </c>
    </row>
    <row r="346" spans="1:9" s="25" customFormat="1" ht="42.75">
      <c r="A346" s="170" t="s">
        <v>92</v>
      </c>
      <c r="B346" s="382"/>
      <c r="C346" s="116" t="s">
        <v>117</v>
      </c>
      <c r="D346" s="175" t="s">
        <v>117</v>
      </c>
      <c r="E346" s="175" t="s">
        <v>93</v>
      </c>
      <c r="F346" s="252"/>
      <c r="G346" s="220">
        <f>SUM(G347:G348)</f>
        <v>1500</v>
      </c>
      <c r="H346" s="14"/>
      <c r="I346" s="14">
        <f t="shared" si="6"/>
        <v>0</v>
      </c>
    </row>
    <row r="347" spans="1:9" s="25" customFormat="1" ht="15" hidden="1">
      <c r="A347" s="162" t="s">
        <v>57</v>
      </c>
      <c r="B347" s="382"/>
      <c r="C347" s="116" t="s">
        <v>117</v>
      </c>
      <c r="D347" s="175" t="s">
        <v>117</v>
      </c>
      <c r="E347" s="175" t="s">
        <v>93</v>
      </c>
      <c r="F347" s="252"/>
      <c r="G347" s="220"/>
      <c r="H347" s="14"/>
      <c r="I347" s="14">
        <f t="shared" si="6"/>
        <v>0</v>
      </c>
    </row>
    <row r="348" spans="1:10" s="25" customFormat="1" ht="15">
      <c r="A348" s="162" t="s">
        <v>523</v>
      </c>
      <c r="B348" s="382"/>
      <c r="C348" s="116" t="s">
        <v>117</v>
      </c>
      <c r="D348" s="175" t="s">
        <v>117</v>
      </c>
      <c r="E348" s="175" t="s">
        <v>93</v>
      </c>
      <c r="F348" s="252" t="s">
        <v>120</v>
      </c>
      <c r="G348" s="220">
        <v>1500</v>
      </c>
      <c r="H348" s="14">
        <f>SUM(H349)</f>
        <v>392.5</v>
      </c>
      <c r="I348" s="14">
        <f t="shared" si="6"/>
        <v>1.2954778745581348</v>
      </c>
      <c r="J348" s="117">
        <f>SUM('ведомствен.2014'!G628)</f>
        <v>1500</v>
      </c>
    </row>
    <row r="349" spans="1:9" s="25" customFormat="1" ht="15">
      <c r="A349" s="162" t="s">
        <v>617</v>
      </c>
      <c r="B349" s="383"/>
      <c r="C349" s="116" t="s">
        <v>117</v>
      </c>
      <c r="D349" s="175" t="s">
        <v>117</v>
      </c>
      <c r="E349" s="175" t="s">
        <v>129</v>
      </c>
      <c r="F349" s="252"/>
      <c r="G349" s="220">
        <f>SUM(G350)</f>
        <v>796.9</v>
      </c>
      <c r="H349" s="14">
        <v>392.5</v>
      </c>
      <c r="I349" s="14">
        <f t="shared" si="6"/>
        <v>1.4659197012138188</v>
      </c>
    </row>
    <row r="350" spans="1:9" s="25" customFormat="1" ht="28.5">
      <c r="A350" s="212" t="s">
        <v>638</v>
      </c>
      <c r="B350" s="383"/>
      <c r="C350" s="116" t="s">
        <v>117</v>
      </c>
      <c r="D350" s="175" t="s">
        <v>117</v>
      </c>
      <c r="E350" s="175" t="s">
        <v>97</v>
      </c>
      <c r="F350" s="252"/>
      <c r="G350" s="221">
        <f>SUM(G351)</f>
        <v>796.9</v>
      </c>
      <c r="H350" s="14">
        <f>SUM(H351)</f>
        <v>0</v>
      </c>
      <c r="I350" s="14">
        <f t="shared" si="6"/>
        <v>0</v>
      </c>
    </row>
    <row r="351" spans="1:10" s="25" customFormat="1" ht="15">
      <c r="A351" s="162" t="s">
        <v>523</v>
      </c>
      <c r="B351" s="383"/>
      <c r="C351" s="116" t="s">
        <v>117</v>
      </c>
      <c r="D351" s="175" t="s">
        <v>117</v>
      </c>
      <c r="E351" s="175" t="s">
        <v>97</v>
      </c>
      <c r="F351" s="252" t="s">
        <v>120</v>
      </c>
      <c r="G351" s="221">
        <v>796.9</v>
      </c>
      <c r="H351" s="14"/>
      <c r="I351" s="14">
        <f t="shared" si="6"/>
        <v>0</v>
      </c>
      <c r="J351" s="117">
        <f>SUM('ведомствен.2014'!G631)</f>
        <v>796.9</v>
      </c>
    </row>
    <row r="352" spans="1:9" s="25" customFormat="1" ht="15">
      <c r="A352" s="162" t="s">
        <v>234</v>
      </c>
      <c r="B352" s="382"/>
      <c r="C352" s="116" t="s">
        <v>117</v>
      </c>
      <c r="D352" s="175" t="s">
        <v>304</v>
      </c>
      <c r="E352" s="175"/>
      <c r="F352" s="252"/>
      <c r="G352" s="220">
        <f>G353+G358</f>
        <v>30997.7</v>
      </c>
      <c r="H352" s="14">
        <f>SUM(H353)</f>
        <v>5014</v>
      </c>
      <c r="I352" s="14">
        <f t="shared" si="6"/>
        <v>716.2857142857143</v>
      </c>
    </row>
    <row r="353" spans="1:9" s="25" customFormat="1" ht="57">
      <c r="A353" s="170" t="s">
        <v>294</v>
      </c>
      <c r="B353" s="382"/>
      <c r="C353" s="116" t="s">
        <v>117</v>
      </c>
      <c r="D353" s="175" t="s">
        <v>304</v>
      </c>
      <c r="E353" s="175" t="s">
        <v>295</v>
      </c>
      <c r="F353" s="252"/>
      <c r="G353" s="220">
        <f>SUM(G354)</f>
        <v>30297.7</v>
      </c>
      <c r="H353" s="14">
        <v>5014</v>
      </c>
      <c r="I353" s="14">
        <f t="shared" si="6"/>
        <v>716.2857142857143</v>
      </c>
    </row>
    <row r="354" spans="1:10" ht="28.5">
      <c r="A354" s="162" t="s">
        <v>56</v>
      </c>
      <c r="B354" s="382"/>
      <c r="C354" s="116" t="s">
        <v>117</v>
      </c>
      <c r="D354" s="175" t="s">
        <v>304</v>
      </c>
      <c r="E354" s="175" t="s">
        <v>296</v>
      </c>
      <c r="F354" s="252"/>
      <c r="G354" s="220">
        <f>SUM(G355+G356+G357)</f>
        <v>30297.7</v>
      </c>
      <c r="H354" s="14">
        <f>SUM(H355)</f>
        <v>0</v>
      </c>
      <c r="I354" s="14">
        <f t="shared" si="6"/>
        <v>0</v>
      </c>
      <c r="J354"/>
    </row>
    <row r="355" spans="1:10" s="25" customFormat="1" ht="42.75">
      <c r="A355" s="162" t="s">
        <v>518</v>
      </c>
      <c r="B355" s="382"/>
      <c r="C355" s="116" t="s">
        <v>117</v>
      </c>
      <c r="D355" s="175" t="s">
        <v>304</v>
      </c>
      <c r="E355" s="175" t="s">
        <v>296</v>
      </c>
      <c r="F355" s="252" t="s">
        <v>519</v>
      </c>
      <c r="G355" s="220">
        <v>26775</v>
      </c>
      <c r="H355" s="14"/>
      <c r="I355" s="14" t="e">
        <f>SUM(H355/#REF!*100)</f>
        <v>#REF!</v>
      </c>
      <c r="J355" s="117">
        <f>SUM('ведомствен.2014'!G635)</f>
        <v>26775</v>
      </c>
    </row>
    <row r="356" spans="1:10" ht="15">
      <c r="A356" s="162" t="s">
        <v>523</v>
      </c>
      <c r="B356" s="383"/>
      <c r="C356" s="116" t="s">
        <v>117</v>
      </c>
      <c r="D356" s="175" t="s">
        <v>304</v>
      </c>
      <c r="E356" s="175" t="s">
        <v>296</v>
      </c>
      <c r="F356" s="252" t="s">
        <v>120</v>
      </c>
      <c r="G356" s="220">
        <v>3119.3</v>
      </c>
      <c r="H356" s="14">
        <f>SUM(H357)</f>
        <v>0</v>
      </c>
      <c r="I356" s="14" t="e">
        <f>SUM(H356/#REF!*100)</f>
        <v>#REF!</v>
      </c>
      <c r="J356" s="117">
        <f>SUM('ведомствен.2014'!G636)</f>
        <v>3119.3</v>
      </c>
    </row>
    <row r="357" spans="1:10" ht="15">
      <c r="A357" s="162" t="s">
        <v>524</v>
      </c>
      <c r="B357" s="382"/>
      <c r="C357" s="116" t="s">
        <v>117</v>
      </c>
      <c r="D357" s="175" t="s">
        <v>304</v>
      </c>
      <c r="E357" s="175" t="s">
        <v>296</v>
      </c>
      <c r="F357" s="252" t="s">
        <v>177</v>
      </c>
      <c r="G357" s="220">
        <v>403.4</v>
      </c>
      <c r="H357" s="14"/>
      <c r="I357" s="14" t="e">
        <f>SUM(H357/#REF!*100)</f>
        <v>#REF!</v>
      </c>
      <c r="J357" s="117">
        <f>SUM('ведомствен.2014'!G637)</f>
        <v>403.4</v>
      </c>
    </row>
    <row r="358" spans="1:10" ht="15">
      <c r="A358" s="160" t="s">
        <v>574</v>
      </c>
      <c r="B358" s="369"/>
      <c r="C358" s="235" t="s">
        <v>117</v>
      </c>
      <c r="D358" s="183" t="s">
        <v>304</v>
      </c>
      <c r="E358" s="242" t="s">
        <v>129</v>
      </c>
      <c r="F358" s="201"/>
      <c r="G358" s="213">
        <f>SUM(G359)</f>
        <v>700</v>
      </c>
      <c r="H358" s="14">
        <f>SUM(H359)</f>
        <v>454</v>
      </c>
      <c r="I358" s="14" t="e">
        <f>SUM(H358/#REF!*100)</f>
        <v>#REF!</v>
      </c>
      <c r="J358"/>
    </row>
    <row r="359" spans="1:9" s="25" customFormat="1" ht="28.5">
      <c r="A359" s="163" t="s">
        <v>1011</v>
      </c>
      <c r="B359" s="369"/>
      <c r="C359" s="235" t="s">
        <v>117</v>
      </c>
      <c r="D359" s="183" t="s">
        <v>304</v>
      </c>
      <c r="E359" s="183" t="s">
        <v>54</v>
      </c>
      <c r="F359" s="201"/>
      <c r="G359" s="213">
        <f>G360</f>
        <v>700</v>
      </c>
      <c r="H359" s="14">
        <v>454</v>
      </c>
      <c r="I359" s="14" t="e">
        <f>SUM(H359/#REF!*100)</f>
        <v>#REF!</v>
      </c>
    </row>
    <row r="360" spans="1:10" ht="28.5">
      <c r="A360" s="160" t="s">
        <v>589</v>
      </c>
      <c r="B360" s="369"/>
      <c r="C360" s="235" t="s">
        <v>117</v>
      </c>
      <c r="D360" s="183" t="s">
        <v>304</v>
      </c>
      <c r="E360" s="183" t="s">
        <v>586</v>
      </c>
      <c r="F360" s="201" t="s">
        <v>583</v>
      </c>
      <c r="G360" s="213">
        <v>700</v>
      </c>
      <c r="H360" s="14"/>
      <c r="I360" s="14" t="e">
        <f>SUM(H360/#REF!*100)</f>
        <v>#REF!</v>
      </c>
      <c r="J360">
        <f>SUM('ведомствен.2014'!G276)</f>
        <v>700</v>
      </c>
    </row>
    <row r="361" spans="1:12" ht="15">
      <c r="A361" s="159" t="s">
        <v>332</v>
      </c>
      <c r="B361" s="370"/>
      <c r="C361" s="203" t="s">
        <v>124</v>
      </c>
      <c r="D361" s="185"/>
      <c r="E361" s="185"/>
      <c r="F361" s="200"/>
      <c r="G361" s="222">
        <f>SUM(G362+G412)</f>
        <v>98080.40000000001</v>
      </c>
      <c r="H361" s="14">
        <f>SUM(H374:H375)</f>
        <v>14679.5</v>
      </c>
      <c r="I361" s="14" t="e">
        <f>SUM(H361/G372*100)</f>
        <v>#DIV/0!</v>
      </c>
      <c r="J361"/>
      <c r="K361">
        <f>SUM(J362:J433)</f>
        <v>98080.4</v>
      </c>
      <c r="L361">
        <f>SUM('ведомствен.2014'!G677)</f>
        <v>98080.40000000001</v>
      </c>
    </row>
    <row r="362" spans="1:10" ht="15">
      <c r="A362" s="156" t="s">
        <v>372</v>
      </c>
      <c r="B362" s="367"/>
      <c r="C362" s="113" t="s">
        <v>124</v>
      </c>
      <c r="D362" s="182" t="s">
        <v>466</v>
      </c>
      <c r="E362" s="182"/>
      <c r="F362" s="197"/>
      <c r="G362" s="215">
        <f>SUM(G363+G386+G397)</f>
        <v>89879.90000000001</v>
      </c>
      <c r="H362" s="14"/>
      <c r="I362" s="14"/>
      <c r="J362"/>
    </row>
    <row r="363" spans="1:10" ht="28.5">
      <c r="A363" s="160" t="s">
        <v>623</v>
      </c>
      <c r="B363" s="367"/>
      <c r="C363" s="113" t="s">
        <v>124</v>
      </c>
      <c r="D363" s="182" t="s">
        <v>466</v>
      </c>
      <c r="E363" s="182" t="s">
        <v>136</v>
      </c>
      <c r="F363" s="197"/>
      <c r="G363" s="215">
        <f>SUM(G364+G367)</f>
        <v>49937.9</v>
      </c>
      <c r="H363" s="14"/>
      <c r="I363" s="14"/>
      <c r="J363"/>
    </row>
    <row r="364" spans="1:10" ht="28.5">
      <c r="A364" s="156" t="s">
        <v>15</v>
      </c>
      <c r="B364" s="370"/>
      <c r="C364" s="113" t="s">
        <v>124</v>
      </c>
      <c r="D364" s="182" t="s">
        <v>466</v>
      </c>
      <c r="E364" s="182" t="s">
        <v>205</v>
      </c>
      <c r="F364" s="197"/>
      <c r="G364" s="215">
        <f>SUM(G365)</f>
        <v>31956.2</v>
      </c>
      <c r="H364" s="14"/>
      <c r="I364" s="14"/>
      <c r="J364"/>
    </row>
    <row r="365" spans="1:10" ht="28.5">
      <c r="A365" s="156" t="s">
        <v>94</v>
      </c>
      <c r="B365" s="370"/>
      <c r="C365" s="113" t="s">
        <v>124</v>
      </c>
      <c r="D365" s="182" t="s">
        <v>466</v>
      </c>
      <c r="E365" s="182" t="s">
        <v>207</v>
      </c>
      <c r="F365" s="197"/>
      <c r="G365" s="215">
        <f>SUM(G366)</f>
        <v>31956.2</v>
      </c>
      <c r="H365" s="14"/>
      <c r="I365" s="14"/>
      <c r="J365"/>
    </row>
    <row r="366" spans="1:10" ht="28.5">
      <c r="A366" s="162" t="s">
        <v>540</v>
      </c>
      <c r="B366" s="380"/>
      <c r="C366" s="113" t="s">
        <v>124</v>
      </c>
      <c r="D366" s="182" t="s">
        <v>466</v>
      </c>
      <c r="E366" s="182" t="s">
        <v>207</v>
      </c>
      <c r="F366" s="198" t="s">
        <v>536</v>
      </c>
      <c r="G366" s="215">
        <v>31956.2</v>
      </c>
      <c r="H366" s="14"/>
      <c r="I366" s="14"/>
      <c r="J366">
        <f>SUM('ведомствен.2014'!G682)</f>
        <v>31956.2</v>
      </c>
    </row>
    <row r="367" spans="1:10" ht="28.5">
      <c r="A367" s="156" t="s">
        <v>56</v>
      </c>
      <c r="B367" s="380"/>
      <c r="C367" s="113" t="s">
        <v>124</v>
      </c>
      <c r="D367" s="182" t="s">
        <v>466</v>
      </c>
      <c r="E367" s="182" t="s">
        <v>137</v>
      </c>
      <c r="F367" s="198"/>
      <c r="G367" s="215">
        <f>SUM(G368:G370)</f>
        <v>17981.7</v>
      </c>
      <c r="H367" s="14"/>
      <c r="I367" s="14"/>
      <c r="J367"/>
    </row>
    <row r="368" spans="1:10" ht="42.75">
      <c r="A368" s="156" t="s">
        <v>518</v>
      </c>
      <c r="B368" s="367"/>
      <c r="C368" s="113" t="s">
        <v>124</v>
      </c>
      <c r="D368" s="182" t="s">
        <v>466</v>
      </c>
      <c r="E368" s="182" t="s">
        <v>137</v>
      </c>
      <c r="F368" s="196" t="s">
        <v>519</v>
      </c>
      <c r="G368" s="215">
        <v>14343.9</v>
      </c>
      <c r="H368" s="14"/>
      <c r="I368" s="14"/>
      <c r="J368">
        <f>SUM('ведомствен.2014'!G684)</f>
        <v>14343.9</v>
      </c>
    </row>
    <row r="369" spans="1:10" ht="15">
      <c r="A369" s="156" t="s">
        <v>523</v>
      </c>
      <c r="B369" s="367"/>
      <c r="C369" s="113" t="s">
        <v>124</v>
      </c>
      <c r="D369" s="182" t="s">
        <v>466</v>
      </c>
      <c r="E369" s="182" t="s">
        <v>137</v>
      </c>
      <c r="F369" s="196" t="s">
        <v>120</v>
      </c>
      <c r="G369" s="216">
        <v>3254</v>
      </c>
      <c r="H369" s="14"/>
      <c r="I369" s="14"/>
      <c r="J369">
        <f>SUM('ведомствен.2014'!G685)</f>
        <v>3254</v>
      </c>
    </row>
    <row r="370" spans="1:10" ht="15">
      <c r="A370" s="156" t="s">
        <v>524</v>
      </c>
      <c r="B370" s="367"/>
      <c r="C370" s="113" t="s">
        <v>124</v>
      </c>
      <c r="D370" s="182" t="s">
        <v>466</v>
      </c>
      <c r="E370" s="182" t="s">
        <v>137</v>
      </c>
      <c r="F370" s="197" t="s">
        <v>177</v>
      </c>
      <c r="G370" s="215">
        <v>383.8</v>
      </c>
      <c r="H370" s="14"/>
      <c r="I370" s="14"/>
      <c r="J370">
        <f>SUM('ведомствен.2014'!G686)</f>
        <v>383.8</v>
      </c>
    </row>
    <row r="371" spans="1:9" ht="28.5" hidden="1">
      <c r="A371" s="156" t="s">
        <v>95</v>
      </c>
      <c r="B371" s="370"/>
      <c r="C371" s="113" t="s">
        <v>124</v>
      </c>
      <c r="D371" s="182" t="s">
        <v>466</v>
      </c>
      <c r="E371" s="182" t="s">
        <v>205</v>
      </c>
      <c r="F371" s="197"/>
      <c r="G371" s="215">
        <f>SUM(G372+G374)</f>
        <v>0</v>
      </c>
      <c r="H371" s="14"/>
      <c r="I371" s="14"/>
    </row>
    <row r="372" spans="1:10" ht="28.5" hidden="1">
      <c r="A372" s="156" t="s">
        <v>206</v>
      </c>
      <c r="B372" s="370"/>
      <c r="C372" s="113" t="s">
        <v>124</v>
      </c>
      <c r="D372" s="182" t="s">
        <v>466</v>
      </c>
      <c r="E372" s="182" t="s">
        <v>207</v>
      </c>
      <c r="F372" s="197"/>
      <c r="G372" s="215">
        <f>SUM(G373)</f>
        <v>0</v>
      </c>
      <c r="H372" s="14"/>
      <c r="I372" s="14"/>
      <c r="J372"/>
    </row>
    <row r="373" spans="1:10" ht="42.75" hidden="1">
      <c r="A373" s="162" t="s">
        <v>157</v>
      </c>
      <c r="B373" s="380"/>
      <c r="C373" s="113" t="s">
        <v>124</v>
      </c>
      <c r="D373" s="182" t="s">
        <v>466</v>
      </c>
      <c r="E373" s="182" t="s">
        <v>207</v>
      </c>
      <c r="F373" s="198" t="s">
        <v>58</v>
      </c>
      <c r="G373" s="215"/>
      <c r="H373" s="14"/>
      <c r="I373" s="14"/>
      <c r="J373"/>
    </row>
    <row r="374" spans="1:9" ht="28.5" hidden="1">
      <c r="A374" s="156" t="s">
        <v>158</v>
      </c>
      <c r="B374" s="367"/>
      <c r="C374" s="113" t="s">
        <v>124</v>
      </c>
      <c r="D374" s="182" t="s">
        <v>466</v>
      </c>
      <c r="E374" s="114" t="s">
        <v>420</v>
      </c>
      <c r="F374" s="198"/>
      <c r="G374" s="215">
        <f>SUM(G377+G379)+G375</f>
        <v>0</v>
      </c>
      <c r="H374" s="14">
        <v>14679.5</v>
      </c>
      <c r="I374" s="14" t="e">
        <f>SUM(H374/G380*100)</f>
        <v>#DIV/0!</v>
      </c>
    </row>
    <row r="375" spans="1:9" ht="28.5" hidden="1">
      <c r="A375" s="156" t="s">
        <v>469</v>
      </c>
      <c r="B375" s="367"/>
      <c r="C375" s="113" t="s">
        <v>124</v>
      </c>
      <c r="D375" s="182" t="s">
        <v>466</v>
      </c>
      <c r="E375" s="114" t="s">
        <v>421</v>
      </c>
      <c r="F375" s="198"/>
      <c r="G375" s="215">
        <f>SUM(G376)</f>
        <v>0</v>
      </c>
      <c r="H375" s="14"/>
      <c r="I375" s="14" t="e">
        <f>SUM(H375/G381*100)</f>
        <v>#DIV/0!</v>
      </c>
    </row>
    <row r="376" spans="1:10" ht="28.5" hidden="1">
      <c r="A376" s="156" t="s">
        <v>158</v>
      </c>
      <c r="B376" s="367"/>
      <c r="C376" s="113" t="s">
        <v>124</v>
      </c>
      <c r="D376" s="182" t="s">
        <v>466</v>
      </c>
      <c r="E376" s="114" t="s">
        <v>421</v>
      </c>
      <c r="F376" s="198" t="s">
        <v>83</v>
      </c>
      <c r="G376" s="215"/>
      <c r="H376" s="14">
        <f>SUM(H377)</f>
        <v>2102.5</v>
      </c>
      <c r="I376" s="14" t="e">
        <f>SUM(H376/G382*100)</f>
        <v>#DIV/0!</v>
      </c>
      <c r="J376"/>
    </row>
    <row r="377" spans="1:10" ht="28.5" hidden="1">
      <c r="A377" s="162" t="s">
        <v>419</v>
      </c>
      <c r="B377" s="380"/>
      <c r="C377" s="113" t="s">
        <v>124</v>
      </c>
      <c r="D377" s="182" t="s">
        <v>466</v>
      </c>
      <c r="E377" s="182" t="s">
        <v>418</v>
      </c>
      <c r="F377" s="198"/>
      <c r="G377" s="215">
        <f>SUM(G378)</f>
        <v>0</v>
      </c>
      <c r="H377" s="14">
        <f>SUM(H379)+H386</f>
        <v>2102.5</v>
      </c>
      <c r="I377" s="14" t="e">
        <f>SUM(H377/G383*100)</f>
        <v>#DIV/0!</v>
      </c>
      <c r="J377"/>
    </row>
    <row r="378" spans="1:10" ht="28.5" hidden="1">
      <c r="A378" s="162" t="s">
        <v>143</v>
      </c>
      <c r="B378" s="380"/>
      <c r="C378" s="113" t="s">
        <v>124</v>
      </c>
      <c r="D378" s="182" t="s">
        <v>466</v>
      </c>
      <c r="E378" s="182" t="s">
        <v>418</v>
      </c>
      <c r="F378" s="198" t="s">
        <v>83</v>
      </c>
      <c r="G378" s="215"/>
      <c r="H378" s="14"/>
      <c r="I378" s="14"/>
      <c r="J378"/>
    </row>
    <row r="379" spans="1:9" ht="28.5" hidden="1">
      <c r="A379" s="162" t="s">
        <v>154</v>
      </c>
      <c r="B379" s="380"/>
      <c r="C379" s="113" t="s">
        <v>124</v>
      </c>
      <c r="D379" s="182" t="s">
        <v>466</v>
      </c>
      <c r="E379" s="182" t="s">
        <v>217</v>
      </c>
      <c r="F379" s="198"/>
      <c r="G379" s="215">
        <f>SUM(G380)</f>
        <v>0</v>
      </c>
      <c r="H379" s="14">
        <v>2102.5</v>
      </c>
      <c r="I379" s="14" t="e">
        <f>SUM(H379/G385*100)</f>
        <v>#DIV/0!</v>
      </c>
    </row>
    <row r="380" spans="1:9" ht="28.5" hidden="1">
      <c r="A380" s="162" t="s">
        <v>143</v>
      </c>
      <c r="B380" s="380"/>
      <c r="C380" s="113" t="s">
        <v>124</v>
      </c>
      <c r="D380" s="182" t="s">
        <v>466</v>
      </c>
      <c r="E380" s="182" t="s">
        <v>217</v>
      </c>
      <c r="F380" s="198" t="s">
        <v>83</v>
      </c>
      <c r="G380" s="215"/>
      <c r="H380" s="14"/>
      <c r="I380" s="14"/>
    </row>
    <row r="381" spans="1:9" ht="28.5" hidden="1">
      <c r="A381" s="156" t="s">
        <v>56</v>
      </c>
      <c r="B381" s="368"/>
      <c r="C381" s="113" t="s">
        <v>124</v>
      </c>
      <c r="D381" s="182" t="s">
        <v>466</v>
      </c>
      <c r="E381" s="182" t="s">
        <v>137</v>
      </c>
      <c r="F381" s="197"/>
      <c r="G381" s="215">
        <f>SUM(G382:G384)</f>
        <v>0</v>
      </c>
      <c r="H381" s="14"/>
      <c r="I381" s="14"/>
    </row>
    <row r="382" spans="1:9" ht="15" hidden="1">
      <c r="A382" s="162" t="s">
        <v>57</v>
      </c>
      <c r="B382" s="368"/>
      <c r="C382" s="113" t="s">
        <v>124</v>
      </c>
      <c r="D382" s="182" t="s">
        <v>466</v>
      </c>
      <c r="E382" s="182" t="s">
        <v>137</v>
      </c>
      <c r="F382" s="197" t="s">
        <v>250</v>
      </c>
      <c r="G382" s="215"/>
      <c r="H382" s="14"/>
      <c r="I382" s="14"/>
    </row>
    <row r="383" spans="1:9" ht="42.75" hidden="1">
      <c r="A383" s="162" t="s">
        <v>375</v>
      </c>
      <c r="B383" s="380"/>
      <c r="C383" s="113" t="s">
        <v>124</v>
      </c>
      <c r="D383" s="182" t="s">
        <v>466</v>
      </c>
      <c r="E383" s="182" t="s">
        <v>137</v>
      </c>
      <c r="F383" s="198" t="s">
        <v>376</v>
      </c>
      <c r="G383" s="215"/>
      <c r="H383" s="14"/>
      <c r="I383" s="14"/>
    </row>
    <row r="384" spans="1:9" ht="57" hidden="1">
      <c r="A384" s="156" t="s">
        <v>261</v>
      </c>
      <c r="B384" s="367"/>
      <c r="C384" s="113" t="s">
        <v>124</v>
      </c>
      <c r="D384" s="182" t="s">
        <v>466</v>
      </c>
      <c r="E384" s="182" t="s">
        <v>377</v>
      </c>
      <c r="F384" s="198"/>
      <c r="G384" s="215">
        <f>SUM(G385)</f>
        <v>0</v>
      </c>
      <c r="H384" s="14"/>
      <c r="I384" s="14"/>
    </row>
    <row r="385" spans="1:9" ht="15" hidden="1">
      <c r="A385" s="162" t="s">
        <v>249</v>
      </c>
      <c r="B385" s="380"/>
      <c r="C385" s="113" t="s">
        <v>124</v>
      </c>
      <c r="D385" s="182" t="s">
        <v>466</v>
      </c>
      <c r="E385" s="182" t="s">
        <v>377</v>
      </c>
      <c r="F385" s="198" t="s">
        <v>250</v>
      </c>
      <c r="G385" s="215"/>
      <c r="H385" s="14">
        <v>14679.5</v>
      </c>
      <c r="I385" s="14" t="e">
        <f aca="true" t="shared" si="7" ref="I385:I403">SUM(H385/G391*100)</f>
        <v>#DIV/0!</v>
      </c>
    </row>
    <row r="386" spans="1:9" ht="15">
      <c r="A386" s="156" t="s">
        <v>378</v>
      </c>
      <c r="B386" s="367"/>
      <c r="C386" s="113" t="s">
        <v>124</v>
      </c>
      <c r="D386" s="182" t="s">
        <v>466</v>
      </c>
      <c r="E386" s="182" t="s">
        <v>379</v>
      </c>
      <c r="F386" s="197"/>
      <c r="G386" s="215">
        <f>SUM(G387)</f>
        <v>5387.9</v>
      </c>
      <c r="H386" s="14"/>
      <c r="I386" s="14" t="e">
        <f t="shared" si="7"/>
        <v>#DIV/0!</v>
      </c>
    </row>
    <row r="387" spans="1:10" ht="28.5">
      <c r="A387" s="156" t="s">
        <v>95</v>
      </c>
      <c r="B387" s="370"/>
      <c r="C387" s="113" t="s">
        <v>124</v>
      </c>
      <c r="D387" s="182" t="s">
        <v>466</v>
      </c>
      <c r="E387" s="182" t="s">
        <v>81</v>
      </c>
      <c r="F387" s="197"/>
      <c r="G387" s="215">
        <f>SUM(G388)+G390</f>
        <v>5387.9</v>
      </c>
      <c r="H387" s="14"/>
      <c r="I387" s="14" t="e">
        <f t="shared" si="7"/>
        <v>#DIV/0!</v>
      </c>
      <c r="J387"/>
    </row>
    <row r="388" spans="1:10" ht="28.5">
      <c r="A388" s="156" t="s">
        <v>206</v>
      </c>
      <c r="B388" s="370"/>
      <c r="C388" s="113" t="s">
        <v>124</v>
      </c>
      <c r="D388" s="182" t="s">
        <v>466</v>
      </c>
      <c r="E388" s="182" t="s">
        <v>82</v>
      </c>
      <c r="F388" s="197"/>
      <c r="G388" s="215">
        <f>SUM(G389)</f>
        <v>5307.9</v>
      </c>
      <c r="H388" s="14">
        <f>SUM(H389)</f>
        <v>10268.9</v>
      </c>
      <c r="I388" s="14" t="e">
        <f t="shared" si="7"/>
        <v>#DIV/0!</v>
      </c>
      <c r="J388"/>
    </row>
    <row r="389" spans="1:10" ht="28.5">
      <c r="A389" s="162" t="s">
        <v>540</v>
      </c>
      <c r="B389" s="380"/>
      <c r="C389" s="113" t="s">
        <v>124</v>
      </c>
      <c r="D389" s="182" t="s">
        <v>466</v>
      </c>
      <c r="E389" s="182" t="s">
        <v>82</v>
      </c>
      <c r="F389" s="198" t="s">
        <v>536</v>
      </c>
      <c r="G389" s="215">
        <v>5307.9</v>
      </c>
      <c r="H389" s="14">
        <f>SUM(H390+H392+H394)</f>
        <v>10268.9</v>
      </c>
      <c r="I389" s="14">
        <f aca="true" t="shared" si="8" ref="I389:I394">SUM(H389/G397*100)</f>
        <v>29.71832575584373</v>
      </c>
      <c r="J389">
        <f>SUM('ведомствен.2014'!G705)</f>
        <v>5307.9</v>
      </c>
    </row>
    <row r="390" spans="1:9" ht="28.5">
      <c r="A390" s="156" t="s">
        <v>158</v>
      </c>
      <c r="B390" s="380"/>
      <c r="C390" s="113" t="s">
        <v>124</v>
      </c>
      <c r="D390" s="182" t="s">
        <v>466</v>
      </c>
      <c r="E390" s="182" t="s">
        <v>218</v>
      </c>
      <c r="F390" s="198"/>
      <c r="G390" s="215">
        <f>SUM(G395)</f>
        <v>80</v>
      </c>
      <c r="H390" s="14">
        <v>8963.8</v>
      </c>
      <c r="I390" s="14">
        <f t="shared" si="8"/>
        <v>25.94134994110684</v>
      </c>
    </row>
    <row r="391" spans="1:10" ht="28.5" hidden="1">
      <c r="A391" s="156" t="s">
        <v>469</v>
      </c>
      <c r="B391" s="380"/>
      <c r="C391" s="113" t="s">
        <v>124</v>
      </c>
      <c r="D391" s="182" t="s">
        <v>466</v>
      </c>
      <c r="E391" s="182" t="s">
        <v>471</v>
      </c>
      <c r="F391" s="198"/>
      <c r="G391" s="215">
        <f>SUM(G392)</f>
        <v>0</v>
      </c>
      <c r="H391" s="14"/>
      <c r="I391" s="14">
        <f t="shared" si="8"/>
        <v>0</v>
      </c>
      <c r="J391"/>
    </row>
    <row r="392" spans="1:10" ht="28.5" hidden="1">
      <c r="A392" s="156" t="s">
        <v>158</v>
      </c>
      <c r="B392" s="380"/>
      <c r="C392" s="113" t="s">
        <v>124</v>
      </c>
      <c r="D392" s="182" t="s">
        <v>466</v>
      </c>
      <c r="E392" s="182" t="s">
        <v>471</v>
      </c>
      <c r="F392" s="198" t="s">
        <v>83</v>
      </c>
      <c r="G392" s="215"/>
      <c r="H392" s="14">
        <f>SUM(H393)</f>
        <v>0</v>
      </c>
      <c r="I392" s="14">
        <f t="shared" si="8"/>
        <v>0</v>
      </c>
      <c r="J392"/>
    </row>
    <row r="393" spans="1:10" ht="28.5" hidden="1">
      <c r="A393" s="162" t="s">
        <v>419</v>
      </c>
      <c r="B393" s="380"/>
      <c r="C393" s="113" t="s">
        <v>124</v>
      </c>
      <c r="D393" s="182" t="s">
        <v>466</v>
      </c>
      <c r="E393" s="182" t="s">
        <v>153</v>
      </c>
      <c r="F393" s="198"/>
      <c r="G393" s="215">
        <f>SUM(G394)</f>
        <v>0</v>
      </c>
      <c r="H393" s="14"/>
      <c r="I393" s="14">
        <f t="shared" si="8"/>
        <v>0</v>
      </c>
      <c r="J393"/>
    </row>
    <row r="394" spans="1:10" ht="28.5" hidden="1">
      <c r="A394" s="162" t="s">
        <v>143</v>
      </c>
      <c r="B394" s="380"/>
      <c r="C394" s="113" t="s">
        <v>124</v>
      </c>
      <c r="D394" s="182" t="s">
        <v>466</v>
      </c>
      <c r="E394" s="182" t="s">
        <v>153</v>
      </c>
      <c r="F394" s="198" t="s">
        <v>83</v>
      </c>
      <c r="G394" s="215"/>
      <c r="H394" s="14">
        <f>SUM(H397)</f>
        <v>1305.1</v>
      </c>
      <c r="I394" s="14" t="e">
        <f t="shared" si="8"/>
        <v>#DIV/0!</v>
      </c>
      <c r="J394"/>
    </row>
    <row r="395" spans="1:10" ht="28.5">
      <c r="A395" s="271" t="s">
        <v>154</v>
      </c>
      <c r="B395" s="386"/>
      <c r="C395" s="113" t="s">
        <v>124</v>
      </c>
      <c r="D395" s="182" t="s">
        <v>466</v>
      </c>
      <c r="E395" s="182" t="s">
        <v>671</v>
      </c>
      <c r="F395" s="198"/>
      <c r="G395" s="215">
        <f>SUM(G396)</f>
        <v>80</v>
      </c>
      <c r="H395" s="14"/>
      <c r="I395" s="14"/>
      <c r="J395"/>
    </row>
    <row r="396" spans="1:10" ht="28.5">
      <c r="A396" s="162" t="s">
        <v>540</v>
      </c>
      <c r="B396" s="386"/>
      <c r="C396" s="113" t="s">
        <v>124</v>
      </c>
      <c r="D396" s="182" t="s">
        <v>466</v>
      </c>
      <c r="E396" s="182" t="s">
        <v>671</v>
      </c>
      <c r="F396" s="198" t="s">
        <v>536</v>
      </c>
      <c r="G396" s="215">
        <v>80</v>
      </c>
      <c r="H396" s="14"/>
      <c r="I396" s="14"/>
      <c r="J396">
        <f>SUM('ведомствен.2014'!G712)</f>
        <v>80</v>
      </c>
    </row>
    <row r="397" spans="1:10" ht="15">
      <c r="A397" s="156" t="s">
        <v>380</v>
      </c>
      <c r="B397" s="367"/>
      <c r="C397" s="113" t="s">
        <v>124</v>
      </c>
      <c r="D397" s="182" t="s">
        <v>466</v>
      </c>
      <c r="E397" s="182" t="s">
        <v>381</v>
      </c>
      <c r="F397" s="197"/>
      <c r="G397" s="215">
        <f>SUM(G398)</f>
        <v>34554.100000000006</v>
      </c>
      <c r="H397" s="14">
        <v>1305.1</v>
      </c>
      <c r="I397" s="14" t="e">
        <f t="shared" si="7"/>
        <v>#DIV/0!</v>
      </c>
      <c r="J397"/>
    </row>
    <row r="398" spans="1:10" ht="28.5">
      <c r="A398" s="156" t="s">
        <v>56</v>
      </c>
      <c r="B398" s="370"/>
      <c r="C398" s="113" t="s">
        <v>124</v>
      </c>
      <c r="D398" s="182" t="s">
        <v>466</v>
      </c>
      <c r="E398" s="182" t="s">
        <v>382</v>
      </c>
      <c r="F398" s="197"/>
      <c r="G398" s="215">
        <f>SUM(G399:G401)</f>
        <v>34554.100000000006</v>
      </c>
      <c r="H398" s="14">
        <f>SUM(H399+H400)</f>
        <v>0</v>
      </c>
      <c r="I398" s="14" t="e">
        <f t="shared" si="7"/>
        <v>#DIV/0!</v>
      </c>
      <c r="J398"/>
    </row>
    <row r="399" spans="1:10" ht="42.75">
      <c r="A399" s="156" t="s">
        <v>518</v>
      </c>
      <c r="B399" s="367"/>
      <c r="C399" s="113" t="s">
        <v>124</v>
      </c>
      <c r="D399" s="182" t="s">
        <v>466</v>
      </c>
      <c r="E399" s="182" t="s">
        <v>382</v>
      </c>
      <c r="F399" s="196" t="s">
        <v>519</v>
      </c>
      <c r="G399" s="215">
        <v>30264.8</v>
      </c>
      <c r="H399" s="14"/>
      <c r="I399" s="14" t="e">
        <f t="shared" si="7"/>
        <v>#DIV/0!</v>
      </c>
      <c r="J399">
        <f>SUM('ведомствен.2014'!G715)</f>
        <v>30264.8</v>
      </c>
    </row>
    <row r="400" spans="1:10" ht="15">
      <c r="A400" s="156" t="s">
        <v>523</v>
      </c>
      <c r="B400" s="367"/>
      <c r="C400" s="113" t="s">
        <v>124</v>
      </c>
      <c r="D400" s="182" t="s">
        <v>466</v>
      </c>
      <c r="E400" s="182" t="s">
        <v>382</v>
      </c>
      <c r="F400" s="196" t="s">
        <v>120</v>
      </c>
      <c r="G400" s="216">
        <v>3733</v>
      </c>
      <c r="H400" s="14">
        <f>SUM(H401)</f>
        <v>0</v>
      </c>
      <c r="I400" s="14" t="e">
        <f t="shared" si="7"/>
        <v>#DIV/0!</v>
      </c>
      <c r="J400">
        <f>SUM('ведомствен.2014'!G716)</f>
        <v>3733</v>
      </c>
    </row>
    <row r="401" spans="1:10" ht="15">
      <c r="A401" s="156" t="s">
        <v>524</v>
      </c>
      <c r="B401" s="367"/>
      <c r="C401" s="113" t="s">
        <v>124</v>
      </c>
      <c r="D401" s="182" t="s">
        <v>466</v>
      </c>
      <c r="E401" s="182" t="s">
        <v>382</v>
      </c>
      <c r="F401" s="197" t="s">
        <v>177</v>
      </c>
      <c r="G401" s="215">
        <v>556.3</v>
      </c>
      <c r="H401" s="14"/>
      <c r="I401" s="14" t="e">
        <f t="shared" si="7"/>
        <v>#DIV/0!</v>
      </c>
      <c r="J401">
        <f>SUM('ведомствен.2014'!G717)</f>
        <v>556.3</v>
      </c>
    </row>
    <row r="402" spans="1:10" ht="42.75" hidden="1">
      <c r="A402" s="162" t="s">
        <v>62</v>
      </c>
      <c r="B402" s="380"/>
      <c r="C402" s="113" t="s">
        <v>124</v>
      </c>
      <c r="D402" s="182" t="s">
        <v>466</v>
      </c>
      <c r="E402" s="182" t="s">
        <v>383</v>
      </c>
      <c r="F402" s="198"/>
      <c r="G402" s="215">
        <f>SUM(G403)</f>
        <v>0</v>
      </c>
      <c r="H402" s="14">
        <f>SUM(H403)</f>
        <v>7333.8</v>
      </c>
      <c r="I402" s="14" t="e">
        <f t="shared" si="7"/>
        <v>#DIV/0!</v>
      </c>
      <c r="J402"/>
    </row>
    <row r="403" spans="1:10" ht="15" hidden="1">
      <c r="A403" s="162" t="s">
        <v>57</v>
      </c>
      <c r="B403" s="380"/>
      <c r="C403" s="113" t="s">
        <v>124</v>
      </c>
      <c r="D403" s="182" t="s">
        <v>466</v>
      </c>
      <c r="E403" s="182" t="s">
        <v>383</v>
      </c>
      <c r="F403" s="198" t="s">
        <v>250</v>
      </c>
      <c r="G403" s="215"/>
      <c r="H403" s="14">
        <f>SUM(H405:H409)</f>
        <v>7333.8</v>
      </c>
      <c r="I403" s="14" t="e">
        <f t="shared" si="7"/>
        <v>#DIV/0!</v>
      </c>
      <c r="J403"/>
    </row>
    <row r="404" spans="1:10" ht="28.5" hidden="1">
      <c r="A404" s="162" t="s">
        <v>384</v>
      </c>
      <c r="B404" s="380"/>
      <c r="C404" s="113" t="s">
        <v>124</v>
      </c>
      <c r="D404" s="182" t="s">
        <v>466</v>
      </c>
      <c r="E404" s="182" t="s">
        <v>385</v>
      </c>
      <c r="F404" s="198"/>
      <c r="G404" s="215">
        <f>SUM(G407+G405)</f>
        <v>0</v>
      </c>
      <c r="H404" s="14"/>
      <c r="I404" s="14"/>
      <c r="J404"/>
    </row>
    <row r="405" spans="1:10" ht="15" hidden="1">
      <c r="A405" s="162" t="s">
        <v>249</v>
      </c>
      <c r="B405" s="380"/>
      <c r="C405" s="113" t="s">
        <v>124</v>
      </c>
      <c r="D405" s="182" t="s">
        <v>466</v>
      </c>
      <c r="E405" s="182" t="s">
        <v>385</v>
      </c>
      <c r="F405" s="198" t="s">
        <v>250</v>
      </c>
      <c r="G405" s="215"/>
      <c r="H405" s="14"/>
      <c r="I405" s="14" t="e">
        <f aca="true" t="shared" si="9" ref="I405:I413">SUM(H405/G411*100)</f>
        <v>#DIV/0!</v>
      </c>
      <c r="J405"/>
    </row>
    <row r="406" spans="1:10" ht="42.75" hidden="1">
      <c r="A406" s="162" t="s">
        <v>386</v>
      </c>
      <c r="B406" s="380"/>
      <c r="C406" s="113" t="s">
        <v>124</v>
      </c>
      <c r="D406" s="182" t="s">
        <v>466</v>
      </c>
      <c r="E406" s="182" t="s">
        <v>387</v>
      </c>
      <c r="F406" s="198"/>
      <c r="G406" s="215">
        <f>SUM(G407)</f>
        <v>0</v>
      </c>
      <c r="H406" s="14">
        <f>SUM(H410+H415)+H407</f>
        <v>4633.8</v>
      </c>
      <c r="I406" s="14">
        <f t="shared" si="9"/>
        <v>56.506310590817634</v>
      </c>
      <c r="J406"/>
    </row>
    <row r="407" spans="1:10" ht="15" hidden="1">
      <c r="A407" s="162" t="s">
        <v>249</v>
      </c>
      <c r="B407" s="380"/>
      <c r="C407" s="113" t="s">
        <v>124</v>
      </c>
      <c r="D407" s="182" t="s">
        <v>466</v>
      </c>
      <c r="E407" s="182" t="s">
        <v>387</v>
      </c>
      <c r="F407" s="198" t="s">
        <v>250</v>
      </c>
      <c r="G407" s="215"/>
      <c r="H407" s="14">
        <f>SUM(H408)</f>
        <v>900</v>
      </c>
      <c r="I407" s="14" t="e">
        <f t="shared" si="9"/>
        <v>#DIV/0!</v>
      </c>
      <c r="J407"/>
    </row>
    <row r="408" spans="1:10" ht="15" hidden="1">
      <c r="A408" s="162" t="s">
        <v>128</v>
      </c>
      <c r="B408" s="370"/>
      <c r="C408" s="113" t="s">
        <v>124</v>
      </c>
      <c r="D408" s="182" t="s">
        <v>466</v>
      </c>
      <c r="E408" s="182" t="s">
        <v>129</v>
      </c>
      <c r="F408" s="197"/>
      <c r="G408" s="215">
        <f>SUM(G409)</f>
        <v>0</v>
      </c>
      <c r="H408" s="14">
        <f>SUM(H409)</f>
        <v>900</v>
      </c>
      <c r="I408" s="14" t="e">
        <f t="shared" si="9"/>
        <v>#DIV/0!</v>
      </c>
      <c r="J408"/>
    </row>
    <row r="409" spans="1:10" ht="42.75" hidden="1">
      <c r="A409" s="156" t="s">
        <v>209</v>
      </c>
      <c r="B409" s="370"/>
      <c r="C409" s="113" t="s">
        <v>124</v>
      </c>
      <c r="D409" s="182" t="s">
        <v>466</v>
      </c>
      <c r="E409" s="182" t="s">
        <v>302</v>
      </c>
      <c r="F409" s="197"/>
      <c r="G409" s="215">
        <f>SUM(G410:G411)</f>
        <v>0</v>
      </c>
      <c r="H409" s="14">
        <v>900</v>
      </c>
      <c r="I409" s="14" t="e">
        <f t="shared" si="9"/>
        <v>#DIV/0!</v>
      </c>
      <c r="J409"/>
    </row>
    <row r="410" spans="1:10" ht="15" hidden="1">
      <c r="A410" s="162" t="s">
        <v>57</v>
      </c>
      <c r="B410" s="370"/>
      <c r="C410" s="113" t="s">
        <v>124</v>
      </c>
      <c r="D410" s="182" t="s">
        <v>466</v>
      </c>
      <c r="E410" s="182" t="s">
        <v>302</v>
      </c>
      <c r="F410" s="197" t="s">
        <v>250</v>
      </c>
      <c r="G410" s="215"/>
      <c r="H410" s="14">
        <f>SUM(H411)</f>
        <v>3733.8</v>
      </c>
      <c r="I410" s="14">
        <f t="shared" si="9"/>
        <v>53.33619027212343</v>
      </c>
      <c r="J410"/>
    </row>
    <row r="411" spans="1:10" ht="28.5" hidden="1">
      <c r="A411" s="162" t="s">
        <v>143</v>
      </c>
      <c r="B411" s="370"/>
      <c r="C411" s="113" t="s">
        <v>124</v>
      </c>
      <c r="D411" s="182" t="s">
        <v>466</v>
      </c>
      <c r="E411" s="182" t="s">
        <v>302</v>
      </c>
      <c r="F411" s="197" t="s">
        <v>83</v>
      </c>
      <c r="G411" s="215"/>
      <c r="H411" s="14">
        <f>SUM(H412)</f>
        <v>3733.8</v>
      </c>
      <c r="I411" s="14">
        <f t="shared" si="9"/>
        <v>53.33619027212343</v>
      </c>
      <c r="J411"/>
    </row>
    <row r="412" spans="1:9" ht="15">
      <c r="A412" s="157" t="s">
        <v>238</v>
      </c>
      <c r="B412" s="370"/>
      <c r="C412" s="113" t="s">
        <v>124</v>
      </c>
      <c r="D412" s="182" t="s">
        <v>122</v>
      </c>
      <c r="E412" s="182"/>
      <c r="F412" s="197"/>
      <c r="G412" s="215">
        <f>SUM(G416+G421+G414)</f>
        <v>8200.5</v>
      </c>
      <c r="H412" s="14">
        <v>3733.8</v>
      </c>
      <c r="I412" s="14">
        <f t="shared" si="9"/>
        <v>58.9141171087303</v>
      </c>
    </row>
    <row r="413" spans="1:10" ht="15" hidden="1">
      <c r="A413" s="156" t="s">
        <v>412</v>
      </c>
      <c r="B413" s="370"/>
      <c r="C413" s="113" t="s">
        <v>124</v>
      </c>
      <c r="D413" s="182" t="s">
        <v>122</v>
      </c>
      <c r="E413" s="182" t="s">
        <v>414</v>
      </c>
      <c r="F413" s="197"/>
      <c r="G413" s="215">
        <f>SUM(G414)</f>
        <v>0</v>
      </c>
      <c r="H413" s="14">
        <f>SUM(H414)</f>
        <v>0</v>
      </c>
      <c r="I413" s="14">
        <f t="shared" si="9"/>
        <v>0</v>
      </c>
      <c r="J413"/>
    </row>
    <row r="414" spans="1:10" ht="15" hidden="1">
      <c r="A414" s="156" t="s">
        <v>392</v>
      </c>
      <c r="B414" s="370"/>
      <c r="C414" s="113" t="s">
        <v>124</v>
      </c>
      <c r="D414" s="182" t="s">
        <v>122</v>
      </c>
      <c r="E414" s="182" t="s">
        <v>393</v>
      </c>
      <c r="F414" s="197"/>
      <c r="G414" s="215">
        <f>SUM(G415)</f>
        <v>0</v>
      </c>
      <c r="H414" s="14"/>
      <c r="I414" s="14"/>
      <c r="J414"/>
    </row>
    <row r="415" spans="1:10" ht="42.75" hidden="1">
      <c r="A415" s="156" t="s">
        <v>312</v>
      </c>
      <c r="B415" s="370"/>
      <c r="C415" s="113" t="s">
        <v>124</v>
      </c>
      <c r="D415" s="182" t="s">
        <v>122</v>
      </c>
      <c r="E415" s="182" t="s">
        <v>393</v>
      </c>
      <c r="F415" s="197" t="s">
        <v>313</v>
      </c>
      <c r="G415" s="215"/>
      <c r="H415" s="14">
        <f>SUM(H418)</f>
        <v>0</v>
      </c>
      <c r="I415" s="14">
        <f>SUM(H415/G421*100)</f>
        <v>0</v>
      </c>
      <c r="J415"/>
    </row>
    <row r="416" spans="1:10" ht="57">
      <c r="A416" s="157" t="s">
        <v>294</v>
      </c>
      <c r="B416" s="370"/>
      <c r="C416" s="113" t="s">
        <v>124</v>
      </c>
      <c r="D416" s="182" t="s">
        <v>122</v>
      </c>
      <c r="E416" s="182" t="s">
        <v>295</v>
      </c>
      <c r="F416" s="197"/>
      <c r="G416" s="215">
        <f>SUM(G417)</f>
        <v>7000.499999999999</v>
      </c>
      <c r="H416" s="14"/>
      <c r="I416" s="14"/>
      <c r="J416"/>
    </row>
    <row r="417" spans="1:10" ht="28.5">
      <c r="A417" s="156" t="s">
        <v>56</v>
      </c>
      <c r="B417" s="370"/>
      <c r="C417" s="113" t="s">
        <v>124</v>
      </c>
      <c r="D417" s="182" t="s">
        <v>122</v>
      </c>
      <c r="E417" s="182" t="s">
        <v>296</v>
      </c>
      <c r="F417" s="197"/>
      <c r="G417" s="215">
        <f>SUM(G418:G420)</f>
        <v>7000.499999999999</v>
      </c>
      <c r="H417" s="14"/>
      <c r="I417" s="14"/>
      <c r="J417"/>
    </row>
    <row r="418" spans="1:10" ht="42.75">
      <c r="A418" s="156" t="s">
        <v>518</v>
      </c>
      <c r="B418" s="380"/>
      <c r="C418" s="113" t="s">
        <v>124</v>
      </c>
      <c r="D418" s="182" t="s">
        <v>122</v>
      </c>
      <c r="E418" s="182" t="s">
        <v>296</v>
      </c>
      <c r="F418" s="198" t="s">
        <v>519</v>
      </c>
      <c r="G418" s="215">
        <v>6337.7</v>
      </c>
      <c r="H418" s="14">
        <f>SUM(H419:H423)</f>
        <v>0</v>
      </c>
      <c r="I418" s="14" t="e">
        <f>SUM(H418/G424*100)</f>
        <v>#DIV/0!</v>
      </c>
      <c r="J418">
        <f>SUM('ведомствен.2014'!G734)</f>
        <v>6337.7</v>
      </c>
    </row>
    <row r="419" spans="1:10" ht="15">
      <c r="A419" s="156" t="s">
        <v>523</v>
      </c>
      <c r="B419" s="380"/>
      <c r="C419" s="113" t="s">
        <v>124</v>
      </c>
      <c r="D419" s="182" t="s">
        <v>122</v>
      </c>
      <c r="E419" s="182" t="s">
        <v>296</v>
      </c>
      <c r="F419" s="198" t="s">
        <v>120</v>
      </c>
      <c r="G419" s="215">
        <v>658.4</v>
      </c>
      <c r="H419" s="14"/>
      <c r="I419" s="14" t="e">
        <f>SUM(H419/G425*100)</f>
        <v>#DIV/0!</v>
      </c>
      <c r="J419">
        <f>SUM('ведомствен.2014'!G735)</f>
        <v>658.4</v>
      </c>
    </row>
    <row r="420" spans="1:10" ht="15">
      <c r="A420" s="156" t="s">
        <v>524</v>
      </c>
      <c r="B420" s="380"/>
      <c r="C420" s="113" t="s">
        <v>124</v>
      </c>
      <c r="D420" s="182" t="s">
        <v>122</v>
      </c>
      <c r="E420" s="182" t="s">
        <v>296</v>
      </c>
      <c r="F420" s="198" t="s">
        <v>177</v>
      </c>
      <c r="G420" s="215">
        <v>4.4</v>
      </c>
      <c r="H420" s="18"/>
      <c r="I420" s="14" t="e">
        <f>SUM(H420/G426*100)</f>
        <v>#DIV/0!</v>
      </c>
      <c r="J420">
        <f>SUM('ведомствен.2014'!G736)</f>
        <v>4.4</v>
      </c>
    </row>
    <row r="421" spans="1:10" ht="15">
      <c r="A421" s="162" t="s">
        <v>128</v>
      </c>
      <c r="B421" s="370"/>
      <c r="C421" s="113" t="s">
        <v>124</v>
      </c>
      <c r="D421" s="182" t="s">
        <v>122</v>
      </c>
      <c r="E421" s="182" t="s">
        <v>129</v>
      </c>
      <c r="F421" s="197"/>
      <c r="G421" s="215">
        <f>SUM(G424)+G427+G422</f>
        <v>1200</v>
      </c>
      <c r="H421" s="18"/>
      <c r="I421" s="14"/>
      <c r="J421"/>
    </row>
    <row r="422" spans="1:9" ht="42.75" hidden="1">
      <c r="A422" s="156" t="s">
        <v>209</v>
      </c>
      <c r="B422" s="370"/>
      <c r="C422" s="113" t="s">
        <v>124</v>
      </c>
      <c r="D422" s="182" t="s">
        <v>122</v>
      </c>
      <c r="E422" s="182" t="s">
        <v>302</v>
      </c>
      <c r="F422" s="197"/>
      <c r="G422" s="215">
        <f>SUM(G423)</f>
        <v>0</v>
      </c>
      <c r="H422" s="14"/>
      <c r="I422" s="14">
        <f aca="true" t="shared" si="10" ref="I422:I437">SUM(H422/G428*100)</f>
        <v>0</v>
      </c>
    </row>
    <row r="423" spans="1:9" ht="15" hidden="1">
      <c r="A423" s="162" t="s">
        <v>57</v>
      </c>
      <c r="B423" s="370"/>
      <c r="C423" s="113" t="s">
        <v>124</v>
      </c>
      <c r="D423" s="182" t="s">
        <v>122</v>
      </c>
      <c r="E423" s="182" t="s">
        <v>302</v>
      </c>
      <c r="F423" s="197" t="s">
        <v>250</v>
      </c>
      <c r="G423" s="215"/>
      <c r="H423" s="18"/>
      <c r="I423" s="14">
        <f t="shared" si="10"/>
        <v>0</v>
      </c>
    </row>
    <row r="424" spans="1:9" s="26" customFormat="1" ht="28.5" hidden="1">
      <c r="A424" s="156" t="s">
        <v>502</v>
      </c>
      <c r="B424" s="370"/>
      <c r="C424" s="113" t="s">
        <v>124</v>
      </c>
      <c r="D424" s="182" t="s">
        <v>122</v>
      </c>
      <c r="E424" s="182" t="s">
        <v>314</v>
      </c>
      <c r="F424" s="197"/>
      <c r="G424" s="215">
        <f>SUM(G425:G426)</f>
        <v>0</v>
      </c>
      <c r="H424" s="18">
        <v>2421.6</v>
      </c>
      <c r="I424" s="14" t="e">
        <f t="shared" si="10"/>
        <v>#DIV/0!</v>
      </c>
    </row>
    <row r="425" spans="1:10" ht="57" hidden="1">
      <c r="A425" s="162" t="s">
        <v>96</v>
      </c>
      <c r="B425" s="370"/>
      <c r="C425" s="113" t="s">
        <v>124</v>
      </c>
      <c r="D425" s="182" t="s">
        <v>122</v>
      </c>
      <c r="E425" s="182" t="s">
        <v>314</v>
      </c>
      <c r="F425" s="197" t="s">
        <v>313</v>
      </c>
      <c r="G425" s="215"/>
      <c r="H425" s="14" t="e">
        <f>SUM(H426)+#REF!</f>
        <v>#REF!</v>
      </c>
      <c r="I425" s="14" t="e">
        <f t="shared" si="10"/>
        <v>#REF!</v>
      </c>
      <c r="J425"/>
    </row>
    <row r="426" spans="1:10" ht="28.5" hidden="1">
      <c r="A426" s="156" t="s">
        <v>158</v>
      </c>
      <c r="B426" s="370"/>
      <c r="C426" s="113" t="s">
        <v>124</v>
      </c>
      <c r="D426" s="182" t="s">
        <v>122</v>
      </c>
      <c r="E426" s="182" t="s">
        <v>314</v>
      </c>
      <c r="F426" s="197" t="s">
        <v>83</v>
      </c>
      <c r="G426" s="215"/>
      <c r="H426" s="14" t="e">
        <f>SUM(H427)</f>
        <v>#REF!</v>
      </c>
      <c r="I426" s="14" t="e">
        <f t="shared" si="10"/>
        <v>#REF!</v>
      </c>
      <c r="J426"/>
    </row>
    <row r="427" spans="1:10" ht="15">
      <c r="A427" s="156" t="s">
        <v>539</v>
      </c>
      <c r="B427" s="370"/>
      <c r="C427" s="113" t="s">
        <v>124</v>
      </c>
      <c r="D427" s="182" t="s">
        <v>122</v>
      </c>
      <c r="E427" s="182" t="s">
        <v>315</v>
      </c>
      <c r="F427" s="197"/>
      <c r="G427" s="215">
        <f>SUM(G428:G430)</f>
        <v>1200</v>
      </c>
      <c r="H427" s="14" t="e">
        <f>SUM(#REF!)</f>
        <v>#REF!</v>
      </c>
      <c r="I427" s="14" t="e">
        <f t="shared" si="10"/>
        <v>#REF!</v>
      </c>
      <c r="J427"/>
    </row>
    <row r="428" spans="1:11" s="13" customFormat="1" ht="42.75">
      <c r="A428" s="156" t="s">
        <v>518</v>
      </c>
      <c r="B428" s="370"/>
      <c r="C428" s="113" t="s">
        <v>124</v>
      </c>
      <c r="D428" s="182" t="s">
        <v>122</v>
      </c>
      <c r="E428" s="182" t="s">
        <v>315</v>
      </c>
      <c r="F428" s="197" t="s">
        <v>519</v>
      </c>
      <c r="G428" s="215">
        <v>900</v>
      </c>
      <c r="H428" s="17" t="e">
        <f>SUM(H429+#REF!+H477+H482+#REF!+#REF!)</f>
        <v>#REF!</v>
      </c>
      <c r="I428" s="17" t="e">
        <f t="shared" si="10"/>
        <v>#REF!</v>
      </c>
      <c r="J428">
        <f>SUM('ведомствен.2014'!G744)</f>
        <v>900</v>
      </c>
      <c r="K428" s="13">
        <f>SUM(J429:J482)</f>
        <v>39318.299999999996</v>
      </c>
    </row>
    <row r="429" spans="1:10" ht="15">
      <c r="A429" s="156" t="s">
        <v>523</v>
      </c>
      <c r="B429" s="370"/>
      <c r="C429" s="113" t="s">
        <v>124</v>
      </c>
      <c r="D429" s="182" t="s">
        <v>122</v>
      </c>
      <c r="E429" s="182" t="s">
        <v>315</v>
      </c>
      <c r="F429" s="197" t="s">
        <v>120</v>
      </c>
      <c r="G429" s="215">
        <v>300</v>
      </c>
      <c r="H429" s="14">
        <f>SUM(H434+H436)</f>
        <v>49456.8</v>
      </c>
      <c r="I429" s="14">
        <f t="shared" si="10"/>
        <v>772.291884632802</v>
      </c>
      <c r="J429">
        <f>SUM('ведомствен.2014'!G745)</f>
        <v>300</v>
      </c>
    </row>
    <row r="430" spans="1:10" ht="15" hidden="1">
      <c r="A430" s="156" t="s">
        <v>524</v>
      </c>
      <c r="B430" s="370"/>
      <c r="C430" s="113" t="s">
        <v>124</v>
      </c>
      <c r="D430" s="182" t="s">
        <v>122</v>
      </c>
      <c r="E430" s="182" t="s">
        <v>315</v>
      </c>
      <c r="F430" s="197" t="s">
        <v>177</v>
      </c>
      <c r="G430" s="215"/>
      <c r="H430" s="14">
        <f>SUM(H431)</f>
        <v>0</v>
      </c>
      <c r="I430" s="14">
        <f t="shared" si="10"/>
        <v>0</v>
      </c>
      <c r="J430"/>
    </row>
    <row r="431" spans="1:10" ht="28.5" hidden="1">
      <c r="A431" s="156" t="s">
        <v>158</v>
      </c>
      <c r="B431" s="370"/>
      <c r="C431" s="113" t="s">
        <v>124</v>
      </c>
      <c r="D431" s="182" t="s">
        <v>122</v>
      </c>
      <c r="E431" s="182" t="s">
        <v>315</v>
      </c>
      <c r="F431" s="197" t="s">
        <v>83</v>
      </c>
      <c r="G431" s="215"/>
      <c r="H431" s="14">
        <f>SUM(H432)</f>
        <v>0</v>
      </c>
      <c r="I431" s="14">
        <f t="shared" si="10"/>
        <v>0</v>
      </c>
      <c r="J431"/>
    </row>
    <row r="432" spans="1:10" ht="42.75" hidden="1">
      <c r="A432" s="156" t="s">
        <v>518</v>
      </c>
      <c r="B432" s="370"/>
      <c r="C432" s="113" t="s">
        <v>124</v>
      </c>
      <c r="D432" s="182" t="s">
        <v>122</v>
      </c>
      <c r="E432" s="182" t="s">
        <v>315</v>
      </c>
      <c r="F432" s="197" t="s">
        <v>519</v>
      </c>
      <c r="G432" s="215"/>
      <c r="H432" s="14"/>
      <c r="I432" s="14" t="e">
        <f t="shared" si="10"/>
        <v>#DIV/0!</v>
      </c>
      <c r="J432"/>
    </row>
    <row r="433" spans="1:10" ht="15" hidden="1">
      <c r="A433" s="156" t="s">
        <v>523</v>
      </c>
      <c r="B433" s="370"/>
      <c r="C433" s="113" t="s">
        <v>124</v>
      </c>
      <c r="D433" s="182" t="s">
        <v>122</v>
      </c>
      <c r="E433" s="182" t="s">
        <v>315</v>
      </c>
      <c r="F433" s="197" t="s">
        <v>120</v>
      </c>
      <c r="G433" s="215"/>
      <c r="H433" s="14">
        <f>SUM(H434)</f>
        <v>146.8</v>
      </c>
      <c r="I433" s="14" t="e">
        <f t="shared" si="10"/>
        <v>#DIV/0!</v>
      </c>
      <c r="J433"/>
    </row>
    <row r="434" spans="1:12" ht="15">
      <c r="A434" s="159" t="s">
        <v>331</v>
      </c>
      <c r="B434" s="370"/>
      <c r="C434" s="203" t="s">
        <v>304</v>
      </c>
      <c r="D434" s="185"/>
      <c r="E434" s="185"/>
      <c r="F434" s="200"/>
      <c r="G434" s="217">
        <f>SUM(G435+G446+G467+G475)</f>
        <v>41884.100000000006</v>
      </c>
      <c r="H434" s="14">
        <f>SUM(H435)</f>
        <v>146.8</v>
      </c>
      <c r="I434" s="14" t="e">
        <f t="shared" si="10"/>
        <v>#DIV/0!</v>
      </c>
      <c r="J434"/>
      <c r="K434" s="37">
        <f>SUM(J439:J485)</f>
        <v>41884.1</v>
      </c>
      <c r="L434">
        <f>SUM('ведомствен.2014'!G749)</f>
        <v>41884.100000000006</v>
      </c>
    </row>
    <row r="435" spans="1:12" ht="15">
      <c r="A435" s="156" t="s">
        <v>179</v>
      </c>
      <c r="B435" s="367"/>
      <c r="C435" s="113" t="s">
        <v>304</v>
      </c>
      <c r="D435" s="182" t="s">
        <v>466</v>
      </c>
      <c r="E435" s="182"/>
      <c r="F435" s="197"/>
      <c r="G435" s="215">
        <f>SUM(G436)</f>
        <v>6403.9</v>
      </c>
      <c r="H435" s="14">
        <v>146.8</v>
      </c>
      <c r="I435" s="14" t="e">
        <f t="shared" si="10"/>
        <v>#DIV/0!</v>
      </c>
      <c r="J435"/>
      <c r="L435" s="37">
        <f>SUM(L434-K434)</f>
        <v>7.275957614183426E-12</v>
      </c>
    </row>
    <row r="436" spans="1:10" ht="15">
      <c r="A436" s="156" t="s">
        <v>203</v>
      </c>
      <c r="B436" s="367"/>
      <c r="C436" s="113" t="s">
        <v>304</v>
      </c>
      <c r="D436" s="182" t="s">
        <v>466</v>
      </c>
      <c r="E436" s="182" t="s">
        <v>183</v>
      </c>
      <c r="F436" s="197"/>
      <c r="G436" s="216">
        <f>SUM(G437)</f>
        <v>6403.9</v>
      </c>
      <c r="H436" s="14">
        <f>SUM(H437)</f>
        <v>49310</v>
      </c>
      <c r="I436" s="14" t="e">
        <f t="shared" si="10"/>
        <v>#DIV/0!</v>
      </c>
      <c r="J436"/>
    </row>
    <row r="437" spans="1:10" ht="28.5">
      <c r="A437" s="156" t="s">
        <v>95</v>
      </c>
      <c r="B437" s="370"/>
      <c r="C437" s="113" t="s">
        <v>304</v>
      </c>
      <c r="D437" s="182" t="s">
        <v>466</v>
      </c>
      <c r="E437" s="182" t="s">
        <v>84</v>
      </c>
      <c r="F437" s="197"/>
      <c r="G437" s="215">
        <f>SUM(G445)+G438</f>
        <v>6403.9</v>
      </c>
      <c r="H437" s="14">
        <f>SUM(H444:H446)</f>
        <v>49310</v>
      </c>
      <c r="I437" s="14" t="e">
        <f t="shared" si="10"/>
        <v>#DIV/0!</v>
      </c>
      <c r="J437"/>
    </row>
    <row r="438" spans="1:9" ht="28.5" hidden="1">
      <c r="A438" s="162" t="s">
        <v>158</v>
      </c>
      <c r="B438" s="370"/>
      <c r="C438" s="113" t="s">
        <v>304</v>
      </c>
      <c r="D438" s="182" t="s">
        <v>466</v>
      </c>
      <c r="E438" s="182" t="s">
        <v>141</v>
      </c>
      <c r="F438" s="197"/>
      <c r="G438" s="215">
        <f>SUM(G440+G442)</f>
        <v>0</v>
      </c>
      <c r="H438" s="14"/>
      <c r="I438" s="14"/>
    </row>
    <row r="439" spans="1:9" ht="28.5" hidden="1">
      <c r="A439" s="162" t="s">
        <v>143</v>
      </c>
      <c r="B439" s="370"/>
      <c r="C439" s="113" t="s">
        <v>304</v>
      </c>
      <c r="D439" s="182" t="s">
        <v>466</v>
      </c>
      <c r="E439" s="182" t="s">
        <v>141</v>
      </c>
      <c r="F439" s="197" t="s">
        <v>83</v>
      </c>
      <c r="G439" s="215"/>
      <c r="H439" s="14"/>
      <c r="I439" s="14"/>
    </row>
    <row r="440" spans="1:9" ht="28.5" hidden="1">
      <c r="A440" s="162" t="s">
        <v>419</v>
      </c>
      <c r="B440" s="370"/>
      <c r="C440" s="113" t="s">
        <v>304</v>
      </c>
      <c r="D440" s="182" t="s">
        <v>466</v>
      </c>
      <c r="E440" s="182" t="s">
        <v>142</v>
      </c>
      <c r="F440" s="197"/>
      <c r="G440" s="215">
        <f>SUM(G441)</f>
        <v>0</v>
      </c>
      <c r="H440" s="14"/>
      <c r="I440" s="14"/>
    </row>
    <row r="441" spans="1:9" ht="28.5" hidden="1">
      <c r="A441" s="162" t="s">
        <v>143</v>
      </c>
      <c r="B441" s="370"/>
      <c r="C441" s="113" t="s">
        <v>304</v>
      </c>
      <c r="D441" s="182" t="s">
        <v>466</v>
      </c>
      <c r="E441" s="182" t="s">
        <v>142</v>
      </c>
      <c r="F441" s="197" t="s">
        <v>83</v>
      </c>
      <c r="G441" s="215"/>
      <c r="H441" s="14"/>
      <c r="I441" s="14"/>
    </row>
    <row r="442" spans="1:10" ht="28.5" hidden="1">
      <c r="A442" s="156" t="s">
        <v>216</v>
      </c>
      <c r="B442" s="370"/>
      <c r="C442" s="113" t="s">
        <v>304</v>
      </c>
      <c r="D442" s="182" t="s">
        <v>466</v>
      </c>
      <c r="E442" s="182" t="s">
        <v>219</v>
      </c>
      <c r="F442" s="197"/>
      <c r="G442" s="215">
        <f>SUM(G443)</f>
        <v>0</v>
      </c>
      <c r="H442" s="14"/>
      <c r="I442" s="14"/>
      <c r="J442"/>
    </row>
    <row r="443" spans="1:10" ht="28.5" hidden="1">
      <c r="A443" s="156" t="s">
        <v>158</v>
      </c>
      <c r="B443" s="370"/>
      <c r="C443" s="113" t="s">
        <v>304</v>
      </c>
      <c r="D443" s="182" t="s">
        <v>466</v>
      </c>
      <c r="E443" s="182" t="s">
        <v>219</v>
      </c>
      <c r="F443" s="197" t="s">
        <v>83</v>
      </c>
      <c r="G443" s="215"/>
      <c r="H443" s="14"/>
      <c r="I443" s="14"/>
      <c r="J443"/>
    </row>
    <row r="444" spans="1:9" ht="28.5">
      <c r="A444" s="156" t="s">
        <v>306</v>
      </c>
      <c r="B444" s="370"/>
      <c r="C444" s="113" t="s">
        <v>304</v>
      </c>
      <c r="D444" s="182" t="s">
        <v>466</v>
      </c>
      <c r="E444" s="182" t="s">
        <v>305</v>
      </c>
      <c r="F444" s="197"/>
      <c r="G444" s="215">
        <f>SUM(G445)</f>
        <v>6403.9</v>
      </c>
      <c r="H444" s="14">
        <v>49310</v>
      </c>
      <c r="I444" s="14" t="e">
        <f>SUM(H444/G450*100)</f>
        <v>#DIV/0!</v>
      </c>
    </row>
    <row r="445" spans="1:10" ht="28.5">
      <c r="A445" s="162" t="s">
        <v>540</v>
      </c>
      <c r="B445" s="380"/>
      <c r="C445" s="113" t="s">
        <v>304</v>
      </c>
      <c r="D445" s="182" t="s">
        <v>466</v>
      </c>
      <c r="E445" s="182" t="s">
        <v>305</v>
      </c>
      <c r="F445" s="198" t="s">
        <v>536</v>
      </c>
      <c r="G445" s="215">
        <v>6403.9</v>
      </c>
      <c r="H445" s="14"/>
      <c r="I445" s="14" t="e">
        <f>SUM(H445/G451*100)</f>
        <v>#DIV/0!</v>
      </c>
      <c r="J445" s="37">
        <f>SUM('ведомствен.2014'!G760)</f>
        <v>6403.9</v>
      </c>
    </row>
    <row r="446" spans="1:10" ht="15">
      <c r="A446" s="156" t="s">
        <v>244</v>
      </c>
      <c r="B446" s="367"/>
      <c r="C446" s="113" t="s">
        <v>304</v>
      </c>
      <c r="D446" s="182" t="s">
        <v>468</v>
      </c>
      <c r="E446" s="182"/>
      <c r="F446" s="197"/>
      <c r="G446" s="215">
        <f>SUM(G447+G456)</f>
        <v>19210.5</v>
      </c>
      <c r="H446" s="14"/>
      <c r="I446" s="14" t="e">
        <f>SUM(H446/G452*100)</f>
        <v>#DIV/0!</v>
      </c>
      <c r="J446"/>
    </row>
    <row r="447" spans="1:10" ht="15">
      <c r="A447" s="156" t="s">
        <v>203</v>
      </c>
      <c r="B447" s="367"/>
      <c r="C447" s="113" t="s">
        <v>304</v>
      </c>
      <c r="D447" s="182" t="s">
        <v>468</v>
      </c>
      <c r="E447" s="182" t="s">
        <v>183</v>
      </c>
      <c r="F447" s="197"/>
      <c r="G447" s="215">
        <f>SUM(G448)</f>
        <v>7921.1</v>
      </c>
      <c r="H447" s="14">
        <f>SUM(H448)</f>
        <v>21823.6</v>
      </c>
      <c r="I447" s="14" t="e">
        <f>SUM(H447/G453*100)</f>
        <v>#DIV/0!</v>
      </c>
      <c r="J447"/>
    </row>
    <row r="448" spans="1:10" ht="28.5">
      <c r="A448" s="156" t="s">
        <v>95</v>
      </c>
      <c r="B448" s="370"/>
      <c r="C448" s="113" t="s">
        <v>304</v>
      </c>
      <c r="D448" s="182" t="s">
        <v>468</v>
      </c>
      <c r="E448" s="182" t="s">
        <v>84</v>
      </c>
      <c r="F448" s="197"/>
      <c r="G448" s="215">
        <f>SUM(G449+G454)</f>
        <v>7921.1</v>
      </c>
      <c r="H448" s="14">
        <f>SUM(H454:H456)</f>
        <v>21823.6</v>
      </c>
      <c r="I448" s="14">
        <f>SUM(H448/G454*100)</f>
        <v>275.5122394616909</v>
      </c>
      <c r="J448"/>
    </row>
    <row r="449" spans="1:10" ht="28.5" hidden="1">
      <c r="A449" s="162" t="s">
        <v>158</v>
      </c>
      <c r="B449" s="370"/>
      <c r="C449" s="113" t="s">
        <v>304</v>
      </c>
      <c r="D449" s="182" t="s">
        <v>468</v>
      </c>
      <c r="E449" s="182" t="s">
        <v>141</v>
      </c>
      <c r="F449" s="197"/>
      <c r="G449" s="215">
        <f>SUM(G452)+G450</f>
        <v>0</v>
      </c>
      <c r="H449" s="14"/>
      <c r="I449" s="14"/>
      <c r="J449"/>
    </row>
    <row r="450" spans="1:9" ht="28.5" hidden="1">
      <c r="A450" s="162" t="s">
        <v>419</v>
      </c>
      <c r="B450" s="370"/>
      <c r="C450" s="113" t="s">
        <v>304</v>
      </c>
      <c r="D450" s="182" t="s">
        <v>468</v>
      </c>
      <c r="E450" s="182" t="s">
        <v>142</v>
      </c>
      <c r="F450" s="197"/>
      <c r="G450" s="215">
        <f>SUM(G451)</f>
        <v>0</v>
      </c>
      <c r="H450" s="14"/>
      <c r="I450" s="14"/>
    </row>
    <row r="451" spans="1:9" ht="28.5" hidden="1">
      <c r="A451" s="162" t="s">
        <v>143</v>
      </c>
      <c r="B451" s="370"/>
      <c r="C451" s="113" t="s">
        <v>304</v>
      </c>
      <c r="D451" s="182" t="s">
        <v>468</v>
      </c>
      <c r="E451" s="182" t="s">
        <v>142</v>
      </c>
      <c r="F451" s="197" t="s">
        <v>83</v>
      </c>
      <c r="G451" s="215"/>
      <c r="H451" s="14"/>
      <c r="I451" s="14"/>
    </row>
    <row r="452" spans="1:9" ht="28.5" hidden="1">
      <c r="A452" s="156" t="s">
        <v>216</v>
      </c>
      <c r="B452" s="370"/>
      <c r="C452" s="113" t="s">
        <v>304</v>
      </c>
      <c r="D452" s="182" t="s">
        <v>468</v>
      </c>
      <c r="E452" s="182" t="s">
        <v>219</v>
      </c>
      <c r="F452" s="197"/>
      <c r="G452" s="215">
        <f>SUM(G453)</f>
        <v>0</v>
      </c>
      <c r="H452" s="14"/>
      <c r="I452" s="14"/>
    </row>
    <row r="453" spans="1:9" ht="28.5" hidden="1">
      <c r="A453" s="162" t="s">
        <v>143</v>
      </c>
      <c r="B453" s="370"/>
      <c r="C453" s="113" t="s">
        <v>304</v>
      </c>
      <c r="D453" s="182" t="s">
        <v>468</v>
      </c>
      <c r="E453" s="182" t="s">
        <v>219</v>
      </c>
      <c r="F453" s="197" t="s">
        <v>83</v>
      </c>
      <c r="G453" s="215"/>
      <c r="H453" s="14"/>
      <c r="I453" s="14"/>
    </row>
    <row r="454" spans="1:9" ht="28.5">
      <c r="A454" s="156" t="s">
        <v>306</v>
      </c>
      <c r="B454" s="370"/>
      <c r="C454" s="113" t="s">
        <v>304</v>
      </c>
      <c r="D454" s="182" t="s">
        <v>468</v>
      </c>
      <c r="E454" s="182" t="s">
        <v>305</v>
      </c>
      <c r="F454" s="197"/>
      <c r="G454" s="215">
        <f>SUM(G455)</f>
        <v>7921.1</v>
      </c>
      <c r="H454" s="14">
        <v>21823.6</v>
      </c>
      <c r="I454" s="14">
        <f>SUM(H454/G460*100)</f>
        <v>37369.17808219178</v>
      </c>
    </row>
    <row r="455" spans="1:10" ht="28.5">
      <c r="A455" s="162" t="s">
        <v>540</v>
      </c>
      <c r="B455" s="380"/>
      <c r="C455" s="113" t="s">
        <v>304</v>
      </c>
      <c r="D455" s="182" t="s">
        <v>468</v>
      </c>
      <c r="E455" s="182" t="s">
        <v>305</v>
      </c>
      <c r="F455" s="198" t="s">
        <v>536</v>
      </c>
      <c r="G455" s="215">
        <v>7921.1</v>
      </c>
      <c r="H455" s="14"/>
      <c r="I455" s="14" t="e">
        <f>SUM(H455/G461*100)</f>
        <v>#DIV/0!</v>
      </c>
      <c r="J455" s="37">
        <f>SUM('ведомствен.2014'!G770)</f>
        <v>7921.1</v>
      </c>
    </row>
    <row r="456" spans="1:10" ht="15">
      <c r="A456" s="156" t="s">
        <v>245</v>
      </c>
      <c r="B456" s="367"/>
      <c r="C456" s="113" t="s">
        <v>304</v>
      </c>
      <c r="D456" s="182" t="s">
        <v>468</v>
      </c>
      <c r="E456" s="182" t="s">
        <v>246</v>
      </c>
      <c r="F456" s="197"/>
      <c r="G456" s="215">
        <f>SUM(G457)</f>
        <v>11289.4</v>
      </c>
      <c r="H456" s="14"/>
      <c r="I456" s="14" t="e">
        <f>SUM(H456/G462*100)</f>
        <v>#DIV/0!</v>
      </c>
      <c r="J456"/>
    </row>
    <row r="457" spans="1:10" ht="28.5">
      <c r="A457" s="156" t="s">
        <v>95</v>
      </c>
      <c r="B457" s="367"/>
      <c r="C457" s="113" t="s">
        <v>304</v>
      </c>
      <c r="D457" s="182" t="s">
        <v>468</v>
      </c>
      <c r="E457" s="182" t="s">
        <v>307</v>
      </c>
      <c r="F457" s="197"/>
      <c r="G457" s="215">
        <f>SUM(G465:G465)+G458</f>
        <v>11289.4</v>
      </c>
      <c r="H457" s="14"/>
      <c r="I457" s="14"/>
      <c r="J457"/>
    </row>
    <row r="458" spans="1:10" ht="28.5">
      <c r="A458" s="162" t="s">
        <v>158</v>
      </c>
      <c r="B458" s="367"/>
      <c r="C458" s="113" t="s">
        <v>304</v>
      </c>
      <c r="D458" s="182" t="s">
        <v>468</v>
      </c>
      <c r="E458" s="182" t="s">
        <v>220</v>
      </c>
      <c r="F458" s="197"/>
      <c r="G458" s="215">
        <f>SUM(G459)+G461+G463</f>
        <v>100</v>
      </c>
      <c r="H458" s="14"/>
      <c r="I458" s="14"/>
      <c r="J458"/>
    </row>
    <row r="459" spans="1:10" ht="28.5">
      <c r="A459" s="162" t="s">
        <v>144</v>
      </c>
      <c r="B459" s="370"/>
      <c r="C459" s="113" t="s">
        <v>304</v>
      </c>
      <c r="D459" s="182" t="s">
        <v>468</v>
      </c>
      <c r="E459" s="182" t="s">
        <v>145</v>
      </c>
      <c r="F459" s="197"/>
      <c r="G459" s="215">
        <f>SUM(G460)</f>
        <v>58.4</v>
      </c>
      <c r="H459" s="14"/>
      <c r="I459" s="14"/>
      <c r="J459"/>
    </row>
    <row r="460" spans="1:10" ht="27.75" customHeight="1">
      <c r="A460" s="162" t="s">
        <v>540</v>
      </c>
      <c r="B460" s="380"/>
      <c r="C460" s="113" t="s">
        <v>304</v>
      </c>
      <c r="D460" s="182" t="s">
        <v>468</v>
      </c>
      <c r="E460" s="182" t="s">
        <v>145</v>
      </c>
      <c r="F460" s="198" t="s">
        <v>536</v>
      </c>
      <c r="G460" s="215">
        <v>58.4</v>
      </c>
      <c r="H460" s="14"/>
      <c r="I460" s="14"/>
      <c r="J460" s="37">
        <f>SUM('ведомствен.2014'!G775)</f>
        <v>58.4</v>
      </c>
    </row>
    <row r="461" spans="1:10" ht="28.5" hidden="1">
      <c r="A461" s="162" t="s">
        <v>419</v>
      </c>
      <c r="B461" s="370"/>
      <c r="C461" s="113" t="s">
        <v>304</v>
      </c>
      <c r="D461" s="182" t="s">
        <v>468</v>
      </c>
      <c r="E461" s="182" t="s">
        <v>508</v>
      </c>
      <c r="F461" s="197"/>
      <c r="G461" s="215">
        <f>SUM(G462)</f>
        <v>0</v>
      </c>
      <c r="H461" s="14"/>
      <c r="I461" s="14"/>
      <c r="J461"/>
    </row>
    <row r="462" spans="1:10" ht="28.5" hidden="1">
      <c r="A462" s="162" t="s">
        <v>143</v>
      </c>
      <c r="B462" s="370"/>
      <c r="C462" s="113" t="s">
        <v>304</v>
      </c>
      <c r="D462" s="182" t="s">
        <v>468</v>
      </c>
      <c r="E462" s="182" t="s">
        <v>508</v>
      </c>
      <c r="F462" s="197" t="s">
        <v>83</v>
      </c>
      <c r="G462" s="215"/>
      <c r="H462" s="14"/>
      <c r="I462" s="14"/>
      <c r="J462"/>
    </row>
    <row r="463" spans="1:10" ht="28.5">
      <c r="A463" s="271" t="s">
        <v>154</v>
      </c>
      <c r="B463" s="386"/>
      <c r="C463" s="113" t="s">
        <v>304</v>
      </c>
      <c r="D463" s="182" t="s">
        <v>468</v>
      </c>
      <c r="E463" s="182" t="s">
        <v>674</v>
      </c>
      <c r="F463" s="198"/>
      <c r="G463" s="215">
        <f>SUM(G464)</f>
        <v>41.6</v>
      </c>
      <c r="H463" s="14"/>
      <c r="I463" s="14"/>
      <c r="J463"/>
    </row>
    <row r="464" spans="1:10" ht="28.5">
      <c r="A464" s="162" t="s">
        <v>540</v>
      </c>
      <c r="B464" s="386"/>
      <c r="C464" s="113" t="s">
        <v>304</v>
      </c>
      <c r="D464" s="182" t="s">
        <v>468</v>
      </c>
      <c r="E464" s="182" t="s">
        <v>674</v>
      </c>
      <c r="F464" s="198" t="s">
        <v>536</v>
      </c>
      <c r="G464" s="215">
        <v>41.6</v>
      </c>
      <c r="H464" s="14"/>
      <c r="I464" s="14"/>
      <c r="J464">
        <f>SUM('ведомствен.2014'!G779)</f>
        <v>41.6</v>
      </c>
    </row>
    <row r="465" spans="1:9" ht="28.5">
      <c r="A465" s="162" t="s">
        <v>306</v>
      </c>
      <c r="B465" s="367"/>
      <c r="C465" s="113" t="s">
        <v>304</v>
      </c>
      <c r="D465" s="182" t="s">
        <v>468</v>
      </c>
      <c r="E465" s="182" t="s">
        <v>308</v>
      </c>
      <c r="F465" s="197"/>
      <c r="G465" s="215">
        <f>SUM(G466)</f>
        <v>11189.4</v>
      </c>
      <c r="H465" s="14">
        <v>7467.6</v>
      </c>
      <c r="I465" s="14">
        <f aca="true" t="shared" si="11" ref="I465:I476">SUM(H465/G471*100)</f>
        <v>1408.715336728919</v>
      </c>
    </row>
    <row r="466" spans="1:10" ht="28.5">
      <c r="A466" s="162" t="s">
        <v>540</v>
      </c>
      <c r="B466" s="380"/>
      <c r="C466" s="113" t="s">
        <v>304</v>
      </c>
      <c r="D466" s="182" t="s">
        <v>468</v>
      </c>
      <c r="E466" s="182" t="s">
        <v>308</v>
      </c>
      <c r="F466" s="198" t="s">
        <v>536</v>
      </c>
      <c r="G466" s="215">
        <v>11189.4</v>
      </c>
      <c r="H466" s="14"/>
      <c r="I466" s="14">
        <f t="shared" si="11"/>
        <v>0</v>
      </c>
      <c r="J466" s="37">
        <f>SUM('ведомствен.2014'!G781)</f>
        <v>11189.4</v>
      </c>
    </row>
    <row r="467" spans="1:9" ht="15">
      <c r="A467" s="162" t="s">
        <v>247</v>
      </c>
      <c r="B467" s="367"/>
      <c r="C467" s="113" t="s">
        <v>304</v>
      </c>
      <c r="D467" s="182" t="s">
        <v>122</v>
      </c>
      <c r="E467" s="182"/>
      <c r="F467" s="197"/>
      <c r="G467" s="215">
        <f>SUM(G470+G473)</f>
        <v>530.1</v>
      </c>
      <c r="H467" s="14" t="e">
        <f>SUM(#REF!)</f>
        <v>#REF!</v>
      </c>
      <c r="I467" s="14" t="e">
        <f t="shared" si="11"/>
        <v>#REF!</v>
      </c>
    </row>
    <row r="468" spans="1:10" ht="15" hidden="1">
      <c r="A468" s="162" t="s">
        <v>392</v>
      </c>
      <c r="B468" s="367"/>
      <c r="C468" s="113" t="s">
        <v>304</v>
      </c>
      <c r="D468" s="182" t="s">
        <v>122</v>
      </c>
      <c r="E468" s="182" t="s">
        <v>393</v>
      </c>
      <c r="F468" s="197"/>
      <c r="G468" s="215">
        <f>SUM(G469)</f>
        <v>0</v>
      </c>
      <c r="H468" s="14">
        <f>SUM(H469)</f>
        <v>1817.2</v>
      </c>
      <c r="I468" s="14" t="e">
        <f t="shared" si="11"/>
        <v>#DIV/0!</v>
      </c>
      <c r="J468"/>
    </row>
    <row r="469" spans="1:10" ht="15" hidden="1">
      <c r="A469" s="162" t="s">
        <v>249</v>
      </c>
      <c r="B469" s="367"/>
      <c r="C469" s="113" t="s">
        <v>304</v>
      </c>
      <c r="D469" s="182" t="s">
        <v>122</v>
      </c>
      <c r="E469" s="182" t="s">
        <v>393</v>
      </c>
      <c r="F469" s="197" t="s">
        <v>250</v>
      </c>
      <c r="G469" s="215"/>
      <c r="H469" s="14">
        <f>SUM(H470:H471)</f>
        <v>1817.2</v>
      </c>
      <c r="I469" s="14">
        <f t="shared" si="11"/>
        <v>11.545401407913795</v>
      </c>
      <c r="J469"/>
    </row>
    <row r="470" spans="1:9" ht="28.5">
      <c r="A470" s="156" t="s">
        <v>95</v>
      </c>
      <c r="B470" s="367"/>
      <c r="C470" s="113" t="s">
        <v>304</v>
      </c>
      <c r="D470" s="182" t="s">
        <v>122</v>
      </c>
      <c r="E470" s="182" t="s">
        <v>537</v>
      </c>
      <c r="F470" s="197"/>
      <c r="G470" s="215">
        <f>SUM(G471)</f>
        <v>530.1</v>
      </c>
      <c r="H470" s="14">
        <v>1817.2</v>
      </c>
      <c r="I470" s="14" t="e">
        <f t="shared" si="11"/>
        <v>#DIV/0!</v>
      </c>
    </row>
    <row r="471" spans="1:9" ht="28.5">
      <c r="A471" s="162" t="s">
        <v>306</v>
      </c>
      <c r="B471" s="367"/>
      <c r="C471" s="113" t="s">
        <v>304</v>
      </c>
      <c r="D471" s="182" t="s">
        <v>122</v>
      </c>
      <c r="E471" s="182" t="s">
        <v>538</v>
      </c>
      <c r="F471" s="197"/>
      <c r="G471" s="215">
        <f>SUM(G472)</f>
        <v>530.1</v>
      </c>
      <c r="H471" s="14"/>
      <c r="I471" s="14" t="e">
        <f t="shared" si="11"/>
        <v>#DIV/0!</v>
      </c>
    </row>
    <row r="472" spans="1:10" ht="28.5">
      <c r="A472" s="162" t="s">
        <v>540</v>
      </c>
      <c r="B472" s="380"/>
      <c r="C472" s="113" t="s">
        <v>304</v>
      </c>
      <c r="D472" s="182" t="s">
        <v>122</v>
      </c>
      <c r="E472" s="182" t="s">
        <v>538</v>
      </c>
      <c r="F472" s="198" t="s">
        <v>536</v>
      </c>
      <c r="G472" s="215">
        <v>530.1</v>
      </c>
      <c r="H472" s="14"/>
      <c r="I472" s="14">
        <f t="shared" si="11"/>
        <v>0</v>
      </c>
      <c r="J472" s="37">
        <f>SUM('ведомствен.2014'!G787)</f>
        <v>530.1</v>
      </c>
    </row>
    <row r="473" spans="1:10" ht="15" hidden="1">
      <c r="A473" s="157" t="s">
        <v>3</v>
      </c>
      <c r="B473" s="367"/>
      <c r="C473" s="113" t="s">
        <v>304</v>
      </c>
      <c r="D473" s="182" t="s">
        <v>466</v>
      </c>
      <c r="E473" s="182" t="s">
        <v>270</v>
      </c>
      <c r="F473" s="196"/>
      <c r="G473" s="215">
        <f>SUM(G474)</f>
        <v>0</v>
      </c>
      <c r="H473" s="14" t="e">
        <f>SUM(#REF!)</f>
        <v>#REF!</v>
      </c>
      <c r="I473" s="14" t="e">
        <f t="shared" si="11"/>
        <v>#REF!</v>
      </c>
      <c r="J473"/>
    </row>
    <row r="474" spans="1:10" ht="28.5" hidden="1">
      <c r="A474" s="156" t="s">
        <v>351</v>
      </c>
      <c r="B474" s="367"/>
      <c r="C474" s="113" t="s">
        <v>304</v>
      </c>
      <c r="D474" s="182" t="s">
        <v>466</v>
      </c>
      <c r="E474" s="182" t="s">
        <v>270</v>
      </c>
      <c r="F474" s="196" t="s">
        <v>271</v>
      </c>
      <c r="G474" s="215"/>
      <c r="H474" s="14">
        <f>SUM(H475)</f>
        <v>340</v>
      </c>
      <c r="I474" s="14">
        <f t="shared" si="11"/>
        <v>2.997522635704021</v>
      </c>
      <c r="J474"/>
    </row>
    <row r="475" spans="1:10" ht="15">
      <c r="A475" s="157" t="s">
        <v>243</v>
      </c>
      <c r="B475" s="368"/>
      <c r="C475" s="113" t="s">
        <v>304</v>
      </c>
      <c r="D475" s="182" t="s">
        <v>304</v>
      </c>
      <c r="E475" s="182"/>
      <c r="F475" s="197"/>
      <c r="G475" s="215">
        <f>SUM(G478)+G483</f>
        <v>15739.600000000002</v>
      </c>
      <c r="H475" s="14">
        <f>SUM(H476)</f>
        <v>340</v>
      </c>
      <c r="I475" s="14">
        <f t="shared" si="11"/>
        <v>22.91722836344028</v>
      </c>
      <c r="J475"/>
    </row>
    <row r="476" spans="1:9" ht="42.75" hidden="1">
      <c r="A476" s="157" t="s">
        <v>222</v>
      </c>
      <c r="B476" s="368"/>
      <c r="C476" s="113" t="s">
        <v>304</v>
      </c>
      <c r="D476" s="182" t="s">
        <v>304</v>
      </c>
      <c r="E476" s="182" t="s">
        <v>223</v>
      </c>
      <c r="F476" s="197"/>
      <c r="G476" s="215">
        <f>SUM(G477)</f>
        <v>0</v>
      </c>
      <c r="H476" s="14">
        <v>340</v>
      </c>
      <c r="I476" s="14">
        <f t="shared" si="11"/>
        <v>715.7894736842105</v>
      </c>
    </row>
    <row r="477" spans="1:10" ht="28.5" hidden="1">
      <c r="A477" s="162" t="s">
        <v>158</v>
      </c>
      <c r="B477" s="368"/>
      <c r="C477" s="113" t="s">
        <v>304</v>
      </c>
      <c r="D477" s="182" t="s">
        <v>304</v>
      </c>
      <c r="E477" s="182" t="s">
        <v>223</v>
      </c>
      <c r="F477" s="197" t="s">
        <v>83</v>
      </c>
      <c r="G477" s="215"/>
      <c r="H477" s="14">
        <f>SUM(H478)</f>
        <v>9494.7</v>
      </c>
      <c r="I477" s="14" t="e">
        <f>SUM(H477/#REF!*100)</f>
        <v>#REF!</v>
      </c>
      <c r="J477"/>
    </row>
    <row r="478" spans="1:10" ht="28.5">
      <c r="A478" s="157" t="s">
        <v>180</v>
      </c>
      <c r="B478" s="367"/>
      <c r="C478" s="113" t="s">
        <v>304</v>
      </c>
      <c r="D478" s="182" t="s">
        <v>304</v>
      </c>
      <c r="E478" s="182" t="s">
        <v>181</v>
      </c>
      <c r="F478" s="197"/>
      <c r="G478" s="215">
        <f>SUM(G479)</f>
        <v>12873.800000000001</v>
      </c>
      <c r="H478" s="14">
        <f>SUM(H479)</f>
        <v>9494.7</v>
      </c>
      <c r="I478" s="14" t="e">
        <f>SUM(H478/#REF!*100)</f>
        <v>#REF!</v>
      </c>
      <c r="J478"/>
    </row>
    <row r="479" spans="1:10" ht="28.5">
      <c r="A479" s="156" t="s">
        <v>56</v>
      </c>
      <c r="B479" s="367"/>
      <c r="C479" s="113" t="s">
        <v>304</v>
      </c>
      <c r="D479" s="182" t="s">
        <v>304</v>
      </c>
      <c r="E479" s="182" t="s">
        <v>182</v>
      </c>
      <c r="F479" s="197"/>
      <c r="G479" s="215">
        <f>SUM(G480:G482)</f>
        <v>12873.800000000001</v>
      </c>
      <c r="H479" s="14">
        <f>SUM(H480:H481)</f>
        <v>9494.7</v>
      </c>
      <c r="I479" s="14" t="e">
        <f>SUM(H479/#REF!*100)</f>
        <v>#REF!</v>
      </c>
      <c r="J479"/>
    </row>
    <row r="480" spans="1:10" ht="42.75">
      <c r="A480" s="156" t="s">
        <v>518</v>
      </c>
      <c r="B480" s="367"/>
      <c r="C480" s="113" t="s">
        <v>304</v>
      </c>
      <c r="D480" s="182" t="s">
        <v>304</v>
      </c>
      <c r="E480" s="182" t="s">
        <v>182</v>
      </c>
      <c r="F480" s="196" t="s">
        <v>519</v>
      </c>
      <c r="G480" s="215">
        <v>11342.7</v>
      </c>
      <c r="H480" s="14">
        <v>9494.7</v>
      </c>
      <c r="I480" s="14" t="e">
        <f>SUM(H480/#REF!*100)</f>
        <v>#REF!</v>
      </c>
      <c r="J480" s="37">
        <f>SUM('ведомствен.2014'!G795)</f>
        <v>11342.7</v>
      </c>
    </row>
    <row r="481" spans="1:10" ht="15">
      <c r="A481" s="156" t="s">
        <v>523</v>
      </c>
      <c r="B481" s="367"/>
      <c r="C481" s="113" t="s">
        <v>304</v>
      </c>
      <c r="D481" s="182" t="s">
        <v>304</v>
      </c>
      <c r="E481" s="182" t="s">
        <v>182</v>
      </c>
      <c r="F481" s="196" t="s">
        <v>120</v>
      </c>
      <c r="G481" s="216">
        <v>1483.6</v>
      </c>
      <c r="H481" s="14"/>
      <c r="I481" s="14" t="e">
        <f>SUM(H481/#REF!*100)</f>
        <v>#REF!</v>
      </c>
      <c r="J481" s="37">
        <f>SUM('ведомствен.2014'!G796)</f>
        <v>1483.6</v>
      </c>
    </row>
    <row r="482" spans="1:10" ht="15">
      <c r="A482" s="156" t="s">
        <v>524</v>
      </c>
      <c r="B482" s="367"/>
      <c r="C482" s="113" t="s">
        <v>304</v>
      </c>
      <c r="D482" s="182" t="s">
        <v>304</v>
      </c>
      <c r="E482" s="182" t="s">
        <v>182</v>
      </c>
      <c r="F482" s="197" t="s">
        <v>177</v>
      </c>
      <c r="G482" s="215">
        <v>47.5</v>
      </c>
      <c r="H482" s="14" t="e">
        <f>SUM(#REF!+#REF!+#REF!)</f>
        <v>#REF!</v>
      </c>
      <c r="I482" s="14" t="e">
        <f>SUM(H482/#REF!*100)</f>
        <v>#REF!</v>
      </c>
      <c r="J482" s="37">
        <f>SUM('ведомствен.2014'!G797)</f>
        <v>47.5</v>
      </c>
    </row>
    <row r="483" spans="1:9" ht="15">
      <c r="A483" s="162" t="s">
        <v>128</v>
      </c>
      <c r="B483" s="165"/>
      <c r="C483" s="113" t="s">
        <v>304</v>
      </c>
      <c r="D483" s="182" t="s">
        <v>304</v>
      </c>
      <c r="E483" s="182" t="s">
        <v>129</v>
      </c>
      <c r="F483" s="197"/>
      <c r="G483" s="215">
        <f>SUM(G484)</f>
        <v>2865.8</v>
      </c>
      <c r="H483" s="14"/>
      <c r="I483" s="14"/>
    </row>
    <row r="484" spans="1:9" ht="42.75">
      <c r="A484" s="156" t="s">
        <v>675</v>
      </c>
      <c r="B484" s="165"/>
      <c r="C484" s="113" t="s">
        <v>304</v>
      </c>
      <c r="D484" s="182" t="s">
        <v>304</v>
      </c>
      <c r="E484" s="182" t="s">
        <v>676</v>
      </c>
      <c r="F484" s="197"/>
      <c r="G484" s="215">
        <f>SUM(G485)</f>
        <v>2865.8</v>
      </c>
      <c r="H484" s="14"/>
      <c r="I484" s="14"/>
    </row>
    <row r="485" spans="1:10" ht="28.5">
      <c r="A485" s="278" t="s">
        <v>540</v>
      </c>
      <c r="B485" s="389"/>
      <c r="C485" s="399" t="s">
        <v>304</v>
      </c>
      <c r="D485" s="277" t="s">
        <v>304</v>
      </c>
      <c r="E485" s="274" t="s">
        <v>676</v>
      </c>
      <c r="F485" s="275" t="s">
        <v>536</v>
      </c>
      <c r="G485" s="276">
        <v>2865.8</v>
      </c>
      <c r="H485" s="14"/>
      <c r="I485" s="14"/>
      <c r="J485" s="37">
        <f>SUM('ведомствен.2014'!G800)</f>
        <v>2865.8</v>
      </c>
    </row>
    <row r="486" spans="1:12" s="16" customFormat="1" ht="15">
      <c r="A486" s="159" t="s">
        <v>189</v>
      </c>
      <c r="B486" s="370"/>
      <c r="C486" s="199" t="s">
        <v>5</v>
      </c>
      <c r="D486" s="184"/>
      <c r="E486" s="184"/>
      <c r="F486" s="202"/>
      <c r="G486" s="217">
        <f>SUM(G487+G491+G505+G582+G605)</f>
        <v>966701.0000000001</v>
      </c>
      <c r="H486" s="18">
        <f>SUM(H487)+H489</f>
        <v>0</v>
      </c>
      <c r="I486" s="14" t="e">
        <f aca="true" t="shared" si="12" ref="I486:I499">SUM(H486/G492*100)</f>
        <v>#DIV/0!</v>
      </c>
      <c r="K486" s="16">
        <f>SUM(J488:J631)</f>
        <v>966701</v>
      </c>
      <c r="L486" s="16">
        <f>SUM('ведомствен.2014'!G277+'ведомствен.2014'!G383+'ведомствен.2014'!G638)+'ведомствен.2014'!G336</f>
        <v>966701</v>
      </c>
    </row>
    <row r="487" spans="1:11" s="16" customFormat="1" ht="15">
      <c r="A487" s="156" t="s">
        <v>191</v>
      </c>
      <c r="B487" s="367"/>
      <c r="C487" s="74" t="s">
        <v>5</v>
      </c>
      <c r="D487" s="114" t="s">
        <v>466</v>
      </c>
      <c r="E487" s="114"/>
      <c r="F487" s="196"/>
      <c r="G487" s="215">
        <f>SUM(G488)</f>
        <v>4032.6</v>
      </c>
      <c r="H487" s="14">
        <f>SUM(H488)</f>
        <v>0</v>
      </c>
      <c r="I487" s="14" t="e">
        <f t="shared" si="12"/>
        <v>#DIV/0!</v>
      </c>
      <c r="K487" s="291">
        <f>SUM(G486-K486)</f>
        <v>1.1641532182693481E-10</v>
      </c>
    </row>
    <row r="488" spans="1:9" s="16" customFormat="1" ht="15">
      <c r="A488" s="156" t="s">
        <v>192</v>
      </c>
      <c r="B488" s="367"/>
      <c r="C488" s="74" t="s">
        <v>5</v>
      </c>
      <c r="D488" s="114" t="s">
        <v>466</v>
      </c>
      <c r="E488" s="114" t="s">
        <v>193</v>
      </c>
      <c r="F488" s="196"/>
      <c r="G488" s="215">
        <f>SUM(G489)</f>
        <v>4032.6</v>
      </c>
      <c r="H488" s="14"/>
      <c r="I488" s="14" t="e">
        <f t="shared" si="12"/>
        <v>#DIV/0!</v>
      </c>
    </row>
    <row r="489" spans="1:9" s="16" customFormat="1" ht="28.5">
      <c r="A489" s="156" t="s">
        <v>194</v>
      </c>
      <c r="B489" s="367"/>
      <c r="C489" s="74" t="s">
        <v>5</v>
      </c>
      <c r="D489" s="114" t="s">
        <v>466</v>
      </c>
      <c r="E489" s="114" t="s">
        <v>195</v>
      </c>
      <c r="F489" s="196"/>
      <c r="G489" s="215">
        <f>SUM(G490)</f>
        <v>4032.6</v>
      </c>
      <c r="H489" s="14">
        <f>SUM(H490)</f>
        <v>0</v>
      </c>
      <c r="I489" s="14" t="e">
        <f t="shared" si="12"/>
        <v>#DIV/0!</v>
      </c>
    </row>
    <row r="490" spans="1:10" s="16" customFormat="1" ht="15">
      <c r="A490" s="156" t="s">
        <v>528</v>
      </c>
      <c r="B490" s="367"/>
      <c r="C490" s="74" t="s">
        <v>5</v>
      </c>
      <c r="D490" s="114" t="s">
        <v>466</v>
      </c>
      <c r="E490" s="114" t="s">
        <v>195</v>
      </c>
      <c r="F490" s="196" t="s">
        <v>529</v>
      </c>
      <c r="G490" s="215">
        <v>4032.6</v>
      </c>
      <c r="H490" s="14"/>
      <c r="I490" s="14" t="e">
        <f t="shared" si="12"/>
        <v>#DIV/0!</v>
      </c>
      <c r="J490" s="16">
        <f>SUM('ведомствен.2014'!G387)</f>
        <v>4032.6</v>
      </c>
    </row>
    <row r="491" spans="1:9" s="16" customFormat="1" ht="15">
      <c r="A491" s="156" t="s">
        <v>196</v>
      </c>
      <c r="B491" s="367"/>
      <c r="C491" s="113" t="s">
        <v>5</v>
      </c>
      <c r="D491" s="182" t="s">
        <v>468</v>
      </c>
      <c r="E491" s="114"/>
      <c r="F491" s="196"/>
      <c r="G491" s="215">
        <f>SUM(G492+G497)</f>
        <v>48595.6</v>
      </c>
      <c r="H491" s="14">
        <f>SUM(H492+H494)</f>
        <v>16618.3</v>
      </c>
      <c r="I491" s="14">
        <f t="shared" si="12"/>
        <v>34.19712895817728</v>
      </c>
    </row>
    <row r="492" spans="1:9" s="16" customFormat="1" ht="15" hidden="1">
      <c r="A492" s="166" t="s">
        <v>74</v>
      </c>
      <c r="B492" s="367"/>
      <c r="C492" s="113" t="s">
        <v>5</v>
      </c>
      <c r="D492" s="182" t="s">
        <v>468</v>
      </c>
      <c r="E492" s="182" t="s">
        <v>75</v>
      </c>
      <c r="F492" s="197"/>
      <c r="G492" s="215"/>
      <c r="H492" s="14">
        <f>SUM(H493)</f>
        <v>0</v>
      </c>
      <c r="I492" s="14">
        <f t="shared" si="12"/>
        <v>0</v>
      </c>
    </row>
    <row r="493" spans="1:9" s="16" customFormat="1" ht="28.5" hidden="1">
      <c r="A493" s="166" t="s">
        <v>17</v>
      </c>
      <c r="B493" s="367"/>
      <c r="C493" s="113" t="s">
        <v>5</v>
      </c>
      <c r="D493" s="182" t="s">
        <v>468</v>
      </c>
      <c r="E493" s="182" t="s">
        <v>18</v>
      </c>
      <c r="F493" s="197"/>
      <c r="G493" s="215">
        <f>SUM(G494+G495)</f>
        <v>0</v>
      </c>
      <c r="H493" s="14"/>
      <c r="I493" s="14">
        <f t="shared" si="12"/>
        <v>0</v>
      </c>
    </row>
    <row r="494" spans="1:9" s="16" customFormat="1" ht="15" hidden="1">
      <c r="A494" s="160" t="s">
        <v>249</v>
      </c>
      <c r="B494" s="367"/>
      <c r="C494" s="113" t="s">
        <v>5</v>
      </c>
      <c r="D494" s="182" t="s">
        <v>468</v>
      </c>
      <c r="E494" s="182" t="s">
        <v>18</v>
      </c>
      <c r="F494" s="197" t="s">
        <v>250</v>
      </c>
      <c r="G494" s="215"/>
      <c r="H494" s="14">
        <f>SUM(H495)</f>
        <v>16618.3</v>
      </c>
      <c r="I494" s="14">
        <f t="shared" si="12"/>
        <v>1270.803701154699</v>
      </c>
    </row>
    <row r="495" spans="1:10" s="16" customFormat="1" ht="28.5" hidden="1">
      <c r="A495" s="166" t="s">
        <v>19</v>
      </c>
      <c r="B495" s="367"/>
      <c r="C495" s="113" t="s">
        <v>5</v>
      </c>
      <c r="D495" s="182" t="s">
        <v>468</v>
      </c>
      <c r="E495" s="182" t="s">
        <v>20</v>
      </c>
      <c r="F495" s="197"/>
      <c r="G495" s="215">
        <f>SUM(G496)</f>
        <v>0</v>
      </c>
      <c r="H495" s="14">
        <v>16618.3</v>
      </c>
      <c r="I495" s="14">
        <f t="shared" si="12"/>
        <v>35.542528140713195</v>
      </c>
      <c r="J495" s="39"/>
    </row>
    <row r="496" spans="1:9" s="16" customFormat="1" ht="15" hidden="1">
      <c r="A496" s="160" t="s">
        <v>249</v>
      </c>
      <c r="B496" s="367"/>
      <c r="C496" s="113" t="s">
        <v>5</v>
      </c>
      <c r="D496" s="182" t="s">
        <v>468</v>
      </c>
      <c r="E496" s="182" t="s">
        <v>20</v>
      </c>
      <c r="F496" s="197" t="s">
        <v>250</v>
      </c>
      <c r="G496" s="215"/>
      <c r="H496" s="18" t="e">
        <f>SUM(H506+#REF!+#REF!+#REF!+H497)</f>
        <v>#REF!</v>
      </c>
      <c r="I496" s="14" t="e">
        <f t="shared" si="12"/>
        <v>#REF!</v>
      </c>
    </row>
    <row r="497" spans="1:9" s="16" customFormat="1" ht="15">
      <c r="A497" s="166" t="s">
        <v>74</v>
      </c>
      <c r="B497" s="367"/>
      <c r="C497" s="113" t="s">
        <v>5</v>
      </c>
      <c r="D497" s="182" t="s">
        <v>468</v>
      </c>
      <c r="E497" s="182" t="s">
        <v>21</v>
      </c>
      <c r="F497" s="197"/>
      <c r="G497" s="215">
        <f>SUM(G498+G501)</f>
        <v>48595.6</v>
      </c>
      <c r="H497" s="14">
        <f>SUM(H499)</f>
        <v>200</v>
      </c>
      <c r="I497" s="14">
        <f t="shared" si="12"/>
        <v>2.6098076571756663</v>
      </c>
    </row>
    <row r="498" spans="1:9" s="16" customFormat="1" ht="28.5">
      <c r="A498" s="160" t="s">
        <v>56</v>
      </c>
      <c r="B498" s="367"/>
      <c r="C498" s="113" t="s">
        <v>5</v>
      </c>
      <c r="D498" s="182" t="s">
        <v>468</v>
      </c>
      <c r="E498" s="182" t="s">
        <v>22</v>
      </c>
      <c r="F498" s="197"/>
      <c r="G498" s="215">
        <f>SUM(G499:G500)</f>
        <v>1839.5</v>
      </c>
      <c r="H498" s="14">
        <f>SUM(H499)</f>
        <v>200</v>
      </c>
      <c r="I498" s="14">
        <f t="shared" si="12"/>
        <v>51.813471502590666</v>
      </c>
    </row>
    <row r="499" spans="1:10" s="16" customFormat="1" ht="42.75">
      <c r="A499" s="156" t="s">
        <v>518</v>
      </c>
      <c r="B499" s="367"/>
      <c r="C499" s="113" t="s">
        <v>5</v>
      </c>
      <c r="D499" s="182" t="s">
        <v>468</v>
      </c>
      <c r="E499" s="182" t="s">
        <v>22</v>
      </c>
      <c r="F499" s="196" t="s">
        <v>519</v>
      </c>
      <c r="G499" s="215">
        <v>531.8</v>
      </c>
      <c r="H499" s="14">
        <v>200</v>
      </c>
      <c r="I499" s="14">
        <f t="shared" si="12"/>
        <v>0.025659599243247094</v>
      </c>
      <c r="J499" s="16">
        <f>SUM('ведомствен.2014'!G396)</f>
        <v>531.8</v>
      </c>
    </row>
    <row r="500" spans="1:10" s="16" customFormat="1" ht="15">
      <c r="A500" s="156" t="s">
        <v>523</v>
      </c>
      <c r="B500" s="367"/>
      <c r="C500" s="113" t="s">
        <v>5</v>
      </c>
      <c r="D500" s="182" t="s">
        <v>468</v>
      </c>
      <c r="E500" s="182" t="s">
        <v>22</v>
      </c>
      <c r="F500" s="196" t="s">
        <v>120</v>
      </c>
      <c r="G500" s="215">
        <v>1307.7</v>
      </c>
      <c r="H500" s="14"/>
      <c r="I500" s="14"/>
      <c r="J500" s="16">
        <f>SUM('ведомствен.2014'!G397)</f>
        <v>1307.7</v>
      </c>
    </row>
    <row r="501" spans="1:10" ht="28.5">
      <c r="A501" s="160" t="s">
        <v>23</v>
      </c>
      <c r="B501" s="367"/>
      <c r="C501" s="113" t="s">
        <v>5</v>
      </c>
      <c r="D501" s="182" t="s">
        <v>468</v>
      </c>
      <c r="E501" s="182" t="s">
        <v>24</v>
      </c>
      <c r="F501" s="197"/>
      <c r="G501" s="215">
        <f>SUM(G502:G504)</f>
        <v>46756.1</v>
      </c>
      <c r="H501" s="14">
        <f>SUM(H504)</f>
        <v>0</v>
      </c>
      <c r="I501" s="14" t="e">
        <f>SUM(H501/G507*100)</f>
        <v>#DIV/0!</v>
      </c>
      <c r="J501"/>
    </row>
    <row r="502" spans="1:10" ht="42.75">
      <c r="A502" s="156" t="s">
        <v>518</v>
      </c>
      <c r="B502" s="367"/>
      <c r="C502" s="113" t="s">
        <v>5</v>
      </c>
      <c r="D502" s="182" t="s">
        <v>468</v>
      </c>
      <c r="E502" s="182" t="s">
        <v>24</v>
      </c>
      <c r="F502" s="196" t="s">
        <v>519</v>
      </c>
      <c r="G502" s="215">
        <v>38706.7</v>
      </c>
      <c r="H502" s="14"/>
      <c r="I502" s="14"/>
      <c r="J502" s="16">
        <f>SUM('ведомствен.2014'!G399)</f>
        <v>38706.7</v>
      </c>
    </row>
    <row r="503" spans="1:10" ht="15">
      <c r="A503" s="156" t="s">
        <v>523</v>
      </c>
      <c r="B503" s="367"/>
      <c r="C503" s="113" t="s">
        <v>5</v>
      </c>
      <c r="D503" s="182" t="s">
        <v>468</v>
      </c>
      <c r="E503" s="182" t="s">
        <v>24</v>
      </c>
      <c r="F503" s="196" t="s">
        <v>120</v>
      </c>
      <c r="G503" s="215">
        <v>7663.4</v>
      </c>
      <c r="H503" s="14"/>
      <c r="I503" s="14"/>
      <c r="J503" s="16">
        <f>SUM('ведомствен.2014'!G400)</f>
        <v>7663.4</v>
      </c>
    </row>
    <row r="504" spans="1:10" ht="15">
      <c r="A504" s="156" t="s">
        <v>524</v>
      </c>
      <c r="B504" s="367"/>
      <c r="C504" s="113" t="s">
        <v>5</v>
      </c>
      <c r="D504" s="182" t="s">
        <v>468</v>
      </c>
      <c r="E504" s="182" t="s">
        <v>24</v>
      </c>
      <c r="F504" s="196" t="s">
        <v>177</v>
      </c>
      <c r="G504" s="215">
        <v>386</v>
      </c>
      <c r="H504" s="14">
        <f>SUM(H505)</f>
        <v>0</v>
      </c>
      <c r="I504" s="14">
        <f>SUM(H504/G510*100)</f>
        <v>0</v>
      </c>
      <c r="J504" s="16">
        <f>SUM('ведомствен.2014'!G401)</f>
        <v>386</v>
      </c>
    </row>
    <row r="505" spans="1:10" ht="15">
      <c r="A505" s="156" t="s">
        <v>25</v>
      </c>
      <c r="B505" s="367"/>
      <c r="C505" s="74" t="s">
        <v>5</v>
      </c>
      <c r="D505" s="114" t="s">
        <v>106</v>
      </c>
      <c r="E505" s="114"/>
      <c r="F505" s="196"/>
      <c r="G505" s="215">
        <f>SUM(G509+G568+G576+G572)</f>
        <v>779435.4000000001</v>
      </c>
      <c r="H505" s="14"/>
      <c r="I505" s="14">
        <f>SUM(H505/G512*100)</f>
        <v>0</v>
      </c>
      <c r="J505"/>
    </row>
    <row r="506" spans="1:10" ht="15" hidden="1">
      <c r="A506" s="156" t="s">
        <v>412</v>
      </c>
      <c r="B506" s="367"/>
      <c r="C506" s="74" t="s">
        <v>5</v>
      </c>
      <c r="D506" s="114" t="s">
        <v>106</v>
      </c>
      <c r="E506" s="114" t="s">
        <v>414</v>
      </c>
      <c r="F506" s="196"/>
      <c r="G506" s="215">
        <f>SUM(G508)</f>
        <v>0</v>
      </c>
      <c r="H506" s="14" t="e">
        <f>SUM(H507+H509+H512+H529+H532+H562+H569+H582+H596+H599+H626)+#REF!+H538+H541+H552+H556+H565+H577+H528+H549+H544+H559+H519+H523+H515</f>
        <v>#REF!</v>
      </c>
      <c r="I506" s="14" t="e">
        <f>SUM(H506/G513*100)</f>
        <v>#REF!</v>
      </c>
      <c r="J506"/>
    </row>
    <row r="507" spans="1:10" ht="15" hidden="1">
      <c r="A507" s="156" t="s">
        <v>392</v>
      </c>
      <c r="B507" s="367"/>
      <c r="C507" s="74" t="s">
        <v>5</v>
      </c>
      <c r="D507" s="114" t="s">
        <v>106</v>
      </c>
      <c r="E507" s="114" t="s">
        <v>393</v>
      </c>
      <c r="F507" s="196"/>
      <c r="G507" s="215">
        <f>SUM(G508)</f>
        <v>0</v>
      </c>
      <c r="H507" s="14">
        <f>SUM(H508:H508)</f>
        <v>0</v>
      </c>
      <c r="I507" s="14">
        <f>SUM(H507/G515*100)</f>
        <v>0</v>
      </c>
      <c r="J507"/>
    </row>
    <row r="508" spans="1:10" ht="15" hidden="1">
      <c r="A508" s="156" t="s">
        <v>300</v>
      </c>
      <c r="B508" s="368"/>
      <c r="C508" s="74" t="s">
        <v>5</v>
      </c>
      <c r="D508" s="114" t="s">
        <v>106</v>
      </c>
      <c r="E508" s="114" t="s">
        <v>393</v>
      </c>
      <c r="F508" s="197" t="s">
        <v>301</v>
      </c>
      <c r="G508" s="215"/>
      <c r="H508" s="14"/>
      <c r="I508" s="14">
        <f>SUM(H508/G516*100)</f>
        <v>0</v>
      </c>
      <c r="J508"/>
    </row>
    <row r="509" spans="1:9" s="16" customFormat="1" ht="15">
      <c r="A509" s="156" t="s">
        <v>26</v>
      </c>
      <c r="B509" s="367"/>
      <c r="C509" s="74" t="s">
        <v>5</v>
      </c>
      <c r="D509" s="114" t="s">
        <v>106</v>
      </c>
      <c r="E509" s="114" t="s">
        <v>27</v>
      </c>
      <c r="F509" s="196"/>
      <c r="G509" s="215">
        <f>SUM(G510+G513+G516+G519+G522+G525+G566)</f>
        <v>775923.6000000001</v>
      </c>
      <c r="H509" s="14">
        <f>SUM(H510:H510)</f>
        <v>0</v>
      </c>
      <c r="I509" s="14">
        <f>SUM(H509/G518*100)</f>
        <v>0</v>
      </c>
    </row>
    <row r="510" spans="1:9" s="16" customFormat="1" ht="42.75">
      <c r="A510" s="156" t="s">
        <v>289</v>
      </c>
      <c r="B510" s="165"/>
      <c r="C510" s="113" t="s">
        <v>5</v>
      </c>
      <c r="D510" s="182" t="s">
        <v>106</v>
      </c>
      <c r="E510" s="182" t="s">
        <v>290</v>
      </c>
      <c r="F510" s="197"/>
      <c r="G510" s="215">
        <f>SUM(G511:G512)</f>
        <v>92012.1</v>
      </c>
      <c r="H510" s="14"/>
      <c r="I510" s="14">
        <f>SUM(H510/G519*100)</f>
        <v>0</v>
      </c>
    </row>
    <row r="511" spans="1:10" s="16" customFormat="1" ht="15">
      <c r="A511" s="156" t="s">
        <v>523</v>
      </c>
      <c r="B511" s="165"/>
      <c r="C511" s="113" t="s">
        <v>5</v>
      </c>
      <c r="D511" s="182" t="s">
        <v>106</v>
      </c>
      <c r="E511" s="182" t="s">
        <v>290</v>
      </c>
      <c r="F511" s="197" t="s">
        <v>120</v>
      </c>
      <c r="G511" s="215">
        <v>1398.6</v>
      </c>
      <c r="H511" s="14"/>
      <c r="I511" s="14"/>
      <c r="J511" s="16">
        <f>SUM('ведомствен.2014'!G408)</f>
        <v>1398.6</v>
      </c>
    </row>
    <row r="512" spans="1:10" s="16" customFormat="1" ht="15">
      <c r="A512" s="156" t="s">
        <v>528</v>
      </c>
      <c r="B512" s="165"/>
      <c r="C512" s="113" t="s">
        <v>5</v>
      </c>
      <c r="D512" s="182" t="s">
        <v>106</v>
      </c>
      <c r="E512" s="182" t="s">
        <v>290</v>
      </c>
      <c r="F512" s="197" t="s">
        <v>529</v>
      </c>
      <c r="G512" s="215">
        <f>92012.1-1398.6</f>
        <v>90613.5</v>
      </c>
      <c r="H512" s="14">
        <f>SUM(H513)</f>
        <v>0</v>
      </c>
      <c r="I512" s="14">
        <f>SUM(H512/G521*100)</f>
        <v>0</v>
      </c>
      <c r="J512" s="16">
        <f>SUM('ведомствен.2014'!G409)</f>
        <v>90613.5</v>
      </c>
    </row>
    <row r="513" spans="1:9" s="16" customFormat="1" ht="28.5">
      <c r="A513" s="156" t="s">
        <v>288</v>
      </c>
      <c r="B513" s="165"/>
      <c r="C513" s="113" t="s">
        <v>5</v>
      </c>
      <c r="D513" s="182" t="s">
        <v>106</v>
      </c>
      <c r="E513" s="182" t="s">
        <v>594</v>
      </c>
      <c r="F513" s="197"/>
      <c r="G513" s="215">
        <f>SUM(G514:G515)</f>
        <v>158497.6</v>
      </c>
      <c r="H513" s="14"/>
      <c r="I513" s="14">
        <f>SUM(H513/G522*100)</f>
        <v>0</v>
      </c>
    </row>
    <row r="514" spans="1:10" s="16" customFormat="1" ht="15">
      <c r="A514" s="156" t="s">
        <v>523</v>
      </c>
      <c r="B514" s="165"/>
      <c r="C514" s="113" t="s">
        <v>5</v>
      </c>
      <c r="D514" s="182" t="s">
        <v>106</v>
      </c>
      <c r="E514" s="182" t="s">
        <v>594</v>
      </c>
      <c r="F514" s="197" t="s">
        <v>120</v>
      </c>
      <c r="G514" s="215">
        <v>2139.7</v>
      </c>
      <c r="H514" s="14"/>
      <c r="I514" s="14"/>
      <c r="J514" s="16">
        <f>SUM('ведомствен.2014'!G411)</f>
        <v>2139.7</v>
      </c>
    </row>
    <row r="515" spans="1:10" s="16" customFormat="1" ht="15">
      <c r="A515" s="156" t="s">
        <v>528</v>
      </c>
      <c r="B515" s="163"/>
      <c r="C515" s="113" t="s">
        <v>5</v>
      </c>
      <c r="D515" s="182" t="s">
        <v>106</v>
      </c>
      <c r="E515" s="182" t="s">
        <v>594</v>
      </c>
      <c r="F515" s="197" t="s">
        <v>529</v>
      </c>
      <c r="G515" s="215">
        <v>156357.9</v>
      </c>
      <c r="H515" s="14">
        <f>SUM(H516)</f>
        <v>361.8</v>
      </c>
      <c r="I515" s="14">
        <f>SUM(H515/G523*100)</f>
        <v>17.258980107808995</v>
      </c>
      <c r="J515" s="16">
        <f>SUM('ведомствен.2014'!G412)</f>
        <v>156357.9</v>
      </c>
    </row>
    <row r="516" spans="1:9" s="16" customFormat="1" ht="42.75">
      <c r="A516" s="157" t="s">
        <v>287</v>
      </c>
      <c r="B516" s="165"/>
      <c r="C516" s="113" t="s">
        <v>5</v>
      </c>
      <c r="D516" s="182" t="s">
        <v>106</v>
      </c>
      <c r="E516" s="182" t="s">
        <v>595</v>
      </c>
      <c r="F516" s="197"/>
      <c r="G516" s="215">
        <f>SUM(G517:G518)</f>
        <v>77.10000000000001</v>
      </c>
      <c r="H516" s="14">
        <v>361.8</v>
      </c>
      <c r="I516" s="14">
        <f>SUM(H516/G524*100)</f>
        <v>20.1</v>
      </c>
    </row>
    <row r="517" spans="1:10" s="16" customFormat="1" ht="15">
      <c r="A517" s="156" t="s">
        <v>523</v>
      </c>
      <c r="B517" s="165"/>
      <c r="C517" s="113" t="s">
        <v>5</v>
      </c>
      <c r="D517" s="182" t="s">
        <v>106</v>
      </c>
      <c r="E517" s="182" t="s">
        <v>595</v>
      </c>
      <c r="F517" s="197" t="s">
        <v>120</v>
      </c>
      <c r="G517" s="215">
        <v>1.2</v>
      </c>
      <c r="H517" s="14"/>
      <c r="I517" s="14"/>
      <c r="J517" s="16">
        <f>SUM('ведомствен.2014'!G414)</f>
        <v>1.2</v>
      </c>
    </row>
    <row r="518" spans="1:10" s="16" customFormat="1" ht="15">
      <c r="A518" s="156" t="s">
        <v>528</v>
      </c>
      <c r="B518" s="165"/>
      <c r="C518" s="113" t="s">
        <v>5</v>
      </c>
      <c r="D518" s="182" t="s">
        <v>106</v>
      </c>
      <c r="E518" s="182" t="s">
        <v>595</v>
      </c>
      <c r="F518" s="197" t="s">
        <v>529</v>
      </c>
      <c r="G518" s="215">
        <v>75.9</v>
      </c>
      <c r="H518" s="14"/>
      <c r="I518" s="14">
        <f>SUM(H518/G525*100)</f>
        <v>0</v>
      </c>
      <c r="J518" s="16">
        <f>SUM('ведомствен.2014'!G415)</f>
        <v>75.9</v>
      </c>
    </row>
    <row r="519" spans="1:9" s="16" customFormat="1" ht="85.5">
      <c r="A519" s="247" t="s">
        <v>597</v>
      </c>
      <c r="B519" s="390"/>
      <c r="C519" s="208" t="s">
        <v>5</v>
      </c>
      <c r="D519" s="186" t="s">
        <v>106</v>
      </c>
      <c r="E519" s="186" t="s">
        <v>596</v>
      </c>
      <c r="F519" s="237"/>
      <c r="G519" s="223">
        <f>SUM(G520:G521)</f>
        <v>78774.5</v>
      </c>
      <c r="H519" s="14">
        <f>SUM(H521)</f>
        <v>634.3</v>
      </c>
      <c r="I519" s="14">
        <f>SUM(H519/G526*100)</f>
        <v>116.21473067057528</v>
      </c>
    </row>
    <row r="520" spans="1:10" s="16" customFormat="1" ht="15">
      <c r="A520" s="156" t="s">
        <v>523</v>
      </c>
      <c r="B520" s="165"/>
      <c r="C520" s="113" t="s">
        <v>5</v>
      </c>
      <c r="D520" s="182" t="s">
        <v>106</v>
      </c>
      <c r="E520" s="186" t="s">
        <v>596</v>
      </c>
      <c r="F520" s="197" t="s">
        <v>120</v>
      </c>
      <c r="G520" s="223">
        <v>1181.6</v>
      </c>
      <c r="H520" s="14"/>
      <c r="I520" s="14"/>
      <c r="J520" s="16">
        <f>SUM('ведомствен.2014'!G417)</f>
        <v>1181.6</v>
      </c>
    </row>
    <row r="521" spans="1:10" s="16" customFormat="1" ht="15">
      <c r="A521" s="162" t="s">
        <v>528</v>
      </c>
      <c r="B521" s="390"/>
      <c r="C521" s="208" t="s">
        <v>5</v>
      </c>
      <c r="D521" s="186" t="s">
        <v>106</v>
      </c>
      <c r="E521" s="186" t="s">
        <v>596</v>
      </c>
      <c r="F521" s="237" t="s">
        <v>529</v>
      </c>
      <c r="G521" s="223">
        <v>77592.9</v>
      </c>
      <c r="H521" s="14">
        <v>634.3</v>
      </c>
      <c r="I521" s="14">
        <f>SUM(H521/G528*100)</f>
        <v>117.98735119047619</v>
      </c>
      <c r="J521" s="16">
        <f>SUM('ведомствен.2014'!G418)</f>
        <v>77592.9</v>
      </c>
    </row>
    <row r="522" spans="1:10" s="16" customFormat="1" ht="15">
      <c r="A522" s="167" t="s">
        <v>224</v>
      </c>
      <c r="B522" s="371"/>
      <c r="C522" s="208" t="s">
        <v>5</v>
      </c>
      <c r="D522" s="186" t="s">
        <v>106</v>
      </c>
      <c r="E522" s="186" t="s">
        <v>598</v>
      </c>
      <c r="F522" s="237"/>
      <c r="G522" s="223">
        <f>G523+G524</f>
        <v>3896.3</v>
      </c>
      <c r="H522" s="14"/>
      <c r="I522" s="14"/>
      <c r="J522" s="39"/>
    </row>
    <row r="523" spans="1:10" s="16" customFormat="1" ht="15">
      <c r="A523" s="167" t="s">
        <v>528</v>
      </c>
      <c r="B523" s="371"/>
      <c r="C523" s="208" t="s">
        <v>5</v>
      </c>
      <c r="D523" s="186" t="s">
        <v>106</v>
      </c>
      <c r="E523" s="186" t="s">
        <v>598</v>
      </c>
      <c r="F523" s="237" t="s">
        <v>529</v>
      </c>
      <c r="G523" s="223">
        <v>2096.3</v>
      </c>
      <c r="H523" s="14">
        <f>SUM(H524)</f>
        <v>542.8</v>
      </c>
      <c r="I523" s="14">
        <f>SUM(H523/G531*100)</f>
        <v>0.9734227610200494</v>
      </c>
      <c r="J523" s="16">
        <f>SUM('ведомствен.2014'!G420)</f>
        <v>2096.3</v>
      </c>
    </row>
    <row r="524" spans="1:10" s="16" customFormat="1" ht="57">
      <c r="A524" s="167" t="s">
        <v>599</v>
      </c>
      <c r="B524" s="371"/>
      <c r="C524" s="208" t="s">
        <v>5</v>
      </c>
      <c r="D524" s="186" t="s">
        <v>106</v>
      </c>
      <c r="E524" s="186" t="s">
        <v>598</v>
      </c>
      <c r="F524" s="237" t="s">
        <v>536</v>
      </c>
      <c r="G524" s="223">
        <v>1800</v>
      </c>
      <c r="H524" s="14">
        <v>542.8</v>
      </c>
      <c r="I524" s="14">
        <f>SUM(H524/G532*100)</f>
        <v>1.0117276909197999</v>
      </c>
      <c r="J524" s="16">
        <f>SUM('ведомствен.2014'!G421)</f>
        <v>1800</v>
      </c>
    </row>
    <row r="525" spans="1:9" s="16" customFormat="1" ht="28.5">
      <c r="A525" s="162" t="s">
        <v>292</v>
      </c>
      <c r="B525" s="390"/>
      <c r="C525" s="208" t="s">
        <v>5</v>
      </c>
      <c r="D525" s="186" t="s">
        <v>106</v>
      </c>
      <c r="E525" s="186" t="s">
        <v>600</v>
      </c>
      <c r="F525" s="237"/>
      <c r="G525" s="223">
        <f>G526+G529+G532+G535+G538+G541+G544+G547+G550+G553+G556+G559+G563</f>
        <v>433210.30000000005</v>
      </c>
      <c r="H525" s="18"/>
      <c r="I525" s="14"/>
    </row>
    <row r="526" spans="1:9" s="16" customFormat="1" ht="57">
      <c r="A526" s="162" t="s">
        <v>487</v>
      </c>
      <c r="B526" s="390"/>
      <c r="C526" s="208" t="s">
        <v>5</v>
      </c>
      <c r="D526" s="186" t="s">
        <v>106</v>
      </c>
      <c r="E526" s="186" t="s">
        <v>601</v>
      </c>
      <c r="F526" s="237"/>
      <c r="G526" s="223">
        <f>SUM(G527:G528)</f>
        <v>545.8000000000001</v>
      </c>
      <c r="H526" s="18"/>
      <c r="I526" s="14"/>
    </row>
    <row r="527" spans="1:10" s="16" customFormat="1" ht="15">
      <c r="A527" s="156" t="s">
        <v>523</v>
      </c>
      <c r="B527" s="165"/>
      <c r="C527" s="113" t="s">
        <v>5</v>
      </c>
      <c r="D527" s="182" t="s">
        <v>106</v>
      </c>
      <c r="E527" s="186" t="s">
        <v>601</v>
      </c>
      <c r="F527" s="197" t="s">
        <v>120</v>
      </c>
      <c r="G527" s="223">
        <v>8.2</v>
      </c>
      <c r="H527" s="18"/>
      <c r="I527" s="14"/>
      <c r="J527" s="16">
        <f>SUM('ведомствен.2014'!G424)</f>
        <v>8.2</v>
      </c>
    </row>
    <row r="528" spans="1:10" s="16" customFormat="1" ht="15">
      <c r="A528" s="162" t="s">
        <v>528</v>
      </c>
      <c r="B528" s="390"/>
      <c r="C528" s="208" t="s">
        <v>5</v>
      </c>
      <c r="D528" s="186" t="s">
        <v>106</v>
      </c>
      <c r="E528" s="186" t="s">
        <v>601</v>
      </c>
      <c r="F528" s="237" t="s">
        <v>529</v>
      </c>
      <c r="G528" s="223">
        <v>537.6</v>
      </c>
      <c r="H528" s="18"/>
      <c r="I528" s="14"/>
      <c r="J528" s="16">
        <f>SUM('ведомствен.2014'!G425)</f>
        <v>537.6</v>
      </c>
    </row>
    <row r="529" spans="1:9" s="16" customFormat="1" ht="28.5">
      <c r="A529" s="170" t="s">
        <v>488</v>
      </c>
      <c r="B529" s="390"/>
      <c r="C529" s="208" t="s">
        <v>5</v>
      </c>
      <c r="D529" s="186" t="s">
        <v>106</v>
      </c>
      <c r="E529" s="186" t="s">
        <v>602</v>
      </c>
      <c r="F529" s="237"/>
      <c r="G529" s="223">
        <f>SUM(G530:G531)</f>
        <v>56634.2</v>
      </c>
      <c r="H529" s="14">
        <f>SUM(H531)</f>
        <v>1313.1</v>
      </c>
      <c r="I529" s="14">
        <f>SUM(H529/G538*100)</f>
        <v>85.47158758055066</v>
      </c>
    </row>
    <row r="530" spans="1:10" s="16" customFormat="1" ht="15">
      <c r="A530" s="156" t="s">
        <v>523</v>
      </c>
      <c r="B530" s="165"/>
      <c r="C530" s="113" t="s">
        <v>5</v>
      </c>
      <c r="D530" s="182" t="s">
        <v>106</v>
      </c>
      <c r="E530" s="186" t="s">
        <v>602</v>
      </c>
      <c r="F530" s="197" t="s">
        <v>120</v>
      </c>
      <c r="G530" s="223">
        <v>872.2</v>
      </c>
      <c r="H530" s="14"/>
      <c r="I530" s="14"/>
      <c r="J530" s="16">
        <f>SUM('ведомствен.2014'!G427)</f>
        <v>872.2</v>
      </c>
    </row>
    <row r="531" spans="1:10" s="16" customFormat="1" ht="15">
      <c r="A531" s="162" t="s">
        <v>528</v>
      </c>
      <c r="B531" s="390"/>
      <c r="C531" s="208" t="s">
        <v>5</v>
      </c>
      <c r="D531" s="186" t="s">
        <v>106</v>
      </c>
      <c r="E531" s="186" t="s">
        <v>602</v>
      </c>
      <c r="F531" s="237" t="s">
        <v>529</v>
      </c>
      <c r="G531" s="223">
        <v>55762</v>
      </c>
      <c r="H531" s="14">
        <v>1313.1</v>
      </c>
      <c r="I531" s="14">
        <f>SUM(H531/G540*100)</f>
        <v>86.770633714399</v>
      </c>
      <c r="J531" s="16">
        <f>SUM('ведомствен.2014'!G428)</f>
        <v>55762</v>
      </c>
    </row>
    <row r="532" spans="1:9" s="16" customFormat="1" ht="71.25">
      <c r="A532" s="248" t="s">
        <v>489</v>
      </c>
      <c r="B532" s="390"/>
      <c r="C532" s="208" t="s">
        <v>5</v>
      </c>
      <c r="D532" s="186" t="s">
        <v>106</v>
      </c>
      <c r="E532" s="186" t="s">
        <v>603</v>
      </c>
      <c r="F532" s="237"/>
      <c r="G532" s="223">
        <f>SUM(G533:G534)</f>
        <v>53650.8</v>
      </c>
      <c r="H532" s="14">
        <f>SUM(H534)</f>
        <v>6301</v>
      </c>
      <c r="I532" s="14">
        <f>SUM(H532/G541*100)</f>
        <v>64.14994451401402</v>
      </c>
    </row>
    <row r="533" spans="1:10" s="16" customFormat="1" ht="15">
      <c r="A533" s="156" t="s">
        <v>523</v>
      </c>
      <c r="B533" s="165"/>
      <c r="C533" s="113" t="s">
        <v>5</v>
      </c>
      <c r="D533" s="182" t="s">
        <v>106</v>
      </c>
      <c r="E533" s="186" t="s">
        <v>603</v>
      </c>
      <c r="F533" s="197" t="s">
        <v>120</v>
      </c>
      <c r="G533" s="223">
        <v>794</v>
      </c>
      <c r="H533" s="14"/>
      <c r="I533" s="14"/>
      <c r="J533" s="16">
        <f>SUM('ведомствен.2014'!G430)</f>
        <v>794</v>
      </c>
    </row>
    <row r="534" spans="1:10" s="16" customFormat="1" ht="15">
      <c r="A534" s="162" t="s">
        <v>528</v>
      </c>
      <c r="B534" s="390"/>
      <c r="C534" s="208" t="s">
        <v>5</v>
      </c>
      <c r="D534" s="186" t="s">
        <v>106</v>
      </c>
      <c r="E534" s="186" t="s">
        <v>603</v>
      </c>
      <c r="F534" s="237" t="s">
        <v>529</v>
      </c>
      <c r="G534" s="223">
        <v>52856.8</v>
      </c>
      <c r="H534" s="14">
        <v>6301</v>
      </c>
      <c r="I534" s="14">
        <f>SUM(H534/G543*100)</f>
        <v>66.33888526247078</v>
      </c>
      <c r="J534" s="16">
        <f>SUM('ведомствен.2014'!G431)</f>
        <v>52856.8</v>
      </c>
    </row>
    <row r="535" spans="1:10" s="16" customFormat="1" ht="85.5">
      <c r="A535" s="248" t="s">
        <v>604</v>
      </c>
      <c r="B535" s="390"/>
      <c r="C535" s="208" t="s">
        <v>5</v>
      </c>
      <c r="D535" s="186" t="s">
        <v>106</v>
      </c>
      <c r="E535" s="186" t="s">
        <v>605</v>
      </c>
      <c r="F535" s="237"/>
      <c r="G535" s="223">
        <f>SUM(G536:G537)</f>
        <v>170670.4</v>
      </c>
      <c r="H535" s="14"/>
      <c r="I535" s="14"/>
      <c r="J535" s="39"/>
    </row>
    <row r="536" spans="1:10" s="16" customFormat="1" ht="15">
      <c r="A536" s="156" t="s">
        <v>523</v>
      </c>
      <c r="B536" s="390"/>
      <c r="C536" s="208" t="s">
        <v>5</v>
      </c>
      <c r="D536" s="186" t="s">
        <v>106</v>
      </c>
      <c r="E536" s="186" t="s">
        <v>605</v>
      </c>
      <c r="F536" s="237" t="s">
        <v>120</v>
      </c>
      <c r="G536" s="223">
        <v>5735.1</v>
      </c>
      <c r="H536" s="14"/>
      <c r="I536" s="14"/>
      <c r="J536" s="39">
        <f>SUM('ведомствен.2014'!G433)</f>
        <v>5735.1</v>
      </c>
    </row>
    <row r="537" spans="1:10" s="16" customFormat="1" ht="15">
      <c r="A537" s="162" t="s">
        <v>528</v>
      </c>
      <c r="B537" s="390"/>
      <c r="C537" s="208" t="s">
        <v>5</v>
      </c>
      <c r="D537" s="186" t="s">
        <v>106</v>
      </c>
      <c r="E537" s="186" t="s">
        <v>605</v>
      </c>
      <c r="F537" s="237" t="s">
        <v>529</v>
      </c>
      <c r="G537" s="223">
        <v>164935.3</v>
      </c>
      <c r="H537" s="14"/>
      <c r="I537" s="14"/>
      <c r="J537" s="16">
        <f>SUM('ведомствен.2014'!G434)</f>
        <v>164935.3</v>
      </c>
    </row>
    <row r="538" spans="1:9" s="16" customFormat="1" ht="85.5">
      <c r="A538" s="170" t="s">
        <v>490</v>
      </c>
      <c r="B538" s="390"/>
      <c r="C538" s="208" t="s">
        <v>5</v>
      </c>
      <c r="D538" s="186" t="s">
        <v>106</v>
      </c>
      <c r="E538" s="186" t="s">
        <v>606</v>
      </c>
      <c r="F538" s="237"/>
      <c r="G538" s="223">
        <f>SUM(G539:G540)</f>
        <v>1536.3</v>
      </c>
      <c r="H538" s="14">
        <f>SUM(H540)</f>
        <v>18786.9</v>
      </c>
      <c r="I538" s="14">
        <f>SUM(H538/G547*100)</f>
        <v>1861.3791736847322</v>
      </c>
    </row>
    <row r="539" spans="1:10" s="16" customFormat="1" ht="15">
      <c r="A539" s="156" t="s">
        <v>523</v>
      </c>
      <c r="B539" s="390"/>
      <c r="C539" s="208" t="s">
        <v>5</v>
      </c>
      <c r="D539" s="186" t="s">
        <v>106</v>
      </c>
      <c r="E539" s="186" t="s">
        <v>606</v>
      </c>
      <c r="F539" s="237" t="s">
        <v>120</v>
      </c>
      <c r="G539" s="223">
        <v>23</v>
      </c>
      <c r="H539" s="14"/>
      <c r="I539" s="14"/>
      <c r="J539" s="16">
        <f>SUM('ведомствен.2014'!G436)</f>
        <v>23</v>
      </c>
    </row>
    <row r="540" spans="1:10" s="16" customFormat="1" ht="15">
      <c r="A540" s="162" t="s">
        <v>528</v>
      </c>
      <c r="B540" s="390"/>
      <c r="C540" s="208" t="s">
        <v>5</v>
      </c>
      <c r="D540" s="186" t="s">
        <v>106</v>
      </c>
      <c r="E540" s="186" t="s">
        <v>606</v>
      </c>
      <c r="F540" s="237" t="s">
        <v>529</v>
      </c>
      <c r="G540" s="223">
        <v>1513.3</v>
      </c>
      <c r="H540" s="14">
        <v>18786.9</v>
      </c>
      <c r="I540" s="14">
        <f>SUM(H540/G549*100)</f>
        <v>1997.11916657808</v>
      </c>
      <c r="J540" s="16">
        <f>SUM('ведомствен.2014'!G437)</f>
        <v>1513.3</v>
      </c>
    </row>
    <row r="541" spans="1:9" s="16" customFormat="1" ht="99.75">
      <c r="A541" s="170" t="s">
        <v>491</v>
      </c>
      <c r="B541" s="390"/>
      <c r="C541" s="208" t="s">
        <v>5</v>
      </c>
      <c r="D541" s="186" t="s">
        <v>106</v>
      </c>
      <c r="E541" s="186" t="s">
        <v>607</v>
      </c>
      <c r="F541" s="237"/>
      <c r="G541" s="223">
        <f>SUM(G542:G543)</f>
        <v>9822.300000000001</v>
      </c>
      <c r="H541" s="14">
        <f>SUM(H543)</f>
        <v>15760.4</v>
      </c>
      <c r="I541" s="14">
        <f>SUM(H541/G550*100)</f>
        <v>6475.102711585866</v>
      </c>
    </row>
    <row r="542" spans="1:10" s="16" customFormat="1" ht="15">
      <c r="A542" s="156" t="s">
        <v>523</v>
      </c>
      <c r="B542" s="390"/>
      <c r="C542" s="208" t="s">
        <v>5</v>
      </c>
      <c r="D542" s="186" t="s">
        <v>106</v>
      </c>
      <c r="E542" s="186" t="s">
        <v>607</v>
      </c>
      <c r="F542" s="237" t="s">
        <v>120</v>
      </c>
      <c r="G542" s="223">
        <v>324.1</v>
      </c>
      <c r="H542" s="14"/>
      <c r="I542" s="14"/>
      <c r="J542" s="16">
        <f>SUM('ведомствен.2014'!G439)</f>
        <v>324.1</v>
      </c>
    </row>
    <row r="543" spans="1:10" s="16" customFormat="1" ht="15">
      <c r="A543" s="162" t="s">
        <v>528</v>
      </c>
      <c r="B543" s="390"/>
      <c r="C543" s="208" t="s">
        <v>5</v>
      </c>
      <c r="D543" s="186" t="s">
        <v>106</v>
      </c>
      <c r="E543" s="186" t="s">
        <v>607</v>
      </c>
      <c r="F543" s="237" t="s">
        <v>529</v>
      </c>
      <c r="G543" s="223">
        <v>9498.2</v>
      </c>
      <c r="H543" s="14">
        <v>15760.4</v>
      </c>
      <c r="I543" s="14">
        <f>SUM(H543/G552*100)</f>
        <v>6572.31025854879</v>
      </c>
      <c r="J543" s="16">
        <f>SUM('ведомствен.2014'!G440)</f>
        <v>9498.2</v>
      </c>
    </row>
    <row r="544" spans="1:9" s="25" customFormat="1" ht="57">
      <c r="A544" s="162" t="s">
        <v>492</v>
      </c>
      <c r="B544" s="390"/>
      <c r="C544" s="208" t="s">
        <v>5</v>
      </c>
      <c r="D544" s="186" t="s">
        <v>106</v>
      </c>
      <c r="E544" s="186" t="s">
        <v>608</v>
      </c>
      <c r="F544" s="237"/>
      <c r="G544" s="223">
        <f>SUM(G545:G546)</f>
        <v>120441.6</v>
      </c>
      <c r="H544" s="14">
        <f>SUM(H546)</f>
        <v>40636.1</v>
      </c>
      <c r="I544" s="14">
        <f>SUM(H544/G553*100)</f>
        <v>608.2702152501272</v>
      </c>
    </row>
    <row r="545" spans="1:10" s="25" customFormat="1" ht="15">
      <c r="A545" s="156" t="s">
        <v>523</v>
      </c>
      <c r="B545" s="390"/>
      <c r="C545" s="208" t="s">
        <v>5</v>
      </c>
      <c r="D545" s="186" t="s">
        <v>106</v>
      </c>
      <c r="E545" s="186" t="s">
        <v>608</v>
      </c>
      <c r="F545" s="237" t="s">
        <v>120</v>
      </c>
      <c r="G545" s="223">
        <v>1782.6</v>
      </c>
      <c r="H545" s="14"/>
      <c r="I545" s="14"/>
      <c r="J545" s="25">
        <f>SUM('ведомствен.2014'!G442)</f>
        <v>1782.6</v>
      </c>
    </row>
    <row r="546" spans="1:10" s="25" customFormat="1" ht="15">
      <c r="A546" s="162" t="s">
        <v>528</v>
      </c>
      <c r="B546" s="390"/>
      <c r="C546" s="208" t="s">
        <v>5</v>
      </c>
      <c r="D546" s="186" t="s">
        <v>106</v>
      </c>
      <c r="E546" s="186" t="s">
        <v>608</v>
      </c>
      <c r="F546" s="237" t="s">
        <v>529</v>
      </c>
      <c r="G546" s="223">
        <v>118659</v>
      </c>
      <c r="H546" s="14">
        <v>40636.1</v>
      </c>
      <c r="I546" s="14">
        <f>SUM(H546/G555*100)</f>
        <v>628.3803426733468</v>
      </c>
      <c r="J546" s="16">
        <f>SUM('ведомствен.2014'!G443)</f>
        <v>118659</v>
      </c>
    </row>
    <row r="547" spans="1:10" s="25" customFormat="1" ht="85.5">
      <c r="A547" s="162" t="s">
        <v>493</v>
      </c>
      <c r="B547" s="390"/>
      <c r="C547" s="208" t="s">
        <v>5</v>
      </c>
      <c r="D547" s="186" t="s">
        <v>106</v>
      </c>
      <c r="E547" s="186" t="s">
        <v>609</v>
      </c>
      <c r="F547" s="237"/>
      <c r="G547" s="223">
        <f>SUM(G548:G549)</f>
        <v>1009.3000000000001</v>
      </c>
      <c r="H547" s="14"/>
      <c r="I547" s="14"/>
      <c r="J547" s="39"/>
    </row>
    <row r="548" spans="1:10" s="25" customFormat="1" ht="15">
      <c r="A548" s="156" t="s">
        <v>523</v>
      </c>
      <c r="B548" s="390"/>
      <c r="C548" s="208" t="s">
        <v>5</v>
      </c>
      <c r="D548" s="186" t="s">
        <v>106</v>
      </c>
      <c r="E548" s="186" t="s">
        <v>609</v>
      </c>
      <c r="F548" s="237" t="s">
        <v>120</v>
      </c>
      <c r="G548" s="223">
        <v>68.6</v>
      </c>
      <c r="H548" s="14"/>
      <c r="I548" s="14"/>
      <c r="J548" s="39">
        <f>SUM('ведомствен.2014'!G445)</f>
        <v>68.6</v>
      </c>
    </row>
    <row r="549" spans="1:10" s="16" customFormat="1" ht="15">
      <c r="A549" s="162" t="s">
        <v>528</v>
      </c>
      <c r="B549" s="390"/>
      <c r="C549" s="208" t="s">
        <v>5</v>
      </c>
      <c r="D549" s="186" t="s">
        <v>106</v>
      </c>
      <c r="E549" s="186" t="s">
        <v>609</v>
      </c>
      <c r="F549" s="237" t="s">
        <v>529</v>
      </c>
      <c r="G549" s="223">
        <v>940.7</v>
      </c>
      <c r="H549" s="14">
        <f>SUM(H550)</f>
        <v>191.3</v>
      </c>
      <c r="I549" s="14">
        <f>SUM(H549/G558*100)</f>
        <v>3.6215970618302986</v>
      </c>
      <c r="J549" s="16">
        <f>SUM('ведомствен.2014'!G446)</f>
        <v>940.7</v>
      </c>
    </row>
    <row r="550" spans="1:10" s="16" customFormat="1" ht="71.25">
      <c r="A550" s="162" t="s">
        <v>610</v>
      </c>
      <c r="B550" s="390"/>
      <c r="C550" s="208" t="s">
        <v>5</v>
      </c>
      <c r="D550" s="186" t="s">
        <v>106</v>
      </c>
      <c r="E550" s="186" t="s">
        <v>611</v>
      </c>
      <c r="F550" s="237"/>
      <c r="G550" s="223">
        <f>SUM(G551:G552)</f>
        <v>243.4</v>
      </c>
      <c r="H550" s="14">
        <v>191.3</v>
      </c>
      <c r="I550" s="14">
        <f>SUM(H550/G559*100)</f>
        <v>10.840369467898228</v>
      </c>
      <c r="J550" s="39"/>
    </row>
    <row r="551" spans="1:10" s="16" customFormat="1" ht="15">
      <c r="A551" s="156" t="s">
        <v>523</v>
      </c>
      <c r="B551" s="390"/>
      <c r="C551" s="208" t="s">
        <v>5</v>
      </c>
      <c r="D551" s="186" t="s">
        <v>106</v>
      </c>
      <c r="E551" s="186" t="s">
        <v>611</v>
      </c>
      <c r="F551" s="237" t="s">
        <v>120</v>
      </c>
      <c r="G551" s="223">
        <v>3.6</v>
      </c>
      <c r="H551" s="14"/>
      <c r="I551" s="14"/>
      <c r="J551" s="39">
        <f>SUM('ведомствен.2014'!G448)</f>
        <v>3.6</v>
      </c>
    </row>
    <row r="552" spans="1:10" s="16" customFormat="1" ht="15">
      <c r="A552" s="162" t="s">
        <v>528</v>
      </c>
      <c r="B552" s="390"/>
      <c r="C552" s="208" t="s">
        <v>5</v>
      </c>
      <c r="D552" s="186" t="s">
        <v>106</v>
      </c>
      <c r="E552" s="186" t="s">
        <v>611</v>
      </c>
      <c r="F552" s="237" t="s">
        <v>529</v>
      </c>
      <c r="G552" s="223">
        <v>239.8</v>
      </c>
      <c r="H552" s="14">
        <f>SUM(H555)</f>
        <v>4180.7</v>
      </c>
      <c r="I552" s="14">
        <f>SUM(H552/G561*100)</f>
        <v>288.0261798139855</v>
      </c>
      <c r="J552" s="16">
        <f>SUM('ведомствен.2014'!G449)</f>
        <v>239.8</v>
      </c>
    </row>
    <row r="553" spans="1:10" s="16" customFormat="1" ht="57">
      <c r="A553" s="162" t="s">
        <v>494</v>
      </c>
      <c r="B553" s="390"/>
      <c r="C553" s="208" t="s">
        <v>5</v>
      </c>
      <c r="D553" s="186" t="s">
        <v>106</v>
      </c>
      <c r="E553" s="186" t="s">
        <v>612</v>
      </c>
      <c r="F553" s="237"/>
      <c r="G553" s="223">
        <f>SUM(G554:G555)</f>
        <v>6680.6</v>
      </c>
      <c r="H553" s="14"/>
      <c r="I553" s="14"/>
      <c r="J553" s="39"/>
    </row>
    <row r="554" spans="1:10" s="16" customFormat="1" ht="15">
      <c r="A554" s="156" t="s">
        <v>523</v>
      </c>
      <c r="B554" s="390"/>
      <c r="C554" s="208" t="s">
        <v>5</v>
      </c>
      <c r="D554" s="186" t="s">
        <v>106</v>
      </c>
      <c r="E554" s="186" t="s">
        <v>612</v>
      </c>
      <c r="F554" s="237" t="s">
        <v>120</v>
      </c>
      <c r="G554" s="223">
        <v>213.8</v>
      </c>
      <c r="H554" s="14"/>
      <c r="I554" s="14"/>
      <c r="J554" s="39">
        <f>SUM('ведомствен.2014'!G451)</f>
        <v>213.8</v>
      </c>
    </row>
    <row r="555" spans="1:10" s="16" customFormat="1" ht="15">
      <c r="A555" s="162" t="s">
        <v>528</v>
      </c>
      <c r="B555" s="390"/>
      <c r="C555" s="208" t="s">
        <v>5</v>
      </c>
      <c r="D555" s="186" t="s">
        <v>106</v>
      </c>
      <c r="E555" s="186" t="s">
        <v>612</v>
      </c>
      <c r="F555" s="237" t="s">
        <v>529</v>
      </c>
      <c r="G555" s="223">
        <v>6466.8</v>
      </c>
      <c r="H555" s="14">
        <v>4180.7</v>
      </c>
      <c r="I555" s="14">
        <f>SUM(H555/G563*100)</f>
        <v>86.13428930506623</v>
      </c>
      <c r="J555" s="16">
        <f>SUM('ведомствен.2014'!G452)</f>
        <v>6466.8</v>
      </c>
    </row>
    <row r="556" spans="1:9" s="16" customFormat="1" ht="42.75">
      <c r="A556" s="162" t="s">
        <v>495</v>
      </c>
      <c r="B556" s="390"/>
      <c r="C556" s="208" t="s">
        <v>5</v>
      </c>
      <c r="D556" s="186" t="s">
        <v>106</v>
      </c>
      <c r="E556" s="186" t="s">
        <v>613</v>
      </c>
      <c r="F556" s="237"/>
      <c r="G556" s="223">
        <f>SUM(G557:G558)</f>
        <v>5357.2</v>
      </c>
      <c r="H556" s="14">
        <f>SUM(H558)</f>
        <v>0</v>
      </c>
      <c r="I556" s="14">
        <f>SUM(H556/G565*100)</f>
        <v>0</v>
      </c>
    </row>
    <row r="557" spans="1:10" s="16" customFormat="1" ht="15">
      <c r="A557" s="156" t="s">
        <v>523</v>
      </c>
      <c r="B557" s="390"/>
      <c r="C557" s="208" t="s">
        <v>5</v>
      </c>
      <c r="D557" s="186" t="s">
        <v>106</v>
      </c>
      <c r="E557" s="186" t="s">
        <v>613</v>
      </c>
      <c r="F557" s="237" t="s">
        <v>120</v>
      </c>
      <c r="G557" s="223">
        <v>75</v>
      </c>
      <c r="H557" s="14"/>
      <c r="I557" s="14"/>
      <c r="J557" s="16">
        <f>SUM('ведомствен.2014'!G454)</f>
        <v>75</v>
      </c>
    </row>
    <row r="558" spans="1:10" s="16" customFormat="1" ht="15">
      <c r="A558" s="162" t="s">
        <v>528</v>
      </c>
      <c r="B558" s="390"/>
      <c r="C558" s="208" t="s">
        <v>5</v>
      </c>
      <c r="D558" s="186" t="s">
        <v>106</v>
      </c>
      <c r="E558" s="186" t="s">
        <v>613</v>
      </c>
      <c r="F558" s="237" t="s">
        <v>529</v>
      </c>
      <c r="G558" s="223">
        <v>5282.2</v>
      </c>
      <c r="H558" s="14"/>
      <c r="I558" s="14">
        <f>SUM(H558/G568*100)</f>
        <v>0</v>
      </c>
      <c r="J558" s="16">
        <f>SUM('ведомствен.2014'!G455)</f>
        <v>5282.2</v>
      </c>
    </row>
    <row r="559" spans="1:9" s="25" customFormat="1" ht="42.75">
      <c r="A559" s="170" t="s">
        <v>496</v>
      </c>
      <c r="B559" s="390"/>
      <c r="C559" s="208" t="s">
        <v>5</v>
      </c>
      <c r="D559" s="186" t="s">
        <v>106</v>
      </c>
      <c r="E559" s="186" t="s">
        <v>614</v>
      </c>
      <c r="F559" s="237"/>
      <c r="G559" s="223">
        <f>SUM(G560:G562)</f>
        <v>1764.6999999999998</v>
      </c>
      <c r="H559" s="14">
        <f>SUM(H561)</f>
        <v>0</v>
      </c>
      <c r="I559" s="14">
        <f>SUM(H559/G569*100)</f>
        <v>0</v>
      </c>
    </row>
    <row r="560" spans="1:10" s="25" customFormat="1" ht="15">
      <c r="A560" s="156" t="s">
        <v>523</v>
      </c>
      <c r="B560" s="390"/>
      <c r="C560" s="208" t="s">
        <v>5</v>
      </c>
      <c r="D560" s="186" t="s">
        <v>106</v>
      </c>
      <c r="E560" s="186" t="s">
        <v>614</v>
      </c>
      <c r="F560" s="237" t="s">
        <v>120</v>
      </c>
      <c r="G560" s="223">
        <v>25.6</v>
      </c>
      <c r="H560" s="14"/>
      <c r="I560" s="14"/>
      <c r="J560" s="25">
        <f>SUM('ведомствен.2014'!G457)</f>
        <v>25.6</v>
      </c>
    </row>
    <row r="561" spans="1:10" s="25" customFormat="1" ht="15">
      <c r="A561" s="162" t="s">
        <v>528</v>
      </c>
      <c r="B561" s="390"/>
      <c r="C561" s="208" t="s">
        <v>5</v>
      </c>
      <c r="D561" s="186" t="s">
        <v>106</v>
      </c>
      <c r="E561" s="186" t="s">
        <v>614</v>
      </c>
      <c r="F561" s="237" t="s">
        <v>529</v>
      </c>
      <c r="G561" s="223">
        <v>1451.5</v>
      </c>
      <c r="H561" s="14"/>
      <c r="I561" s="14">
        <f>SUM(H561/G571*100)</f>
        <v>0</v>
      </c>
      <c r="J561" s="16">
        <f>SUM('ведомствен.2014'!G458)</f>
        <v>1451.5</v>
      </c>
    </row>
    <row r="562" spans="1:10" s="16" customFormat="1" ht="42.75">
      <c r="A562" s="162" t="s">
        <v>615</v>
      </c>
      <c r="B562" s="390"/>
      <c r="C562" s="208" t="s">
        <v>5</v>
      </c>
      <c r="D562" s="186" t="s">
        <v>106</v>
      </c>
      <c r="E562" s="186" t="s">
        <v>614</v>
      </c>
      <c r="F562" s="237" t="s">
        <v>536</v>
      </c>
      <c r="G562" s="223">
        <v>287.6</v>
      </c>
      <c r="H562" s="14">
        <f>SUM(H563)</f>
        <v>16724.6</v>
      </c>
      <c r="I562" s="14">
        <f>SUM(H562/G576*100)</f>
        <v>728.6137492376056</v>
      </c>
      <c r="J562" s="16">
        <f>SUM('ведомствен.2014'!G459)</f>
        <v>287.6</v>
      </c>
    </row>
    <row r="563" spans="1:10" s="16" customFormat="1" ht="42.75">
      <c r="A563" s="162" t="s">
        <v>497</v>
      </c>
      <c r="B563" s="390"/>
      <c r="C563" s="208" t="s">
        <v>5</v>
      </c>
      <c r="D563" s="186" t="s">
        <v>106</v>
      </c>
      <c r="E563" s="186" t="s">
        <v>616</v>
      </c>
      <c r="F563" s="237"/>
      <c r="G563" s="223">
        <f>SUM(G564:G565)</f>
        <v>4853.7</v>
      </c>
      <c r="H563" s="14">
        <v>16724.6</v>
      </c>
      <c r="I563" s="14">
        <f>SUM(H563/G577*100)</f>
        <v>5661.679079214624</v>
      </c>
      <c r="J563" s="39"/>
    </row>
    <row r="564" spans="1:10" s="16" customFormat="1" ht="15">
      <c r="A564" s="156" t="s">
        <v>523</v>
      </c>
      <c r="B564" s="390"/>
      <c r="C564" s="208" t="s">
        <v>5</v>
      </c>
      <c r="D564" s="186" t="s">
        <v>106</v>
      </c>
      <c r="E564" s="186" t="s">
        <v>616</v>
      </c>
      <c r="F564" s="237" t="s">
        <v>120</v>
      </c>
      <c r="G564" s="223">
        <v>72.8</v>
      </c>
      <c r="H564" s="14"/>
      <c r="I564" s="14"/>
      <c r="J564" s="39">
        <f>SUM('ведомствен.2014'!G461)</f>
        <v>72.8</v>
      </c>
    </row>
    <row r="565" spans="1:10" s="16" customFormat="1" ht="15">
      <c r="A565" s="162" t="s">
        <v>528</v>
      </c>
      <c r="B565" s="390"/>
      <c r="C565" s="208" t="s">
        <v>5</v>
      </c>
      <c r="D565" s="186" t="s">
        <v>106</v>
      </c>
      <c r="E565" s="186" t="s">
        <v>616</v>
      </c>
      <c r="F565" s="237" t="s">
        <v>529</v>
      </c>
      <c r="G565" s="223">
        <v>4780.9</v>
      </c>
      <c r="H565" s="14">
        <f>SUM(H568)</f>
        <v>4118.3</v>
      </c>
      <c r="I565" s="14">
        <f>SUM(H565/G578*100)</f>
        <v>1394.1435341909278</v>
      </c>
      <c r="J565" s="16">
        <f>SUM('ведомствен.2014'!G462)</f>
        <v>4780.9</v>
      </c>
    </row>
    <row r="566" spans="1:9" s="16" customFormat="1" ht="42.75">
      <c r="A566" s="164" t="s">
        <v>639</v>
      </c>
      <c r="B566" s="382"/>
      <c r="C566" s="116" t="s">
        <v>5</v>
      </c>
      <c r="D566" s="175" t="s">
        <v>106</v>
      </c>
      <c r="E566" s="175" t="s">
        <v>184</v>
      </c>
      <c r="F566" s="252"/>
      <c r="G566" s="220">
        <f>SUM(G567)</f>
        <v>9455.7</v>
      </c>
      <c r="H566" s="14"/>
      <c r="I566" s="14"/>
    </row>
    <row r="567" spans="1:10" s="16" customFormat="1" ht="15">
      <c r="A567" s="164" t="s">
        <v>528</v>
      </c>
      <c r="B567" s="382"/>
      <c r="C567" s="116" t="s">
        <v>5</v>
      </c>
      <c r="D567" s="175" t="s">
        <v>106</v>
      </c>
      <c r="E567" s="175" t="s">
        <v>184</v>
      </c>
      <c r="F567" s="252" t="s">
        <v>529</v>
      </c>
      <c r="G567" s="220">
        <v>9455.7</v>
      </c>
      <c r="H567" s="14"/>
      <c r="I567" s="14"/>
      <c r="J567" s="16">
        <f>SUM('ведомствен.2014'!G642)</f>
        <v>9455.7</v>
      </c>
    </row>
    <row r="568" spans="1:10" s="16" customFormat="1" ht="28.5">
      <c r="A568" s="167" t="s">
        <v>185</v>
      </c>
      <c r="B568" s="371"/>
      <c r="C568" s="208" t="s">
        <v>5</v>
      </c>
      <c r="D568" s="186" t="s">
        <v>106</v>
      </c>
      <c r="E568" s="186" t="s">
        <v>186</v>
      </c>
      <c r="F568" s="237"/>
      <c r="G568" s="223">
        <f>SUM(G569)</f>
        <v>952.9</v>
      </c>
      <c r="H568" s="14">
        <v>4118.3</v>
      </c>
      <c r="I568" s="14">
        <f>SUM(H568/G582*100)</f>
        <v>3.94398380383797</v>
      </c>
      <c r="J568" s="39"/>
    </row>
    <row r="569" spans="1:9" s="16" customFormat="1" ht="15">
      <c r="A569" s="167" t="s">
        <v>187</v>
      </c>
      <c r="B569" s="371"/>
      <c r="C569" s="208" t="s">
        <v>5</v>
      </c>
      <c r="D569" s="186" t="s">
        <v>106</v>
      </c>
      <c r="E569" s="186" t="s">
        <v>188</v>
      </c>
      <c r="F569" s="237"/>
      <c r="G569" s="223">
        <f>SUM(G570:G571)</f>
        <v>952.9</v>
      </c>
      <c r="H569" s="14">
        <f>SUM(H571)</f>
        <v>5628.5</v>
      </c>
      <c r="I569" s="14">
        <f>SUM(H569/G592*100)</f>
        <v>9.769123425762647</v>
      </c>
    </row>
    <row r="570" spans="1:10" s="16" customFormat="1" ht="15">
      <c r="A570" s="156" t="s">
        <v>523</v>
      </c>
      <c r="B570" s="390"/>
      <c r="C570" s="208" t="s">
        <v>5</v>
      </c>
      <c r="D570" s="186" t="s">
        <v>106</v>
      </c>
      <c r="E570" s="186" t="s">
        <v>188</v>
      </c>
      <c r="F570" s="237" t="s">
        <v>120</v>
      </c>
      <c r="G570" s="223">
        <v>248.9</v>
      </c>
      <c r="H570" s="14"/>
      <c r="I570" s="14"/>
      <c r="J570" s="16">
        <f>SUM('ведомствен.2014'!G465)</f>
        <v>248.9</v>
      </c>
    </row>
    <row r="571" spans="1:10" s="16" customFormat="1" ht="15">
      <c r="A571" s="167" t="s">
        <v>528</v>
      </c>
      <c r="B571" s="371"/>
      <c r="C571" s="208" t="s">
        <v>5</v>
      </c>
      <c r="D571" s="186" t="s">
        <v>106</v>
      </c>
      <c r="E571" s="186" t="s">
        <v>188</v>
      </c>
      <c r="F571" s="237" t="s">
        <v>529</v>
      </c>
      <c r="G571" s="223">
        <v>704</v>
      </c>
      <c r="H571" s="14">
        <f>SUM(H576)</f>
        <v>5628.5</v>
      </c>
      <c r="I571" s="14">
        <f>SUM(H571/G595*100)</f>
        <v>18.422870085789008</v>
      </c>
      <c r="J571" s="16">
        <f>SUM('ведомствен.2014'!G466)</f>
        <v>704</v>
      </c>
    </row>
    <row r="572" spans="1:9" s="16" customFormat="1" ht="15">
      <c r="A572" s="270" t="s">
        <v>3</v>
      </c>
      <c r="B572" s="387"/>
      <c r="C572" s="353" t="s">
        <v>5</v>
      </c>
      <c r="D572" s="279" t="s">
        <v>106</v>
      </c>
      <c r="E572" s="279" t="s">
        <v>4</v>
      </c>
      <c r="F572" s="361"/>
      <c r="G572" s="345">
        <f>SUM(G573)</f>
        <v>263.5</v>
      </c>
      <c r="H572" s="14"/>
      <c r="I572" s="14"/>
    </row>
    <row r="573" spans="1:9" s="16" customFormat="1" ht="28.5">
      <c r="A573" s="343" t="s">
        <v>1017</v>
      </c>
      <c r="B573" s="391"/>
      <c r="C573" s="353" t="s">
        <v>5</v>
      </c>
      <c r="D573" s="279" t="s">
        <v>106</v>
      </c>
      <c r="E573" s="279" t="s">
        <v>456</v>
      </c>
      <c r="F573" s="361"/>
      <c r="G573" s="345">
        <f>SUM(G574)</f>
        <v>263.5</v>
      </c>
      <c r="H573" s="14"/>
      <c r="I573" s="14"/>
    </row>
    <row r="574" spans="1:9" s="16" customFormat="1" ht="28.5">
      <c r="A574" s="270" t="s">
        <v>1018</v>
      </c>
      <c r="B574" s="391"/>
      <c r="C574" s="353" t="s">
        <v>5</v>
      </c>
      <c r="D574" s="279" t="s">
        <v>106</v>
      </c>
      <c r="E574" s="279" t="s">
        <v>684</v>
      </c>
      <c r="F574" s="361"/>
      <c r="G574" s="345">
        <f>SUM(G575)</f>
        <v>263.5</v>
      </c>
      <c r="H574" s="14"/>
      <c r="I574" s="14"/>
    </row>
    <row r="575" spans="1:10" s="16" customFormat="1" ht="15">
      <c r="A575" s="283" t="s">
        <v>685</v>
      </c>
      <c r="B575" s="391"/>
      <c r="C575" s="353" t="s">
        <v>5</v>
      </c>
      <c r="D575" s="279" t="s">
        <v>106</v>
      </c>
      <c r="E575" s="279" t="s">
        <v>684</v>
      </c>
      <c r="F575" s="361" t="s">
        <v>529</v>
      </c>
      <c r="G575" s="345">
        <v>263.5</v>
      </c>
      <c r="H575" s="14"/>
      <c r="I575" s="14"/>
      <c r="J575" s="16">
        <f>SUM('ведомствен.2014'!G282)</f>
        <v>263.5</v>
      </c>
    </row>
    <row r="576" spans="1:9" s="16" customFormat="1" ht="15">
      <c r="A576" s="162" t="s">
        <v>617</v>
      </c>
      <c r="B576" s="371"/>
      <c r="C576" s="208" t="s">
        <v>5</v>
      </c>
      <c r="D576" s="186" t="s">
        <v>106</v>
      </c>
      <c r="E576" s="186" t="s">
        <v>129</v>
      </c>
      <c r="F576" s="237"/>
      <c r="G576" s="223">
        <f>G577+G579</f>
        <v>2295.4</v>
      </c>
      <c r="H576" s="18">
        <v>5628.5</v>
      </c>
      <c r="I576" s="14">
        <f>SUM(H576/G596*100)</f>
        <v>86.41283488140017</v>
      </c>
    </row>
    <row r="577" spans="1:9" s="16" customFormat="1" ht="42.75">
      <c r="A577" s="162" t="s">
        <v>618</v>
      </c>
      <c r="B577" s="371"/>
      <c r="C577" s="208" t="s">
        <v>5</v>
      </c>
      <c r="D577" s="186" t="s">
        <v>106</v>
      </c>
      <c r="E577" s="186" t="s">
        <v>619</v>
      </c>
      <c r="F577" s="237"/>
      <c r="G577" s="223">
        <f>G578</f>
        <v>295.4</v>
      </c>
      <c r="H577" s="14">
        <f>SUM(H578)</f>
        <v>12.8</v>
      </c>
      <c r="I577" s="14">
        <f>SUM(H577/G598*100)</f>
        <v>0.19947637451689315</v>
      </c>
    </row>
    <row r="578" spans="1:10" s="16" customFormat="1" ht="15">
      <c r="A578" s="167" t="s">
        <v>528</v>
      </c>
      <c r="B578" s="371"/>
      <c r="C578" s="208" t="s">
        <v>5</v>
      </c>
      <c r="D578" s="186" t="s">
        <v>106</v>
      </c>
      <c r="E578" s="186" t="s">
        <v>619</v>
      </c>
      <c r="F578" s="237" t="s">
        <v>529</v>
      </c>
      <c r="G578" s="223">
        <v>295.4</v>
      </c>
      <c r="H578" s="14">
        <v>12.8</v>
      </c>
      <c r="I578" s="14">
        <f>SUM(H578/G599*100)</f>
        <v>0.23784748030325556</v>
      </c>
      <c r="J578" s="16">
        <f>SUM('ведомствен.2014'!G469)</f>
        <v>295.4</v>
      </c>
    </row>
    <row r="579" spans="1:9" s="16" customFormat="1" ht="28.5">
      <c r="A579" s="284" t="s">
        <v>686</v>
      </c>
      <c r="B579" s="286"/>
      <c r="C579" s="353" t="s">
        <v>5</v>
      </c>
      <c r="D579" s="279" t="s">
        <v>106</v>
      </c>
      <c r="E579" s="285" t="s">
        <v>679</v>
      </c>
      <c r="F579" s="363"/>
      <c r="G579" s="347">
        <f>SUM(G580)</f>
        <v>2000</v>
      </c>
      <c r="H579" s="14"/>
      <c r="I579" s="14"/>
    </row>
    <row r="580" spans="1:9" s="16" customFormat="1" ht="28.5">
      <c r="A580" s="270" t="s">
        <v>683</v>
      </c>
      <c r="B580" s="281"/>
      <c r="C580" s="353" t="s">
        <v>5</v>
      </c>
      <c r="D580" s="279" t="s">
        <v>106</v>
      </c>
      <c r="E580" s="285" t="s">
        <v>687</v>
      </c>
      <c r="F580" s="363"/>
      <c r="G580" s="348">
        <f>SUM(G581:G581)</f>
        <v>2000</v>
      </c>
      <c r="H580" s="14"/>
      <c r="I580" s="14"/>
    </row>
    <row r="581" spans="1:10" s="16" customFormat="1" ht="15">
      <c r="A581" s="283" t="s">
        <v>685</v>
      </c>
      <c r="B581" s="391"/>
      <c r="C581" s="353" t="s">
        <v>5</v>
      </c>
      <c r="D581" s="279" t="s">
        <v>106</v>
      </c>
      <c r="E581" s="285" t="s">
        <v>687</v>
      </c>
      <c r="F581" s="361" t="s">
        <v>529</v>
      </c>
      <c r="G581" s="345">
        <v>2000</v>
      </c>
      <c r="H581" s="14"/>
      <c r="I581" s="14"/>
      <c r="J581" s="16">
        <f>SUM('ведомствен.2014'!G286)</f>
        <v>2000</v>
      </c>
    </row>
    <row r="582" spans="1:11" s="16" customFormat="1" ht="15">
      <c r="A582" s="168" t="s">
        <v>159</v>
      </c>
      <c r="B582" s="371"/>
      <c r="C582" s="208" t="s">
        <v>5</v>
      </c>
      <c r="D582" s="186" t="s">
        <v>122</v>
      </c>
      <c r="E582" s="186"/>
      <c r="F582" s="237"/>
      <c r="G582" s="223">
        <f>SUM(G592)+G583</f>
        <v>104419.79999999999</v>
      </c>
      <c r="H582" s="14">
        <f>SUM(H592)</f>
        <v>90050.4</v>
      </c>
      <c r="I582" s="14">
        <f>SUM(H582/G601*100)</f>
        <v>1687.6960848623423</v>
      </c>
      <c r="K582" s="16">
        <f>SUM(J583:J604)</f>
        <v>104419.79999999999</v>
      </c>
    </row>
    <row r="583" spans="1:9" s="16" customFormat="1" ht="15">
      <c r="A583" s="156" t="s">
        <v>26</v>
      </c>
      <c r="B583" s="367"/>
      <c r="C583" s="235" t="s">
        <v>5</v>
      </c>
      <c r="D583" s="183" t="s">
        <v>122</v>
      </c>
      <c r="E583" s="114" t="s">
        <v>27</v>
      </c>
      <c r="F583" s="196"/>
      <c r="G583" s="213">
        <f>SUM(G584)</f>
        <v>46804.6</v>
      </c>
      <c r="H583" s="14"/>
      <c r="I583" s="14"/>
    </row>
    <row r="584" spans="1:9" s="16" customFormat="1" ht="42.75">
      <c r="A584" s="160" t="s">
        <v>587</v>
      </c>
      <c r="B584" s="369"/>
      <c r="C584" s="235" t="s">
        <v>5</v>
      </c>
      <c r="D584" s="183" t="s">
        <v>122</v>
      </c>
      <c r="E584" s="183" t="s">
        <v>208</v>
      </c>
      <c r="F584" s="201"/>
      <c r="G584" s="213">
        <f>G589+G585</f>
        <v>46804.6</v>
      </c>
      <c r="H584" s="14"/>
      <c r="I584" s="14"/>
    </row>
    <row r="585" spans="1:9" s="16" customFormat="1" ht="71.25">
      <c r="A585" s="160" t="s">
        <v>669</v>
      </c>
      <c r="B585" s="369"/>
      <c r="C585" s="235" t="s">
        <v>5</v>
      </c>
      <c r="D585" s="183" t="s">
        <v>122</v>
      </c>
      <c r="E585" s="183" t="s">
        <v>588</v>
      </c>
      <c r="F585" s="201"/>
      <c r="G585" s="213">
        <f>SUM(G586)</f>
        <v>23007.6</v>
      </c>
      <c r="H585" s="14"/>
      <c r="I585" s="14"/>
    </row>
    <row r="586" spans="1:10" s="16" customFormat="1" ht="28.5">
      <c r="A586" s="160" t="s">
        <v>589</v>
      </c>
      <c r="B586" s="369"/>
      <c r="C586" s="235" t="s">
        <v>5</v>
      </c>
      <c r="D586" s="183" t="s">
        <v>122</v>
      </c>
      <c r="E586" s="183" t="s">
        <v>588</v>
      </c>
      <c r="F586" s="201" t="s">
        <v>583</v>
      </c>
      <c r="G586" s="213">
        <v>23007.6</v>
      </c>
      <c r="H586" s="14"/>
      <c r="I586" s="14"/>
      <c r="J586" s="16">
        <f>SUM('ведомствен.2014'!G291)</f>
        <v>23007.6</v>
      </c>
    </row>
    <row r="587" spans="1:9" s="16" customFormat="1" ht="15" hidden="1">
      <c r="A587" s="160" t="s">
        <v>65</v>
      </c>
      <c r="B587" s="369"/>
      <c r="C587" s="235" t="s">
        <v>5</v>
      </c>
      <c r="D587" s="183" t="s">
        <v>122</v>
      </c>
      <c r="E587" s="183" t="s">
        <v>588</v>
      </c>
      <c r="F587" s="201" t="s">
        <v>590</v>
      </c>
      <c r="G587" s="213"/>
      <c r="H587" s="14"/>
      <c r="I587" s="14"/>
    </row>
    <row r="588" spans="1:9" s="16" customFormat="1" ht="28.5" hidden="1">
      <c r="A588" s="160" t="s">
        <v>591</v>
      </c>
      <c r="B588" s="369"/>
      <c r="C588" s="235" t="s">
        <v>5</v>
      </c>
      <c r="D588" s="183" t="s">
        <v>122</v>
      </c>
      <c r="E588" s="183" t="s">
        <v>588</v>
      </c>
      <c r="F588" s="201" t="s">
        <v>592</v>
      </c>
      <c r="G588" s="213"/>
      <c r="H588" s="14"/>
      <c r="I588" s="14"/>
    </row>
    <row r="589" spans="1:9" s="16" customFormat="1" ht="57">
      <c r="A589" s="160" t="s">
        <v>670</v>
      </c>
      <c r="B589" s="369"/>
      <c r="C589" s="235" t="s">
        <v>5</v>
      </c>
      <c r="D589" s="183" t="s">
        <v>122</v>
      </c>
      <c r="E589" s="183" t="s">
        <v>485</v>
      </c>
      <c r="F589" s="201"/>
      <c r="G589" s="213">
        <f>SUM(G590)</f>
        <v>23797</v>
      </c>
      <c r="H589" s="14"/>
      <c r="I589" s="14"/>
    </row>
    <row r="590" spans="1:10" s="16" customFormat="1" ht="28.5">
      <c r="A590" s="160" t="s">
        <v>589</v>
      </c>
      <c r="B590" s="369"/>
      <c r="C590" s="235" t="s">
        <v>5</v>
      </c>
      <c r="D590" s="183" t="s">
        <v>122</v>
      </c>
      <c r="E590" s="183" t="s">
        <v>485</v>
      </c>
      <c r="F590" s="201" t="s">
        <v>583</v>
      </c>
      <c r="G590" s="213">
        <v>23797</v>
      </c>
      <c r="H590" s="14"/>
      <c r="I590" s="14"/>
      <c r="J590" s="16">
        <f>SUM('ведомствен.2014'!G295)</f>
        <v>23797</v>
      </c>
    </row>
    <row r="591" spans="1:9" s="16" customFormat="1" ht="15" hidden="1">
      <c r="A591" s="160" t="s">
        <v>65</v>
      </c>
      <c r="B591" s="369"/>
      <c r="C591" s="235" t="s">
        <v>5</v>
      </c>
      <c r="D591" s="183" t="s">
        <v>122</v>
      </c>
      <c r="E591" s="183" t="s">
        <v>485</v>
      </c>
      <c r="F591" s="201" t="s">
        <v>590</v>
      </c>
      <c r="G591" s="213"/>
      <c r="H591" s="14"/>
      <c r="I591" s="14"/>
    </row>
    <row r="592" spans="1:10" s="16" customFormat="1" ht="15">
      <c r="A592" s="167" t="s">
        <v>160</v>
      </c>
      <c r="B592" s="371"/>
      <c r="C592" s="208" t="s">
        <v>5</v>
      </c>
      <c r="D592" s="186" t="s">
        <v>122</v>
      </c>
      <c r="E592" s="186" t="s">
        <v>225</v>
      </c>
      <c r="F592" s="237"/>
      <c r="G592" s="223">
        <f>SUM(G595)+G593</f>
        <v>57615.2</v>
      </c>
      <c r="H592" s="14">
        <v>90050.4</v>
      </c>
      <c r="I592" s="14">
        <f>SUM(H592/G602*100)</f>
        <v>482.67315588049274</v>
      </c>
      <c r="J592" s="39"/>
    </row>
    <row r="593" spans="1:10" s="16" customFormat="1" ht="57">
      <c r="A593" s="164" t="s">
        <v>161</v>
      </c>
      <c r="B593" s="382"/>
      <c r="C593" s="116" t="s">
        <v>5</v>
      </c>
      <c r="D593" s="175" t="s">
        <v>122</v>
      </c>
      <c r="E593" s="175" t="s">
        <v>162</v>
      </c>
      <c r="F593" s="252"/>
      <c r="G593" s="220">
        <f>SUM(G594)</f>
        <v>27063.5</v>
      </c>
      <c r="H593" s="14"/>
      <c r="I593" s="14"/>
      <c r="J593" s="39"/>
    </row>
    <row r="594" spans="1:10" s="16" customFormat="1" ht="15">
      <c r="A594" s="164" t="s">
        <v>528</v>
      </c>
      <c r="B594" s="382"/>
      <c r="C594" s="116" t="s">
        <v>5</v>
      </c>
      <c r="D594" s="175" t="s">
        <v>122</v>
      </c>
      <c r="E594" s="175" t="s">
        <v>162</v>
      </c>
      <c r="F594" s="252" t="s">
        <v>529</v>
      </c>
      <c r="G594" s="220">
        <v>27063.5</v>
      </c>
      <c r="H594" s="14"/>
      <c r="I594" s="14"/>
      <c r="J594" s="39">
        <f>SUM('ведомствен.2014'!G646)</f>
        <v>27063.5</v>
      </c>
    </row>
    <row r="595" spans="1:10" s="16" customFormat="1" ht="28.5">
      <c r="A595" s="167" t="s">
        <v>498</v>
      </c>
      <c r="B595" s="371"/>
      <c r="C595" s="208" t="s">
        <v>5</v>
      </c>
      <c r="D595" s="186" t="s">
        <v>122</v>
      </c>
      <c r="E595" s="186" t="s">
        <v>163</v>
      </c>
      <c r="F595" s="237"/>
      <c r="G595" s="223">
        <f>SUM(G602+G596+G599)</f>
        <v>30551.699999999997</v>
      </c>
      <c r="H595" s="14"/>
      <c r="I595" s="14"/>
      <c r="J595" s="39"/>
    </row>
    <row r="596" spans="1:9" s="16" customFormat="1" ht="15">
      <c r="A596" s="162" t="s">
        <v>164</v>
      </c>
      <c r="B596" s="390"/>
      <c r="C596" s="208" t="s">
        <v>5</v>
      </c>
      <c r="D596" s="186" t="s">
        <v>122</v>
      </c>
      <c r="E596" s="186" t="s">
        <v>165</v>
      </c>
      <c r="F596" s="237"/>
      <c r="G596" s="223">
        <f>SUM(G597:G598)</f>
        <v>6513.5</v>
      </c>
      <c r="H596" s="14">
        <f>SUM(H598)</f>
        <v>56493.7</v>
      </c>
      <c r="I596" s="14">
        <f>SUM(H596/G605*100)</f>
        <v>186.95627713650322</v>
      </c>
    </row>
    <row r="597" spans="1:10" s="16" customFormat="1" ht="15">
      <c r="A597" s="156" t="s">
        <v>523</v>
      </c>
      <c r="B597" s="390"/>
      <c r="C597" s="208" t="s">
        <v>5</v>
      </c>
      <c r="D597" s="186" t="s">
        <v>122</v>
      </c>
      <c r="E597" s="186" t="s">
        <v>165</v>
      </c>
      <c r="F597" s="237" t="s">
        <v>120</v>
      </c>
      <c r="G597" s="223">
        <v>96.7</v>
      </c>
      <c r="H597" s="14"/>
      <c r="I597" s="14"/>
      <c r="J597" s="16">
        <f>SUM('ведомствен.2014'!G474)</f>
        <v>96.7</v>
      </c>
    </row>
    <row r="598" spans="1:10" s="16" customFormat="1" ht="15">
      <c r="A598" s="162" t="s">
        <v>528</v>
      </c>
      <c r="B598" s="390"/>
      <c r="C598" s="208" t="s">
        <v>5</v>
      </c>
      <c r="D598" s="186" t="s">
        <v>122</v>
      </c>
      <c r="E598" s="186" t="s">
        <v>165</v>
      </c>
      <c r="F598" s="237" t="s">
        <v>529</v>
      </c>
      <c r="G598" s="223">
        <v>6416.8</v>
      </c>
      <c r="H598" s="14">
        <v>56493.7</v>
      </c>
      <c r="I598" s="14">
        <f>SUM(H598/G606*100)</f>
        <v>205.86057494342757</v>
      </c>
      <c r="J598" s="16">
        <f>SUM('ведомствен.2014'!G475)</f>
        <v>6416.8</v>
      </c>
    </row>
    <row r="599" spans="1:9" s="16" customFormat="1" ht="15">
      <c r="A599" s="167" t="s">
        <v>499</v>
      </c>
      <c r="B599" s="371"/>
      <c r="C599" s="208" t="s">
        <v>5</v>
      </c>
      <c r="D599" s="186" t="s">
        <v>122</v>
      </c>
      <c r="E599" s="186" t="s">
        <v>166</v>
      </c>
      <c r="F599" s="237"/>
      <c r="G599" s="223">
        <f>SUM(G600:G601)</f>
        <v>5381.599999999999</v>
      </c>
      <c r="H599" s="14">
        <f>SUM(H601+H606+H608+H622+H624+H617+H630)</f>
        <v>182903.19999999998</v>
      </c>
      <c r="I599" s="14">
        <f>SUM(H599/G607*100)</f>
        <v>5871.880317185142</v>
      </c>
    </row>
    <row r="600" spans="1:10" s="16" customFormat="1" ht="15">
      <c r="A600" s="156" t="s">
        <v>523</v>
      </c>
      <c r="B600" s="390"/>
      <c r="C600" s="208" t="s">
        <v>5</v>
      </c>
      <c r="D600" s="186" t="s">
        <v>122</v>
      </c>
      <c r="E600" s="186" t="s">
        <v>166</v>
      </c>
      <c r="F600" s="237" t="s">
        <v>120</v>
      </c>
      <c r="G600" s="223">
        <v>45.9</v>
      </c>
      <c r="H600" s="14"/>
      <c r="I600" s="14"/>
      <c r="J600" s="16">
        <f>SUM('ведомствен.2014'!G477)</f>
        <v>45.9</v>
      </c>
    </row>
    <row r="601" spans="1:10" s="16" customFormat="1" ht="15">
      <c r="A601" s="167" t="s">
        <v>528</v>
      </c>
      <c r="B601" s="371"/>
      <c r="C601" s="208" t="s">
        <v>5</v>
      </c>
      <c r="D601" s="186" t="s">
        <v>122</v>
      </c>
      <c r="E601" s="186" t="s">
        <v>166</v>
      </c>
      <c r="F601" s="237" t="s">
        <v>529</v>
      </c>
      <c r="G601" s="223">
        <v>5335.7</v>
      </c>
      <c r="H601" s="14">
        <f>SUM(H602)</f>
        <v>37224.7</v>
      </c>
      <c r="I601" s="14">
        <f>SUM(H601/G608*100)</f>
        <v>1199.9065209683135</v>
      </c>
      <c r="J601" s="16">
        <f>SUM('ведомствен.2014'!G478)</f>
        <v>5335.7</v>
      </c>
    </row>
    <row r="602" spans="1:10" s="16" customFormat="1" ht="15">
      <c r="A602" s="162" t="s">
        <v>500</v>
      </c>
      <c r="B602" s="390"/>
      <c r="C602" s="208" t="s">
        <v>5</v>
      </c>
      <c r="D602" s="186" t="s">
        <v>122</v>
      </c>
      <c r="E602" s="186" t="s">
        <v>501</v>
      </c>
      <c r="F602" s="237"/>
      <c r="G602" s="223">
        <f>SUM(G603:G604)</f>
        <v>18656.6</v>
      </c>
      <c r="H602" s="14">
        <v>37224.7</v>
      </c>
      <c r="I602" s="14">
        <f>SUM(H602/G609*100)</f>
        <v>295434.126984127</v>
      </c>
      <c r="J602" s="39"/>
    </row>
    <row r="603" spans="1:10" s="16" customFormat="1" ht="15">
      <c r="A603" s="156" t="s">
        <v>523</v>
      </c>
      <c r="B603" s="390"/>
      <c r="C603" s="208" t="s">
        <v>5</v>
      </c>
      <c r="D603" s="186" t="s">
        <v>122</v>
      </c>
      <c r="E603" s="186" t="s">
        <v>501</v>
      </c>
      <c r="F603" s="237" t="s">
        <v>120</v>
      </c>
      <c r="G603" s="223">
        <v>288.5</v>
      </c>
      <c r="H603" s="14"/>
      <c r="I603" s="14"/>
      <c r="J603" s="39">
        <f>SUM('ведомствен.2014'!G480)</f>
        <v>288.5</v>
      </c>
    </row>
    <row r="604" spans="1:10" s="16" customFormat="1" ht="15">
      <c r="A604" s="162" t="s">
        <v>528</v>
      </c>
      <c r="B604" s="390"/>
      <c r="C604" s="208" t="s">
        <v>5</v>
      </c>
      <c r="D604" s="186" t="s">
        <v>122</v>
      </c>
      <c r="E604" s="186" t="s">
        <v>501</v>
      </c>
      <c r="F604" s="237" t="s">
        <v>529</v>
      </c>
      <c r="G604" s="223">
        <v>18368.1</v>
      </c>
      <c r="H604" s="14">
        <f>SUM(H605)</f>
        <v>0</v>
      </c>
      <c r="I604" s="14">
        <f aca="true" t="shared" si="13" ref="I604:I618">SUM(H604/G610*100)</f>
        <v>0</v>
      </c>
      <c r="J604" s="16">
        <f>SUM('ведомствен.2014'!G481)</f>
        <v>18368.1</v>
      </c>
    </row>
    <row r="605" spans="1:9" s="16" customFormat="1" ht="15">
      <c r="A605" s="167" t="s">
        <v>167</v>
      </c>
      <c r="B605" s="371"/>
      <c r="C605" s="208" t="s">
        <v>5</v>
      </c>
      <c r="D605" s="186" t="s">
        <v>396</v>
      </c>
      <c r="E605" s="186"/>
      <c r="F605" s="237"/>
      <c r="G605" s="223">
        <f>G606+G619+G629+G627</f>
        <v>30217.6</v>
      </c>
      <c r="H605" s="14"/>
      <c r="I605" s="14">
        <f t="shared" si="13"/>
        <v>0</v>
      </c>
    </row>
    <row r="606" spans="1:9" s="16" customFormat="1" ht="42.75">
      <c r="A606" s="162" t="s">
        <v>99</v>
      </c>
      <c r="B606" s="371"/>
      <c r="C606" s="208" t="s">
        <v>5</v>
      </c>
      <c r="D606" s="186" t="s">
        <v>396</v>
      </c>
      <c r="E606" s="186" t="s">
        <v>100</v>
      </c>
      <c r="F606" s="237"/>
      <c r="G606" s="223">
        <f>G607+G610+G614+G616</f>
        <v>27442.7</v>
      </c>
      <c r="H606" s="14">
        <f>SUM(H607)</f>
        <v>29554</v>
      </c>
      <c r="I606" s="14">
        <f t="shared" si="13"/>
        <v>4865.656898254857</v>
      </c>
    </row>
    <row r="607" spans="1:10" s="16" customFormat="1" ht="15">
      <c r="A607" s="162" t="s">
        <v>107</v>
      </c>
      <c r="B607" s="371"/>
      <c r="C607" s="208" t="s">
        <v>5</v>
      </c>
      <c r="D607" s="186" t="s">
        <v>396</v>
      </c>
      <c r="E607" s="186" t="s">
        <v>109</v>
      </c>
      <c r="F607" s="237"/>
      <c r="G607" s="223">
        <f>G608+G609</f>
        <v>3114.9</v>
      </c>
      <c r="H607" s="14">
        <v>29554</v>
      </c>
      <c r="I607" s="14">
        <f aca="true" t="shared" si="14" ref="I607:I612">SUM(H607/G614*100)</f>
        <v>202.80108969388385</v>
      </c>
      <c r="J607" s="39"/>
    </row>
    <row r="608" spans="1:10" s="16" customFormat="1" ht="42.75">
      <c r="A608" s="162" t="s">
        <v>620</v>
      </c>
      <c r="B608" s="371"/>
      <c r="C608" s="208" t="s">
        <v>5</v>
      </c>
      <c r="D608" s="186" t="s">
        <v>396</v>
      </c>
      <c r="E608" s="186" t="s">
        <v>109</v>
      </c>
      <c r="F608" s="237" t="s">
        <v>519</v>
      </c>
      <c r="G608" s="223">
        <v>3102.3</v>
      </c>
      <c r="H608" s="14">
        <f>SUM(H609)</f>
        <v>37911</v>
      </c>
      <c r="I608" s="14">
        <f t="shared" si="14"/>
        <v>260.1472596394678</v>
      </c>
      <c r="J608" s="16">
        <f>SUM('ведомствен.2014'!G485)</f>
        <v>3102.3</v>
      </c>
    </row>
    <row r="609" spans="1:10" s="16" customFormat="1" ht="15">
      <c r="A609" s="162" t="s">
        <v>523</v>
      </c>
      <c r="B609" s="371"/>
      <c r="C609" s="208" t="s">
        <v>5</v>
      </c>
      <c r="D609" s="186" t="s">
        <v>396</v>
      </c>
      <c r="E609" s="186" t="s">
        <v>109</v>
      </c>
      <c r="F609" s="237" t="s">
        <v>120</v>
      </c>
      <c r="G609" s="223">
        <v>12.6</v>
      </c>
      <c r="H609" s="14">
        <v>37911</v>
      </c>
      <c r="I609" s="14">
        <f t="shared" si="14"/>
        <v>686.5820308962818</v>
      </c>
      <c r="J609" s="16">
        <f>SUM('ведомствен.2014'!G486)</f>
        <v>12.6</v>
      </c>
    </row>
    <row r="610" spans="1:9" s="16" customFormat="1" ht="42.75">
      <c r="A610" s="167" t="s">
        <v>621</v>
      </c>
      <c r="B610" s="371"/>
      <c r="C610" s="208" t="s">
        <v>5</v>
      </c>
      <c r="D610" s="186" t="s">
        <v>396</v>
      </c>
      <c r="E610" s="186" t="s">
        <v>170</v>
      </c>
      <c r="F610" s="237"/>
      <c r="G610" s="223">
        <f>SUM(G611:G613)</f>
        <v>4233.2</v>
      </c>
      <c r="H610" s="14">
        <f>SUM(H611)</f>
        <v>0</v>
      </c>
      <c r="I610" s="14">
        <f t="shared" si="14"/>
        <v>0</v>
      </c>
    </row>
    <row r="611" spans="1:10" s="16" customFormat="1" ht="42.75">
      <c r="A611" s="162" t="s">
        <v>620</v>
      </c>
      <c r="B611" s="371"/>
      <c r="C611" s="208" t="s">
        <v>5</v>
      </c>
      <c r="D611" s="186" t="s">
        <v>396</v>
      </c>
      <c r="E611" s="186" t="s">
        <v>170</v>
      </c>
      <c r="F611" s="237" t="s">
        <v>519</v>
      </c>
      <c r="G611" s="223">
        <v>3602.4</v>
      </c>
      <c r="H611" s="14"/>
      <c r="I611" s="14">
        <f t="shared" si="14"/>
        <v>0</v>
      </c>
      <c r="J611" s="16">
        <f>SUM('ведомствен.2014'!G488)</f>
        <v>3602.4</v>
      </c>
    </row>
    <row r="612" spans="1:10" s="16" customFormat="1" ht="15">
      <c r="A612" s="162" t="s">
        <v>523</v>
      </c>
      <c r="B612" s="392"/>
      <c r="C612" s="208" t="s">
        <v>5</v>
      </c>
      <c r="D612" s="186" t="s">
        <v>396</v>
      </c>
      <c r="E612" s="186" t="s">
        <v>170</v>
      </c>
      <c r="F612" s="237" t="s">
        <v>120</v>
      </c>
      <c r="G612" s="223">
        <v>607.4</v>
      </c>
      <c r="H612" s="14">
        <f>SUM(H614)</f>
        <v>0</v>
      </c>
      <c r="I612" s="14">
        <f t="shared" si="14"/>
        <v>0</v>
      </c>
      <c r="J612" s="16">
        <f>SUM('ведомствен.2014'!G489)</f>
        <v>607.4</v>
      </c>
    </row>
    <row r="613" spans="1:10" s="16" customFormat="1" ht="15">
      <c r="A613" s="156" t="s">
        <v>524</v>
      </c>
      <c r="B613" s="393"/>
      <c r="C613" s="208" t="s">
        <v>5</v>
      </c>
      <c r="D613" s="186" t="s">
        <v>396</v>
      </c>
      <c r="E613" s="186" t="s">
        <v>170</v>
      </c>
      <c r="F613" s="237" t="s">
        <v>177</v>
      </c>
      <c r="G613" s="223">
        <v>23.4</v>
      </c>
      <c r="H613" s="14"/>
      <c r="I613" s="14"/>
      <c r="J613" s="16">
        <f>SUM('ведомствен.2014'!G490)</f>
        <v>23.4</v>
      </c>
    </row>
    <row r="614" spans="1:9" s="16" customFormat="1" ht="28.5">
      <c r="A614" s="167" t="s">
        <v>168</v>
      </c>
      <c r="B614" s="371"/>
      <c r="C614" s="208" t="s">
        <v>5</v>
      </c>
      <c r="D614" s="186" t="s">
        <v>396</v>
      </c>
      <c r="E614" s="186" t="s">
        <v>169</v>
      </c>
      <c r="F614" s="237"/>
      <c r="G614" s="223">
        <f>SUM(G615)</f>
        <v>14572.9</v>
      </c>
      <c r="H614" s="14"/>
      <c r="I614" s="14">
        <f t="shared" si="13"/>
        <v>0</v>
      </c>
    </row>
    <row r="615" spans="1:10" s="16" customFormat="1" ht="42.75">
      <c r="A615" s="162" t="s">
        <v>620</v>
      </c>
      <c r="B615" s="371"/>
      <c r="C615" s="208" t="s">
        <v>5</v>
      </c>
      <c r="D615" s="186" t="s">
        <v>396</v>
      </c>
      <c r="E615" s="186" t="s">
        <v>169</v>
      </c>
      <c r="F615" s="237" t="s">
        <v>519</v>
      </c>
      <c r="G615" s="223">
        <v>14572.9</v>
      </c>
      <c r="H615" s="14">
        <f>SUM(H616)</f>
        <v>0</v>
      </c>
      <c r="I615" s="14">
        <f t="shared" si="13"/>
        <v>0</v>
      </c>
      <c r="J615" s="16">
        <f>SUM('ведомствен.2014'!G492)</f>
        <v>14572.9</v>
      </c>
    </row>
    <row r="616" spans="1:9" s="16" customFormat="1" ht="42.75">
      <c r="A616" s="167" t="s">
        <v>171</v>
      </c>
      <c r="B616" s="392"/>
      <c r="C616" s="208" t="s">
        <v>5</v>
      </c>
      <c r="D616" s="186" t="s">
        <v>396</v>
      </c>
      <c r="E616" s="186" t="s">
        <v>172</v>
      </c>
      <c r="F616" s="237"/>
      <c r="G616" s="223">
        <f>G617+G618</f>
        <v>5521.700000000001</v>
      </c>
      <c r="H616" s="14"/>
      <c r="I616" s="14">
        <f t="shared" si="13"/>
        <v>0</v>
      </c>
    </row>
    <row r="617" spans="1:10" ht="42.75">
      <c r="A617" s="162" t="s">
        <v>620</v>
      </c>
      <c r="B617" s="371"/>
      <c r="C617" s="208" t="s">
        <v>5</v>
      </c>
      <c r="D617" s="186" t="s">
        <v>396</v>
      </c>
      <c r="E617" s="186" t="s">
        <v>172</v>
      </c>
      <c r="F617" s="237" t="s">
        <v>519</v>
      </c>
      <c r="G617" s="223">
        <v>4948.6</v>
      </c>
      <c r="H617" s="14">
        <f>SUM(H618)</f>
        <v>70381.4</v>
      </c>
      <c r="I617" s="14">
        <f t="shared" si="13"/>
        <v>6258.349635425929</v>
      </c>
      <c r="J617" s="16">
        <f>SUM('ведомствен.2014'!G494)</f>
        <v>4948.6</v>
      </c>
    </row>
    <row r="618" spans="1:10" ht="15">
      <c r="A618" s="162" t="s">
        <v>523</v>
      </c>
      <c r="B618" s="371"/>
      <c r="C618" s="208" t="s">
        <v>5</v>
      </c>
      <c r="D618" s="186" t="s">
        <v>396</v>
      </c>
      <c r="E618" s="186" t="s">
        <v>172</v>
      </c>
      <c r="F618" s="237" t="s">
        <v>120</v>
      </c>
      <c r="G618" s="223">
        <v>573.1</v>
      </c>
      <c r="H618" s="14">
        <v>70381.4</v>
      </c>
      <c r="I618" s="14">
        <f t="shared" si="13"/>
        <v>5540.533732189246</v>
      </c>
      <c r="J618" s="16">
        <f>SUM('ведомствен.2014'!G495)</f>
        <v>573.1</v>
      </c>
    </row>
    <row r="619" spans="1:10" ht="28.5">
      <c r="A619" s="162" t="s">
        <v>520</v>
      </c>
      <c r="B619" s="371"/>
      <c r="C619" s="208" t="s">
        <v>5</v>
      </c>
      <c r="D619" s="186" t="s">
        <v>396</v>
      </c>
      <c r="E619" s="186" t="s">
        <v>521</v>
      </c>
      <c r="F619" s="237"/>
      <c r="G619" s="223">
        <f>G620+G622+G624</f>
        <v>2624.8999999999996</v>
      </c>
      <c r="H619" s="14"/>
      <c r="I619" s="14"/>
      <c r="J619" s="39"/>
    </row>
    <row r="620" spans="1:10" ht="15">
      <c r="A620" s="167" t="s">
        <v>509</v>
      </c>
      <c r="B620" s="392"/>
      <c r="C620" s="208" t="s">
        <v>5</v>
      </c>
      <c r="D620" s="186" t="s">
        <v>396</v>
      </c>
      <c r="E620" s="186" t="s">
        <v>522</v>
      </c>
      <c r="F620" s="237"/>
      <c r="G620" s="223">
        <f>SUM(G621)</f>
        <v>230</v>
      </c>
      <c r="H620" s="14"/>
      <c r="I620" s="14"/>
      <c r="J620" s="39"/>
    </row>
    <row r="621" spans="1:10" ht="15">
      <c r="A621" s="162" t="s">
        <v>523</v>
      </c>
      <c r="B621" s="371"/>
      <c r="C621" s="208" t="s">
        <v>5</v>
      </c>
      <c r="D621" s="186" t="s">
        <v>396</v>
      </c>
      <c r="E621" s="186" t="s">
        <v>522</v>
      </c>
      <c r="F621" s="237" t="s">
        <v>120</v>
      </c>
      <c r="G621" s="223">
        <v>230</v>
      </c>
      <c r="H621" s="14"/>
      <c r="I621" s="14"/>
      <c r="J621" s="16">
        <f>SUM('ведомствен.2014'!G498)</f>
        <v>230</v>
      </c>
    </row>
    <row r="622" spans="1:9" s="16" customFormat="1" ht="28.5">
      <c r="A622" s="167" t="s">
        <v>510</v>
      </c>
      <c r="B622" s="392"/>
      <c r="C622" s="208" t="s">
        <v>5</v>
      </c>
      <c r="D622" s="186" t="s">
        <v>396</v>
      </c>
      <c r="E622" s="186" t="s">
        <v>525</v>
      </c>
      <c r="F622" s="237"/>
      <c r="G622" s="223">
        <f>SUM(G623)</f>
        <v>1124.6</v>
      </c>
      <c r="H622" s="14">
        <f>SUM(H623)</f>
        <v>1365.8</v>
      </c>
      <c r="I622" s="14">
        <f>SUM(H622/G630*100)</f>
        <v>910.5333333333332</v>
      </c>
    </row>
    <row r="623" spans="1:10" s="16" customFormat="1" ht="15">
      <c r="A623" s="162" t="s">
        <v>523</v>
      </c>
      <c r="B623" s="371"/>
      <c r="C623" s="208" t="s">
        <v>5</v>
      </c>
      <c r="D623" s="186" t="s">
        <v>396</v>
      </c>
      <c r="E623" s="186" t="s">
        <v>525</v>
      </c>
      <c r="F623" s="237" t="s">
        <v>120</v>
      </c>
      <c r="G623" s="223">
        <v>1124.6</v>
      </c>
      <c r="H623" s="14">
        <v>1365.8</v>
      </c>
      <c r="I623" s="14">
        <f>SUM(H623/G631*100)</f>
        <v>910.5333333333332</v>
      </c>
      <c r="J623" s="16">
        <f>SUM('ведомствен.2014'!G500)</f>
        <v>1124.6</v>
      </c>
    </row>
    <row r="624" spans="1:9" s="16" customFormat="1" ht="28.5">
      <c r="A624" s="167" t="s">
        <v>526</v>
      </c>
      <c r="B624" s="392"/>
      <c r="C624" s="208" t="s">
        <v>5</v>
      </c>
      <c r="D624" s="186" t="s">
        <v>396</v>
      </c>
      <c r="E624" s="186" t="s">
        <v>527</v>
      </c>
      <c r="F624" s="237"/>
      <c r="G624" s="223">
        <f>G625+G626</f>
        <v>1270.3</v>
      </c>
      <c r="H624" s="14">
        <f>SUM(H625)</f>
        <v>1324.9</v>
      </c>
      <c r="I624" s="14" t="e">
        <f>SUM(H624/#REF!*100)</f>
        <v>#REF!</v>
      </c>
    </row>
    <row r="625" spans="1:10" s="16" customFormat="1" ht="42.75" hidden="1">
      <c r="A625" s="162" t="s">
        <v>620</v>
      </c>
      <c r="B625" s="371"/>
      <c r="C625" s="208" t="s">
        <v>5</v>
      </c>
      <c r="D625" s="186" t="s">
        <v>396</v>
      </c>
      <c r="E625" s="186" t="s">
        <v>527</v>
      </c>
      <c r="F625" s="237" t="s">
        <v>519</v>
      </c>
      <c r="G625" s="223"/>
      <c r="H625" s="14">
        <v>1324.9</v>
      </c>
      <c r="I625" s="14" t="e">
        <f>SUM(H625/#REF!*100)</f>
        <v>#REF!</v>
      </c>
      <c r="J625" s="16">
        <f>SUM('ведомствен.2014'!G502)</f>
        <v>0</v>
      </c>
    </row>
    <row r="626" spans="1:10" s="16" customFormat="1" ht="18.75" customHeight="1">
      <c r="A626" s="162" t="s">
        <v>523</v>
      </c>
      <c r="B626" s="371"/>
      <c r="C626" s="208" t="s">
        <v>5</v>
      </c>
      <c r="D626" s="186" t="s">
        <v>396</v>
      </c>
      <c r="E626" s="186" t="s">
        <v>527</v>
      </c>
      <c r="F626" s="237" t="s">
        <v>120</v>
      </c>
      <c r="G626" s="223">
        <v>1270.3</v>
      </c>
      <c r="H626" s="14">
        <f>SUM(H629)</f>
        <v>0</v>
      </c>
      <c r="I626" s="14" t="e">
        <f>SUM(H626/#REF!*100)</f>
        <v>#REF!</v>
      </c>
      <c r="J626" s="16">
        <f>SUM('ведомствен.2014'!G503)</f>
        <v>1270.3</v>
      </c>
    </row>
    <row r="627" spans="1:9" s="16" customFormat="1" ht="28.5" hidden="1">
      <c r="A627" s="157" t="s">
        <v>644</v>
      </c>
      <c r="B627" s="367"/>
      <c r="C627" s="74" t="s">
        <v>5</v>
      </c>
      <c r="D627" s="114" t="s">
        <v>396</v>
      </c>
      <c r="E627" s="114" t="s">
        <v>643</v>
      </c>
      <c r="F627" s="196"/>
      <c r="G627" s="215">
        <f>SUM(G628)</f>
        <v>0</v>
      </c>
      <c r="H627" s="14"/>
      <c r="I627" s="14"/>
    </row>
    <row r="628" spans="1:10" s="16" customFormat="1" ht="15" hidden="1">
      <c r="A628" s="156" t="s">
        <v>524</v>
      </c>
      <c r="B628" s="367"/>
      <c r="C628" s="74" t="s">
        <v>5</v>
      </c>
      <c r="D628" s="114" t="s">
        <v>396</v>
      </c>
      <c r="E628" s="114" t="s">
        <v>643</v>
      </c>
      <c r="F628" s="196" t="s">
        <v>177</v>
      </c>
      <c r="G628" s="215"/>
      <c r="H628" s="14"/>
      <c r="I628" s="14"/>
      <c r="J628" s="16">
        <f>SUM('ведомствен.2014'!G339)</f>
        <v>0</v>
      </c>
    </row>
    <row r="629" spans="1:9" s="16" customFormat="1" ht="15">
      <c r="A629" s="162" t="s">
        <v>617</v>
      </c>
      <c r="B629" s="371"/>
      <c r="C629" s="208" t="s">
        <v>5</v>
      </c>
      <c r="D629" s="186" t="s">
        <v>396</v>
      </c>
      <c r="E629" s="186" t="s">
        <v>129</v>
      </c>
      <c r="F629" s="237"/>
      <c r="G629" s="223">
        <f>G630</f>
        <v>150</v>
      </c>
      <c r="H629" s="14"/>
      <c r="I629" s="14" t="e">
        <f>SUM(H629/#REF!*100)</f>
        <v>#REF!</v>
      </c>
    </row>
    <row r="630" spans="1:10" ht="57">
      <c r="A630" s="167" t="s">
        <v>622</v>
      </c>
      <c r="B630" s="371"/>
      <c r="C630" s="208" t="s">
        <v>5</v>
      </c>
      <c r="D630" s="186" t="s">
        <v>396</v>
      </c>
      <c r="E630" s="186" t="s">
        <v>370</v>
      </c>
      <c r="F630" s="237"/>
      <c r="G630" s="223">
        <f>G631</f>
        <v>150</v>
      </c>
      <c r="H630" s="14">
        <f>SUM(H631)</f>
        <v>5141.4</v>
      </c>
      <c r="I630" s="14" t="e">
        <f>SUM(H630/#REF!*100)</f>
        <v>#REF!</v>
      </c>
      <c r="J630"/>
    </row>
    <row r="631" spans="1:10" ht="42.75">
      <c r="A631" s="167" t="s">
        <v>615</v>
      </c>
      <c r="B631" s="371"/>
      <c r="C631" s="208" t="s">
        <v>5</v>
      </c>
      <c r="D631" s="186" t="s">
        <v>396</v>
      </c>
      <c r="E631" s="186" t="s">
        <v>370</v>
      </c>
      <c r="F631" s="237" t="s">
        <v>536</v>
      </c>
      <c r="G631" s="223">
        <v>150</v>
      </c>
      <c r="H631" s="14">
        <v>5141.4</v>
      </c>
      <c r="I631" s="14" t="e">
        <f>SUM(H631/#REF!*100)</f>
        <v>#REF!</v>
      </c>
      <c r="J631" s="16">
        <f>SUM('ведомствен.2014'!G506)</f>
        <v>150</v>
      </c>
    </row>
    <row r="632" spans="1:11" s="29" customFormat="1" ht="15">
      <c r="A632" s="159" t="s">
        <v>248</v>
      </c>
      <c r="B632" s="370"/>
      <c r="C632" s="203" t="s">
        <v>424</v>
      </c>
      <c r="D632" s="185"/>
      <c r="E632" s="185"/>
      <c r="F632" s="200"/>
      <c r="G632" s="217">
        <f>SUM(G633)</f>
        <v>7148.1</v>
      </c>
      <c r="H632" s="28"/>
      <c r="I632" s="14"/>
      <c r="J632" s="37"/>
      <c r="K632" s="41">
        <f>SUM(J633:J662)</f>
        <v>7148.1</v>
      </c>
    </row>
    <row r="633" spans="1:10" s="29" customFormat="1" ht="15">
      <c r="A633" s="156" t="s">
        <v>241</v>
      </c>
      <c r="B633" s="367"/>
      <c r="C633" s="74" t="s">
        <v>424</v>
      </c>
      <c r="D633" s="114" t="s">
        <v>466</v>
      </c>
      <c r="E633" s="114"/>
      <c r="F633" s="196"/>
      <c r="G633" s="215">
        <f>SUM(G634+G640)</f>
        <v>7148.1</v>
      </c>
      <c r="H633" s="28"/>
      <c r="I633" s="14"/>
      <c r="J633" s="37"/>
    </row>
    <row r="634" spans="1:10" s="29" customFormat="1" ht="28.5">
      <c r="A634" s="156" t="s">
        <v>512</v>
      </c>
      <c r="B634" s="367"/>
      <c r="C634" s="74" t="s">
        <v>424</v>
      </c>
      <c r="D634" s="114" t="s">
        <v>466</v>
      </c>
      <c r="E634" s="114" t="s">
        <v>513</v>
      </c>
      <c r="F634" s="197"/>
      <c r="G634" s="215">
        <f>SUM(G635)</f>
        <v>3854.3</v>
      </c>
      <c r="H634" s="28"/>
      <c r="I634" s="14"/>
      <c r="J634" s="37"/>
    </row>
    <row r="635" spans="1:10" s="29" customFormat="1" ht="28.5">
      <c r="A635" s="156" t="s">
        <v>56</v>
      </c>
      <c r="B635" s="367"/>
      <c r="C635" s="74" t="s">
        <v>424</v>
      </c>
      <c r="D635" s="114" t="s">
        <v>466</v>
      </c>
      <c r="E635" s="114" t="s">
        <v>514</v>
      </c>
      <c r="F635" s="197"/>
      <c r="G635" s="215">
        <f>SUM(G636)</f>
        <v>3854.3</v>
      </c>
      <c r="H635" s="28"/>
      <c r="I635" s="14"/>
      <c r="J635" s="37"/>
    </row>
    <row r="636" spans="1:10" ht="42.75">
      <c r="A636" s="156" t="s">
        <v>667</v>
      </c>
      <c r="B636" s="367"/>
      <c r="C636" s="74" t="s">
        <v>424</v>
      </c>
      <c r="D636" s="114" t="s">
        <v>466</v>
      </c>
      <c r="E636" s="114" t="s">
        <v>593</v>
      </c>
      <c r="F636" s="197"/>
      <c r="G636" s="215">
        <f>SUM(G637:G639)</f>
        <v>3854.3</v>
      </c>
      <c r="H636" s="14"/>
      <c r="I636" s="14"/>
      <c r="J636"/>
    </row>
    <row r="637" spans="1:10" ht="42.75">
      <c r="A637" s="156" t="s">
        <v>518</v>
      </c>
      <c r="B637" s="367"/>
      <c r="C637" s="74" t="s">
        <v>424</v>
      </c>
      <c r="D637" s="114" t="s">
        <v>466</v>
      </c>
      <c r="E637" s="114" t="s">
        <v>593</v>
      </c>
      <c r="F637" s="196" t="s">
        <v>519</v>
      </c>
      <c r="G637" s="215">
        <v>3228.9</v>
      </c>
      <c r="H637" s="28"/>
      <c r="I637" s="14"/>
      <c r="J637">
        <f>SUM('ведомствен.2014'!G521)</f>
        <v>3228.9</v>
      </c>
    </row>
    <row r="638" spans="1:10" ht="15">
      <c r="A638" s="156" t="s">
        <v>523</v>
      </c>
      <c r="B638" s="367"/>
      <c r="C638" s="74" t="s">
        <v>424</v>
      </c>
      <c r="D638" s="114" t="s">
        <v>466</v>
      </c>
      <c r="E638" s="114" t="s">
        <v>593</v>
      </c>
      <c r="F638" s="196" t="s">
        <v>120</v>
      </c>
      <c r="G638" s="216">
        <v>619.4</v>
      </c>
      <c r="H638" s="28"/>
      <c r="I638" s="14"/>
      <c r="J638">
        <f>SUM('ведомствен.2014'!G522)</f>
        <v>619.4</v>
      </c>
    </row>
    <row r="639" spans="1:10" ht="15">
      <c r="A639" s="156" t="s">
        <v>524</v>
      </c>
      <c r="B639" s="367"/>
      <c r="C639" s="74" t="s">
        <v>424</v>
      </c>
      <c r="D639" s="114" t="s">
        <v>466</v>
      </c>
      <c r="E639" s="114" t="s">
        <v>593</v>
      </c>
      <c r="F639" s="197" t="s">
        <v>177</v>
      </c>
      <c r="G639" s="215">
        <v>6</v>
      </c>
      <c r="H639" s="28"/>
      <c r="I639" s="14"/>
      <c r="J639">
        <f>SUM('ведомствен.2014'!G523)</f>
        <v>6</v>
      </c>
    </row>
    <row r="640" spans="1:10" ht="15">
      <c r="A640" s="162" t="s">
        <v>617</v>
      </c>
      <c r="B640" s="367"/>
      <c r="C640" s="74" t="s">
        <v>424</v>
      </c>
      <c r="D640" s="114" t="s">
        <v>466</v>
      </c>
      <c r="E640" s="187" t="s">
        <v>129</v>
      </c>
      <c r="F640" s="196"/>
      <c r="G640" s="215">
        <f>SUM(G641)</f>
        <v>3293.8</v>
      </c>
      <c r="H640" s="14"/>
      <c r="I640" s="14"/>
      <c r="J640"/>
    </row>
    <row r="641" spans="1:10" ht="28.5">
      <c r="A641" s="156" t="s">
        <v>663</v>
      </c>
      <c r="B641" s="367"/>
      <c r="C641" s="74" t="s">
        <v>424</v>
      </c>
      <c r="D641" s="114" t="s">
        <v>466</v>
      </c>
      <c r="E641" s="187" t="s">
        <v>98</v>
      </c>
      <c r="F641" s="196"/>
      <c r="G641" s="215">
        <f>SUM(G642:G644)</f>
        <v>3293.8</v>
      </c>
      <c r="H641" s="35"/>
      <c r="I641" s="14"/>
      <c r="J641"/>
    </row>
    <row r="642" spans="1:10" ht="42.75">
      <c r="A642" s="156" t="s">
        <v>518</v>
      </c>
      <c r="B642" s="165"/>
      <c r="C642" s="74" t="s">
        <v>424</v>
      </c>
      <c r="D642" s="114" t="s">
        <v>466</v>
      </c>
      <c r="E642" s="187" t="s">
        <v>98</v>
      </c>
      <c r="F642" s="196" t="s">
        <v>519</v>
      </c>
      <c r="G642" s="215">
        <v>700</v>
      </c>
      <c r="H642" s="35"/>
      <c r="I642" s="14"/>
      <c r="J642">
        <f>SUM('ведомствен.2014'!G526)</f>
        <v>700</v>
      </c>
    </row>
    <row r="643" spans="1:10" ht="15.75">
      <c r="A643" s="156" t="s">
        <v>523</v>
      </c>
      <c r="B643" s="367"/>
      <c r="C643" s="74" t="s">
        <v>424</v>
      </c>
      <c r="D643" s="114" t="s">
        <v>466</v>
      </c>
      <c r="E643" s="187" t="s">
        <v>98</v>
      </c>
      <c r="F643" s="196" t="s">
        <v>120</v>
      </c>
      <c r="G643" s="215">
        <v>1621.8</v>
      </c>
      <c r="H643" s="35"/>
      <c r="I643" s="14"/>
      <c r="J643">
        <f>SUM('ведомствен.2014'!G527)</f>
        <v>1621.8</v>
      </c>
    </row>
    <row r="644" spans="1:10" ht="28.5">
      <c r="A644" s="162" t="s">
        <v>540</v>
      </c>
      <c r="B644" s="367"/>
      <c r="C644" s="74" t="s">
        <v>424</v>
      </c>
      <c r="D644" s="114" t="s">
        <v>466</v>
      </c>
      <c r="E644" s="187" t="s">
        <v>98</v>
      </c>
      <c r="F644" s="196" t="s">
        <v>536</v>
      </c>
      <c r="G644" s="215">
        <v>972</v>
      </c>
      <c r="H644" s="35"/>
      <c r="I644" s="14"/>
      <c r="J644">
        <f>SUM('ведомствен.2014'!G528)</f>
        <v>972</v>
      </c>
    </row>
    <row r="645" spans="1:9" s="29" customFormat="1" ht="42.75" hidden="1">
      <c r="A645" s="156" t="s">
        <v>152</v>
      </c>
      <c r="B645" s="367"/>
      <c r="C645" s="74" t="s">
        <v>424</v>
      </c>
      <c r="D645" s="114" t="s">
        <v>466</v>
      </c>
      <c r="E645" s="187" t="s">
        <v>417</v>
      </c>
      <c r="F645" s="196"/>
      <c r="G645" s="215">
        <f>SUM(G646)</f>
        <v>0</v>
      </c>
      <c r="H645" s="28"/>
      <c r="I645" s="14"/>
    </row>
    <row r="646" spans="1:9" s="29" customFormat="1" ht="28.5" hidden="1">
      <c r="A646" s="162" t="s">
        <v>143</v>
      </c>
      <c r="B646" s="367"/>
      <c r="C646" s="74" t="s">
        <v>424</v>
      </c>
      <c r="D646" s="114" t="s">
        <v>466</v>
      </c>
      <c r="E646" s="187" t="s">
        <v>417</v>
      </c>
      <c r="F646" s="196" t="s">
        <v>83</v>
      </c>
      <c r="G646" s="215"/>
      <c r="H646" s="28"/>
      <c r="I646" s="14"/>
    </row>
    <row r="647" spans="1:9" s="29" customFormat="1" ht="15" hidden="1">
      <c r="A647" s="156" t="s">
        <v>155</v>
      </c>
      <c r="B647" s="367"/>
      <c r="C647" s="74" t="s">
        <v>424</v>
      </c>
      <c r="D647" s="114" t="s">
        <v>468</v>
      </c>
      <c r="E647" s="182"/>
      <c r="F647" s="197"/>
      <c r="G647" s="215">
        <f>SUM(G648)</f>
        <v>0</v>
      </c>
      <c r="H647" s="28"/>
      <c r="I647" s="14"/>
    </row>
    <row r="648" spans="1:10" s="29" customFormat="1" ht="15" hidden="1">
      <c r="A648" s="156" t="s">
        <v>3</v>
      </c>
      <c r="B648" s="367"/>
      <c r="C648" s="74" t="s">
        <v>424</v>
      </c>
      <c r="D648" s="114" t="s">
        <v>468</v>
      </c>
      <c r="E648" s="114" t="s">
        <v>4</v>
      </c>
      <c r="F648" s="197"/>
      <c r="G648" s="215">
        <f>SUM(G649)</f>
        <v>0</v>
      </c>
      <c r="H648" s="28"/>
      <c r="I648" s="14"/>
      <c r="J648"/>
    </row>
    <row r="649" spans="1:9" s="29" customFormat="1" ht="28.5" hidden="1">
      <c r="A649" s="156" t="s">
        <v>156</v>
      </c>
      <c r="B649" s="367"/>
      <c r="C649" s="74" t="s">
        <v>424</v>
      </c>
      <c r="D649" s="114" t="s">
        <v>468</v>
      </c>
      <c r="E649" s="114" t="s">
        <v>297</v>
      </c>
      <c r="F649" s="197"/>
      <c r="G649" s="215">
        <f>SUM(G650)</f>
        <v>0</v>
      </c>
      <c r="H649" s="28"/>
      <c r="I649" s="14"/>
    </row>
    <row r="650" spans="1:9" s="29" customFormat="1" ht="28.5" hidden="1">
      <c r="A650" s="162" t="s">
        <v>143</v>
      </c>
      <c r="B650" s="367"/>
      <c r="C650" s="74" t="s">
        <v>424</v>
      </c>
      <c r="D650" s="114" t="s">
        <v>468</v>
      </c>
      <c r="E650" s="114" t="s">
        <v>297</v>
      </c>
      <c r="F650" s="196" t="s">
        <v>83</v>
      </c>
      <c r="G650" s="215"/>
      <c r="H650" s="28"/>
      <c r="I650" s="14"/>
    </row>
    <row r="651" spans="1:10" ht="15" hidden="1">
      <c r="A651" s="156" t="s">
        <v>242</v>
      </c>
      <c r="B651" s="367"/>
      <c r="C651" s="74" t="s">
        <v>424</v>
      </c>
      <c r="D651" s="114" t="s">
        <v>131</v>
      </c>
      <c r="E651" s="182"/>
      <c r="F651" s="197"/>
      <c r="G651" s="215">
        <f>SUM(G652+G658+G660)+G655</f>
        <v>0</v>
      </c>
      <c r="H651" s="14" t="e">
        <f>SUM(H656)+H660+H662</f>
        <v>#REF!</v>
      </c>
      <c r="I651" s="14" t="e">
        <f>SUM(H651/G657*100)</f>
        <v>#REF!</v>
      </c>
      <c r="J651"/>
    </row>
    <row r="652" spans="1:10" ht="42.75" hidden="1">
      <c r="A652" s="156" t="s">
        <v>99</v>
      </c>
      <c r="B652" s="367"/>
      <c r="C652" s="74" t="s">
        <v>424</v>
      </c>
      <c r="D652" s="114" t="s">
        <v>131</v>
      </c>
      <c r="E652" s="114" t="s">
        <v>100</v>
      </c>
      <c r="F652" s="197"/>
      <c r="G652" s="215">
        <f>SUM(G653)</f>
        <v>0</v>
      </c>
      <c r="H652" s="14"/>
      <c r="I652" s="14"/>
      <c r="J652"/>
    </row>
    <row r="653" spans="1:10" ht="15" hidden="1">
      <c r="A653" s="156" t="s">
        <v>107</v>
      </c>
      <c r="B653" s="367"/>
      <c r="C653" s="74" t="s">
        <v>424</v>
      </c>
      <c r="D653" s="114" t="s">
        <v>131</v>
      </c>
      <c r="E653" s="114" t="s">
        <v>109</v>
      </c>
      <c r="F653" s="197"/>
      <c r="G653" s="215">
        <f>SUM(G654)</f>
        <v>0</v>
      </c>
      <c r="H653" s="14"/>
      <c r="I653" s="14"/>
      <c r="J653"/>
    </row>
    <row r="654" spans="1:10" ht="15" hidden="1">
      <c r="A654" s="156" t="s">
        <v>103</v>
      </c>
      <c r="B654" s="367"/>
      <c r="C654" s="74" t="s">
        <v>424</v>
      </c>
      <c r="D654" s="114" t="s">
        <v>131</v>
      </c>
      <c r="E654" s="114" t="s">
        <v>109</v>
      </c>
      <c r="F654" s="196" t="s">
        <v>104</v>
      </c>
      <c r="G654" s="215"/>
      <c r="H654" s="18">
        <f>SUM(H655)</f>
        <v>1042.3</v>
      </c>
      <c r="I654" s="14" t="e">
        <f>SUM(H654/G660*100)</f>
        <v>#DIV/0!</v>
      </c>
      <c r="J654"/>
    </row>
    <row r="655" spans="1:10" ht="15" hidden="1">
      <c r="A655" s="162" t="s">
        <v>128</v>
      </c>
      <c r="B655" s="367"/>
      <c r="C655" s="74" t="s">
        <v>424</v>
      </c>
      <c r="D655" s="114" t="s">
        <v>131</v>
      </c>
      <c r="E655" s="187" t="s">
        <v>129</v>
      </c>
      <c r="F655" s="196"/>
      <c r="G655" s="215">
        <f>SUM(G656)</f>
        <v>0</v>
      </c>
      <c r="H655" s="18">
        <v>1042.3</v>
      </c>
      <c r="I655" s="14" t="e">
        <f>SUM(H655/G661*100)</f>
        <v>#DIV/0!</v>
      </c>
      <c r="J655"/>
    </row>
    <row r="656" spans="1:9" s="29" customFormat="1" ht="42.75" hidden="1">
      <c r="A656" s="165" t="s">
        <v>209</v>
      </c>
      <c r="B656" s="367"/>
      <c r="C656" s="74" t="s">
        <v>424</v>
      </c>
      <c r="D656" s="114" t="s">
        <v>131</v>
      </c>
      <c r="E656" s="182" t="s">
        <v>302</v>
      </c>
      <c r="F656" s="196"/>
      <c r="G656" s="215">
        <f>SUM(G657)</f>
        <v>0</v>
      </c>
      <c r="H656" s="28"/>
      <c r="I656" s="14"/>
    </row>
    <row r="657" spans="1:9" s="29" customFormat="1" ht="15" hidden="1">
      <c r="A657" s="156" t="s">
        <v>103</v>
      </c>
      <c r="B657" s="367"/>
      <c r="C657" s="74" t="s">
        <v>424</v>
      </c>
      <c r="D657" s="114" t="s">
        <v>131</v>
      </c>
      <c r="E657" s="182" t="s">
        <v>302</v>
      </c>
      <c r="F657" s="196" t="s">
        <v>104</v>
      </c>
      <c r="G657" s="215"/>
      <c r="H657" s="28"/>
      <c r="I657" s="14"/>
    </row>
    <row r="658" spans="1:11" s="70" customFormat="1" ht="15.75" hidden="1">
      <c r="A658" s="162" t="s">
        <v>392</v>
      </c>
      <c r="B658" s="367"/>
      <c r="C658" s="74" t="s">
        <v>424</v>
      </c>
      <c r="D658" s="114" t="s">
        <v>131</v>
      </c>
      <c r="E658" s="182" t="s">
        <v>393</v>
      </c>
      <c r="F658" s="197"/>
      <c r="G658" s="215">
        <f>SUM(G659)</f>
        <v>0</v>
      </c>
      <c r="H658" s="69"/>
      <c r="I658" s="17"/>
      <c r="K658" s="78"/>
    </row>
    <row r="659" spans="1:9" s="29" customFormat="1" ht="15" hidden="1">
      <c r="A659" s="156" t="s">
        <v>103</v>
      </c>
      <c r="B659" s="367"/>
      <c r="C659" s="74" t="s">
        <v>424</v>
      </c>
      <c r="D659" s="114" t="s">
        <v>131</v>
      </c>
      <c r="E659" s="182" t="s">
        <v>393</v>
      </c>
      <c r="F659" s="197" t="s">
        <v>104</v>
      </c>
      <c r="G659" s="215"/>
      <c r="H659" s="28"/>
      <c r="I659" s="14"/>
    </row>
    <row r="660" spans="1:9" s="29" customFormat="1" ht="28.5" hidden="1">
      <c r="A660" s="157" t="s">
        <v>113</v>
      </c>
      <c r="B660" s="367"/>
      <c r="C660" s="74" t="s">
        <v>424</v>
      </c>
      <c r="D660" s="114" t="s">
        <v>131</v>
      </c>
      <c r="E660" s="114" t="s">
        <v>114</v>
      </c>
      <c r="F660" s="198"/>
      <c r="G660" s="215">
        <f>SUM(G662)</f>
        <v>0</v>
      </c>
      <c r="H660" s="18" t="e">
        <f>SUM(H661)</f>
        <v>#REF!</v>
      </c>
      <c r="I660" s="14" t="e">
        <f>SUM(H660/G665*100)</f>
        <v>#REF!</v>
      </c>
    </row>
    <row r="661" spans="1:9" s="29" customFormat="1" ht="15" hidden="1">
      <c r="A661" s="157" t="s">
        <v>115</v>
      </c>
      <c r="B661" s="367"/>
      <c r="C661" s="74" t="s">
        <v>424</v>
      </c>
      <c r="D661" s="114" t="s">
        <v>131</v>
      </c>
      <c r="E661" s="114" t="s">
        <v>251</v>
      </c>
      <c r="F661" s="198"/>
      <c r="G661" s="215">
        <f>SUM(G662)</f>
        <v>0</v>
      </c>
      <c r="H661" s="18" t="e">
        <f>SUM(H662)</f>
        <v>#REF!</v>
      </c>
      <c r="I661" s="14" t="e">
        <f>SUM(H661/G666*100)</f>
        <v>#REF!</v>
      </c>
    </row>
    <row r="662" spans="1:10" s="29" customFormat="1" ht="15" hidden="1">
      <c r="A662" s="156" t="s">
        <v>103</v>
      </c>
      <c r="B662" s="367"/>
      <c r="C662" s="74" t="s">
        <v>424</v>
      </c>
      <c r="D662" s="114" t="s">
        <v>131</v>
      </c>
      <c r="E662" s="114" t="s">
        <v>251</v>
      </c>
      <c r="F662" s="198" t="s">
        <v>104</v>
      </c>
      <c r="G662" s="215"/>
      <c r="H662" s="18" t="e">
        <f>SUM(#REF!)</f>
        <v>#REF!</v>
      </c>
      <c r="I662" s="14" t="e">
        <f>SUM(H662/G667*100)</f>
        <v>#REF!</v>
      </c>
      <c r="J662" s="41"/>
    </row>
    <row r="663" spans="1:9" ht="16.5" thickBot="1">
      <c r="A663" s="159" t="s">
        <v>407</v>
      </c>
      <c r="B663" s="370"/>
      <c r="C663" s="199" t="s">
        <v>239</v>
      </c>
      <c r="D663" s="184" t="s">
        <v>190</v>
      </c>
      <c r="E663" s="184"/>
      <c r="F663" s="202"/>
      <c r="G663" s="217">
        <f>SUM(G664)</f>
        <v>30000</v>
      </c>
      <c r="H663" s="30">
        <f>-76000-174.5-350</f>
        <v>-76524.5</v>
      </c>
      <c r="I663" s="30">
        <f>-76000-174.5-350</f>
        <v>-76524.5</v>
      </c>
    </row>
    <row r="664" spans="1:9" ht="28.5">
      <c r="A664" s="156" t="s">
        <v>240</v>
      </c>
      <c r="B664" s="367"/>
      <c r="C664" s="74" t="s">
        <v>239</v>
      </c>
      <c r="D664" s="114" t="s">
        <v>466</v>
      </c>
      <c r="E664" s="114"/>
      <c r="F664" s="196"/>
      <c r="G664" s="215">
        <f>SUM(G665)</f>
        <v>30000</v>
      </c>
      <c r="H664" s="31"/>
      <c r="I664" s="31"/>
    </row>
    <row r="665" spans="1:9" ht="15.75" thickBot="1">
      <c r="A665" s="156" t="s">
        <v>408</v>
      </c>
      <c r="B665" s="367"/>
      <c r="C665" s="74" t="s">
        <v>239</v>
      </c>
      <c r="D665" s="114" t="s">
        <v>466</v>
      </c>
      <c r="E665" s="114" t="s">
        <v>409</v>
      </c>
      <c r="F665" s="198"/>
      <c r="G665" s="215">
        <f>SUM(G667)</f>
        <v>30000</v>
      </c>
      <c r="H665" s="32"/>
      <c r="I665" s="32"/>
    </row>
    <row r="666" spans="1:9" ht="15">
      <c r="A666" s="156" t="s">
        <v>410</v>
      </c>
      <c r="B666" s="367"/>
      <c r="C666" s="74" t="s">
        <v>239</v>
      </c>
      <c r="D666" s="114" t="s">
        <v>466</v>
      </c>
      <c r="E666" s="114" t="s">
        <v>411</v>
      </c>
      <c r="F666" s="198"/>
      <c r="G666" s="215">
        <f>SUM(G667)</f>
        <v>30000</v>
      </c>
      <c r="H666" s="33">
        <v>0</v>
      </c>
      <c r="I666" s="33">
        <v>0</v>
      </c>
    </row>
    <row r="667" spans="1:10" ht="15.75" thickBot="1">
      <c r="A667" s="156" t="s">
        <v>531</v>
      </c>
      <c r="B667" s="367"/>
      <c r="C667" s="74" t="s">
        <v>239</v>
      </c>
      <c r="D667" s="114" t="s">
        <v>466</v>
      </c>
      <c r="E667" s="114" t="s">
        <v>411</v>
      </c>
      <c r="F667" s="198" t="s">
        <v>176</v>
      </c>
      <c r="G667" s="215">
        <v>30000</v>
      </c>
      <c r="H667" s="33">
        <v>62000</v>
      </c>
      <c r="I667" s="33">
        <v>62000</v>
      </c>
      <c r="J667" s="37">
        <f>SUM('ведомствен.2014'!G344)</f>
        <v>30000</v>
      </c>
    </row>
    <row r="668" spans="1:10" ht="18" customHeight="1" thickBot="1">
      <c r="A668" s="190" t="s">
        <v>173</v>
      </c>
      <c r="B668" s="394"/>
      <c r="C668" s="400"/>
      <c r="D668" s="188"/>
      <c r="E668" s="188"/>
      <c r="F668" s="210"/>
      <c r="G668" s="290">
        <f>SUM(G13+G85+G114+G156+G250+G261+G361+G434+G486+G632+G663)</f>
        <v>3267582.7</v>
      </c>
      <c r="H668" s="34">
        <v>62000</v>
      </c>
      <c r="I668" s="34">
        <v>62000</v>
      </c>
      <c r="J668" s="40">
        <f>SUM(J13:J667)</f>
        <v>3267582.6999999997</v>
      </c>
    </row>
    <row r="669" ht="0.75" customHeight="1" hidden="1">
      <c r="G669" s="76"/>
    </row>
    <row r="670" spans="7:10" ht="12.75" hidden="1">
      <c r="G670" s="118">
        <f>SUM(J668-G668)</f>
        <v>-4.656612873077393E-10</v>
      </c>
      <c r="J670" s="37">
        <f>SUM('ведомствен.2014'!G801-'функцион.2014'!J668)</f>
        <v>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06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8.25390625" style="130" customWidth="1"/>
    <col min="2" max="2" width="6.875" style="131" customWidth="1"/>
    <col min="3" max="3" width="7.75390625" style="132" customWidth="1"/>
    <col min="4" max="4" width="6.875" style="132" customWidth="1"/>
    <col min="5" max="5" width="12.75390625" style="132" customWidth="1"/>
    <col min="6" max="6" width="10.125" style="132" customWidth="1"/>
    <col min="7" max="7" width="17.125" style="134" customWidth="1"/>
    <col min="8" max="8" width="11.00390625" style="134" hidden="1" customWidth="1"/>
    <col min="9" max="9" width="4.375" style="134" hidden="1" customWidth="1"/>
    <col min="10" max="10" width="5.875" style="132" customWidth="1"/>
    <col min="11" max="11" width="12.375" style="132" customWidth="1"/>
    <col min="12" max="16384" width="9.125" style="132" customWidth="1"/>
  </cols>
  <sheetData>
    <row r="1" spans="6:9" ht="15">
      <c r="F1" s="120" t="s">
        <v>503</v>
      </c>
      <c r="G1" s="121"/>
      <c r="I1" s="135"/>
    </row>
    <row r="2" spans="1:9" ht="15">
      <c r="A2" s="130" t="s">
        <v>254</v>
      </c>
      <c r="F2" s="119" t="s">
        <v>1023</v>
      </c>
      <c r="G2" s="121"/>
      <c r="I2" s="135"/>
    </row>
    <row r="3" spans="6:9" ht="15">
      <c r="F3" s="119" t="s">
        <v>273</v>
      </c>
      <c r="G3" s="121"/>
      <c r="I3" s="135"/>
    </row>
    <row r="4" spans="6:9" ht="15">
      <c r="F4" s="119" t="s">
        <v>274</v>
      </c>
      <c r="G4" s="121"/>
      <c r="I4" s="135"/>
    </row>
    <row r="5" spans="2:7" ht="15.75">
      <c r="B5" s="136" t="s">
        <v>255</v>
      </c>
      <c r="F5" s="453" t="s">
        <v>1020</v>
      </c>
      <c r="G5" s="453"/>
    </row>
    <row r="6" ht="15.75">
      <c r="B6" s="136" t="s">
        <v>256</v>
      </c>
    </row>
    <row r="7" ht="15.75">
      <c r="B7" s="136" t="s">
        <v>517</v>
      </c>
    </row>
    <row r="8" ht="16.5" thickBot="1">
      <c r="B8" s="122"/>
    </row>
    <row r="9" spans="1:9" ht="15">
      <c r="A9" s="454" t="s">
        <v>257</v>
      </c>
      <c r="B9" s="224" t="s">
        <v>279</v>
      </c>
      <c r="C9" s="225"/>
      <c r="D9" s="226"/>
      <c r="E9" s="226"/>
      <c r="F9" s="349"/>
      <c r="G9" s="191" t="s">
        <v>280</v>
      </c>
      <c r="H9" s="137" t="s">
        <v>281</v>
      </c>
      <c r="I9" s="137" t="s">
        <v>282</v>
      </c>
    </row>
    <row r="10" spans="1:9" ht="46.5" customHeight="1" thickBot="1">
      <c r="A10" s="455"/>
      <c r="B10" s="227" t="s">
        <v>283</v>
      </c>
      <c r="C10" s="228" t="s">
        <v>284</v>
      </c>
      <c r="D10" s="228" t="s">
        <v>285</v>
      </c>
      <c r="E10" s="228" t="s">
        <v>286</v>
      </c>
      <c r="F10" s="350" t="s">
        <v>532</v>
      </c>
      <c r="G10" s="192" t="s">
        <v>516</v>
      </c>
      <c r="H10" s="138" t="s">
        <v>463</v>
      </c>
      <c r="I10" s="138" t="s">
        <v>464</v>
      </c>
    </row>
    <row r="11" spans="1:9" ht="15.75">
      <c r="A11" s="155" t="s">
        <v>197</v>
      </c>
      <c r="B11" s="229" t="s">
        <v>198</v>
      </c>
      <c r="C11" s="230"/>
      <c r="D11" s="230"/>
      <c r="E11" s="230"/>
      <c r="F11" s="231"/>
      <c r="G11" s="257">
        <f>SUM(G12)</f>
        <v>19523</v>
      </c>
      <c r="H11" s="123" t="e">
        <f>SUM(H12)+#REF!+#REF!</f>
        <v>#REF!</v>
      </c>
      <c r="I11" s="123" t="e">
        <f aca="true" t="shared" si="0" ref="I11:I42">SUM(H11/G11*100)</f>
        <v>#REF!</v>
      </c>
    </row>
    <row r="12" spans="1:9" ht="15">
      <c r="A12" s="156" t="s">
        <v>465</v>
      </c>
      <c r="B12" s="74"/>
      <c r="C12" s="114" t="s">
        <v>466</v>
      </c>
      <c r="D12" s="114"/>
      <c r="E12" s="114"/>
      <c r="F12" s="196"/>
      <c r="G12" s="215">
        <f>SUM(G13+G17+G24)</f>
        <v>19523</v>
      </c>
      <c r="H12" s="22">
        <f>SUM(H13+H17+H24)</f>
        <v>9401.9</v>
      </c>
      <c r="I12" s="22">
        <f t="shared" si="0"/>
        <v>48.1580699687548</v>
      </c>
    </row>
    <row r="13" spans="1:9" ht="28.5">
      <c r="A13" s="156" t="s">
        <v>467</v>
      </c>
      <c r="B13" s="74"/>
      <c r="C13" s="114" t="s">
        <v>466</v>
      </c>
      <c r="D13" s="114" t="s">
        <v>468</v>
      </c>
      <c r="E13" s="114"/>
      <c r="F13" s="196"/>
      <c r="G13" s="215">
        <f>SUM(G14)</f>
        <v>1725</v>
      </c>
      <c r="H13" s="22">
        <f>SUM(H14)</f>
        <v>983.5</v>
      </c>
      <c r="I13" s="22">
        <f t="shared" si="0"/>
        <v>57.014492753623195</v>
      </c>
    </row>
    <row r="14" spans="1:9" ht="28.5">
      <c r="A14" s="156" t="s">
        <v>99</v>
      </c>
      <c r="B14" s="74"/>
      <c r="C14" s="114" t="s">
        <v>466</v>
      </c>
      <c r="D14" s="114" t="s">
        <v>468</v>
      </c>
      <c r="E14" s="114" t="s">
        <v>100</v>
      </c>
      <c r="F14" s="196"/>
      <c r="G14" s="215">
        <f>SUM(G16)</f>
        <v>1725</v>
      </c>
      <c r="H14" s="22">
        <f>SUM(H16:H16)</f>
        <v>983.5</v>
      </c>
      <c r="I14" s="22">
        <f t="shared" si="0"/>
        <v>57.014492753623195</v>
      </c>
    </row>
    <row r="15" spans="1:9" ht="15">
      <c r="A15" s="156" t="s">
        <v>101</v>
      </c>
      <c r="B15" s="74"/>
      <c r="C15" s="114" t="s">
        <v>466</v>
      </c>
      <c r="D15" s="114" t="s">
        <v>468</v>
      </c>
      <c r="E15" s="114" t="s">
        <v>102</v>
      </c>
      <c r="F15" s="196"/>
      <c r="G15" s="215">
        <f>SUM(G16)</f>
        <v>1725</v>
      </c>
      <c r="H15" s="22">
        <f>SUM(H16)</f>
        <v>983.5</v>
      </c>
      <c r="I15" s="22">
        <f t="shared" si="0"/>
        <v>57.014492753623195</v>
      </c>
    </row>
    <row r="16" spans="1:9" ht="28.5">
      <c r="A16" s="156" t="s">
        <v>518</v>
      </c>
      <c r="B16" s="74"/>
      <c r="C16" s="114" t="s">
        <v>466</v>
      </c>
      <c r="D16" s="114" t="s">
        <v>468</v>
      </c>
      <c r="E16" s="114" t="s">
        <v>102</v>
      </c>
      <c r="F16" s="196" t="s">
        <v>519</v>
      </c>
      <c r="G16" s="215">
        <v>1725</v>
      </c>
      <c r="H16" s="22">
        <v>983.5</v>
      </c>
      <c r="I16" s="22">
        <f t="shared" si="0"/>
        <v>57.014492753623195</v>
      </c>
    </row>
    <row r="17" spans="1:9" ht="42.75">
      <c r="A17" s="156" t="s">
        <v>105</v>
      </c>
      <c r="B17" s="74"/>
      <c r="C17" s="114" t="s">
        <v>466</v>
      </c>
      <c r="D17" s="114" t="s">
        <v>106</v>
      </c>
      <c r="E17" s="114"/>
      <c r="F17" s="196"/>
      <c r="G17" s="215">
        <f>SUM(G18)</f>
        <v>11361.5</v>
      </c>
      <c r="H17" s="22">
        <f>SUM(H18)</f>
        <v>8231.8</v>
      </c>
      <c r="I17" s="22">
        <f t="shared" si="0"/>
        <v>72.45346125071512</v>
      </c>
    </row>
    <row r="18" spans="1:9" ht="28.5">
      <c r="A18" s="156" t="s">
        <v>99</v>
      </c>
      <c r="B18" s="74"/>
      <c r="C18" s="114" t="s">
        <v>466</v>
      </c>
      <c r="D18" s="114" t="s">
        <v>106</v>
      </c>
      <c r="E18" s="114" t="s">
        <v>100</v>
      </c>
      <c r="F18" s="197"/>
      <c r="G18" s="215">
        <f>SUM(G19+G22)</f>
        <v>11361.5</v>
      </c>
      <c r="H18" s="22">
        <f>SUM(H19+H22)</f>
        <v>8231.8</v>
      </c>
      <c r="I18" s="22">
        <f t="shared" si="0"/>
        <v>72.45346125071512</v>
      </c>
    </row>
    <row r="19" spans="1:9" ht="15">
      <c r="A19" s="156" t="s">
        <v>107</v>
      </c>
      <c r="B19" s="74"/>
      <c r="C19" s="114" t="s">
        <v>108</v>
      </c>
      <c r="D19" s="114" t="s">
        <v>106</v>
      </c>
      <c r="E19" s="114" t="s">
        <v>109</v>
      </c>
      <c r="F19" s="197"/>
      <c r="G19" s="215">
        <f>SUM(G20+G21)</f>
        <v>11361.5</v>
      </c>
      <c r="H19" s="22">
        <f>SUM(H20)</f>
        <v>8068.7</v>
      </c>
      <c r="I19" s="22">
        <f t="shared" si="0"/>
        <v>71.01791136733706</v>
      </c>
    </row>
    <row r="20" spans="1:9" ht="28.5">
      <c r="A20" s="156" t="s">
        <v>518</v>
      </c>
      <c r="B20" s="74"/>
      <c r="C20" s="114" t="s">
        <v>466</v>
      </c>
      <c r="D20" s="114" t="s">
        <v>106</v>
      </c>
      <c r="E20" s="114" t="s">
        <v>109</v>
      </c>
      <c r="F20" s="196" t="s">
        <v>519</v>
      </c>
      <c r="G20" s="215">
        <f>11104.4+250</f>
        <v>11354.4</v>
      </c>
      <c r="H20" s="22">
        <v>8068.7</v>
      </c>
      <c r="I20" s="22">
        <f t="shared" si="0"/>
        <v>71.0623194532516</v>
      </c>
    </row>
    <row r="21" spans="1:9" ht="15">
      <c r="A21" s="156" t="s">
        <v>523</v>
      </c>
      <c r="B21" s="74"/>
      <c r="C21" s="114" t="s">
        <v>466</v>
      </c>
      <c r="D21" s="114" t="s">
        <v>106</v>
      </c>
      <c r="E21" s="114" t="s">
        <v>109</v>
      </c>
      <c r="F21" s="196" t="s">
        <v>120</v>
      </c>
      <c r="G21" s="216">
        <v>7.1</v>
      </c>
      <c r="H21" s="22"/>
      <c r="I21" s="22"/>
    </row>
    <row r="22" spans="1:9" ht="15" hidden="1">
      <c r="A22" s="156" t="s">
        <v>110</v>
      </c>
      <c r="B22" s="74"/>
      <c r="C22" s="114" t="s">
        <v>108</v>
      </c>
      <c r="D22" s="114" t="s">
        <v>106</v>
      </c>
      <c r="E22" s="114" t="s">
        <v>111</v>
      </c>
      <c r="F22" s="196"/>
      <c r="G22" s="215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156" t="s">
        <v>103</v>
      </c>
      <c r="B23" s="74"/>
      <c r="C23" s="114" t="s">
        <v>108</v>
      </c>
      <c r="D23" s="114" t="s">
        <v>106</v>
      </c>
      <c r="E23" s="114" t="s">
        <v>111</v>
      </c>
      <c r="F23" s="196" t="s">
        <v>104</v>
      </c>
      <c r="G23" s="215"/>
      <c r="H23" s="22">
        <v>163.1</v>
      </c>
      <c r="I23" s="22" t="e">
        <f t="shared" si="0"/>
        <v>#DIV/0!</v>
      </c>
    </row>
    <row r="24" spans="1:9" ht="15">
      <c r="A24" s="156" t="s">
        <v>112</v>
      </c>
      <c r="B24" s="74"/>
      <c r="C24" s="114" t="s">
        <v>466</v>
      </c>
      <c r="D24" s="114" t="s">
        <v>239</v>
      </c>
      <c r="E24" s="114"/>
      <c r="F24" s="197"/>
      <c r="G24" s="215">
        <f>SUM(G25)</f>
        <v>6436.5</v>
      </c>
      <c r="H24" s="22">
        <f>SUM(H31)</f>
        <v>186.6</v>
      </c>
      <c r="I24" s="22">
        <f t="shared" si="0"/>
        <v>2.8990911209508274</v>
      </c>
    </row>
    <row r="25" spans="1:9" ht="28.5">
      <c r="A25" s="156" t="s">
        <v>520</v>
      </c>
      <c r="B25" s="74"/>
      <c r="C25" s="114" t="s">
        <v>466</v>
      </c>
      <c r="D25" s="114" t="s">
        <v>239</v>
      </c>
      <c r="E25" s="114" t="s">
        <v>521</v>
      </c>
      <c r="F25" s="197"/>
      <c r="G25" s="215">
        <f>SUM(G26+G29+G31)</f>
        <v>6436.5</v>
      </c>
      <c r="H25" s="22"/>
      <c r="I25" s="22"/>
    </row>
    <row r="26" spans="1:9" ht="15">
      <c r="A26" s="156" t="s">
        <v>509</v>
      </c>
      <c r="B26" s="74"/>
      <c r="C26" s="114" t="s">
        <v>466</v>
      </c>
      <c r="D26" s="114" t="s">
        <v>239</v>
      </c>
      <c r="E26" s="114" t="s">
        <v>522</v>
      </c>
      <c r="F26" s="196"/>
      <c r="G26" s="216">
        <f>SUM(G27:G28)</f>
        <v>571.4</v>
      </c>
      <c r="H26" s="22"/>
      <c r="I26" s="22"/>
    </row>
    <row r="27" spans="1:9" ht="15">
      <c r="A27" s="156" t="s">
        <v>523</v>
      </c>
      <c r="B27" s="74"/>
      <c r="C27" s="114" t="s">
        <v>466</v>
      </c>
      <c r="D27" s="114" t="s">
        <v>239</v>
      </c>
      <c r="E27" s="114" t="s">
        <v>522</v>
      </c>
      <c r="F27" s="196" t="s">
        <v>120</v>
      </c>
      <c r="G27" s="216">
        <v>527</v>
      </c>
      <c r="H27" s="22"/>
      <c r="I27" s="22"/>
    </row>
    <row r="28" spans="1:9" ht="15">
      <c r="A28" s="156" t="s">
        <v>524</v>
      </c>
      <c r="B28" s="74"/>
      <c r="C28" s="114" t="s">
        <v>466</v>
      </c>
      <c r="D28" s="114" t="s">
        <v>239</v>
      </c>
      <c r="E28" s="114" t="s">
        <v>522</v>
      </c>
      <c r="F28" s="196" t="s">
        <v>177</v>
      </c>
      <c r="G28" s="216">
        <v>44.4</v>
      </c>
      <c r="H28" s="22"/>
      <c r="I28" s="22"/>
    </row>
    <row r="29" spans="1:9" ht="28.5">
      <c r="A29" s="156" t="s">
        <v>510</v>
      </c>
      <c r="B29" s="74"/>
      <c r="C29" s="114" t="s">
        <v>466</v>
      </c>
      <c r="D29" s="114" t="s">
        <v>239</v>
      </c>
      <c r="E29" s="114" t="s">
        <v>525</v>
      </c>
      <c r="F29" s="196"/>
      <c r="G29" s="216">
        <f>SUM(G30)</f>
        <v>353.2</v>
      </c>
      <c r="H29" s="22"/>
      <c r="I29" s="22"/>
    </row>
    <row r="30" spans="1:9" ht="15">
      <c r="A30" s="156" t="s">
        <v>523</v>
      </c>
      <c r="B30" s="74"/>
      <c r="C30" s="114" t="s">
        <v>466</v>
      </c>
      <c r="D30" s="114" t="s">
        <v>239</v>
      </c>
      <c r="E30" s="114" t="s">
        <v>525</v>
      </c>
      <c r="F30" s="196" t="s">
        <v>120</v>
      </c>
      <c r="G30" s="216">
        <v>353.2</v>
      </c>
      <c r="H30" s="22"/>
      <c r="I30" s="22"/>
    </row>
    <row r="31" spans="1:9" ht="28.5">
      <c r="A31" s="157" t="s">
        <v>526</v>
      </c>
      <c r="B31" s="74"/>
      <c r="C31" s="114" t="s">
        <v>466</v>
      </c>
      <c r="D31" s="114" t="s">
        <v>239</v>
      </c>
      <c r="E31" s="114" t="s">
        <v>527</v>
      </c>
      <c r="F31" s="198"/>
      <c r="G31" s="215">
        <f>SUM(G32:G34)</f>
        <v>5511.900000000001</v>
      </c>
      <c r="H31" s="22">
        <f>SUM(H34)</f>
        <v>186.6</v>
      </c>
      <c r="I31" s="22">
        <f t="shared" si="0"/>
        <v>3.38540249278833</v>
      </c>
    </row>
    <row r="32" spans="1:9" ht="15">
      <c r="A32" s="156" t="s">
        <v>523</v>
      </c>
      <c r="B32" s="74"/>
      <c r="C32" s="114" t="s">
        <v>466</v>
      </c>
      <c r="D32" s="114" t="s">
        <v>239</v>
      </c>
      <c r="E32" s="114" t="s">
        <v>527</v>
      </c>
      <c r="F32" s="198" t="s">
        <v>120</v>
      </c>
      <c r="G32" s="215">
        <v>5082.8</v>
      </c>
      <c r="H32" s="22">
        <f>SUM(H34)</f>
        <v>186.6</v>
      </c>
      <c r="I32" s="22">
        <f t="shared" si="0"/>
        <v>3.671204847721728</v>
      </c>
    </row>
    <row r="33" spans="1:9" ht="15">
      <c r="A33" s="156" t="s">
        <v>528</v>
      </c>
      <c r="B33" s="74"/>
      <c r="C33" s="114" t="s">
        <v>466</v>
      </c>
      <c r="D33" s="114" t="s">
        <v>239</v>
      </c>
      <c r="E33" s="114" t="s">
        <v>527</v>
      </c>
      <c r="F33" s="198" t="s">
        <v>529</v>
      </c>
      <c r="G33" s="215">
        <f>666-250</f>
        <v>416</v>
      </c>
      <c r="H33" s="22"/>
      <c r="I33" s="22"/>
    </row>
    <row r="34" spans="1:9" ht="15">
      <c r="A34" s="156" t="s">
        <v>524</v>
      </c>
      <c r="B34" s="74"/>
      <c r="C34" s="114" t="s">
        <v>466</v>
      </c>
      <c r="D34" s="114" t="s">
        <v>239</v>
      </c>
      <c r="E34" s="114" t="s">
        <v>527</v>
      </c>
      <c r="F34" s="198" t="s">
        <v>177</v>
      </c>
      <c r="G34" s="215">
        <v>13.1</v>
      </c>
      <c r="H34" s="22">
        <v>186.6</v>
      </c>
      <c r="I34" s="22">
        <f t="shared" si="0"/>
        <v>1424.4274809160306</v>
      </c>
    </row>
    <row r="35" spans="1:9" ht="15.75">
      <c r="A35" s="158" t="s">
        <v>199</v>
      </c>
      <c r="B35" s="203" t="s">
        <v>200</v>
      </c>
      <c r="C35" s="182"/>
      <c r="D35" s="182"/>
      <c r="E35" s="182"/>
      <c r="F35" s="197"/>
      <c r="G35" s="222">
        <f aca="true" t="shared" si="1" ref="G35:H37">SUM(G36)</f>
        <v>6240.9</v>
      </c>
      <c r="H35" s="124" t="e">
        <f t="shared" si="1"/>
        <v>#REF!</v>
      </c>
      <c r="I35" s="124" t="e">
        <f t="shared" si="0"/>
        <v>#REF!</v>
      </c>
    </row>
    <row r="36" spans="1:9" ht="15">
      <c r="A36" s="156" t="s">
        <v>465</v>
      </c>
      <c r="B36" s="74"/>
      <c r="C36" s="114" t="s">
        <v>466</v>
      </c>
      <c r="D36" s="114"/>
      <c r="E36" s="114"/>
      <c r="F36" s="196"/>
      <c r="G36" s="215">
        <f>SUM(G37)+G44</f>
        <v>6240.9</v>
      </c>
      <c r="H36" s="22" t="e">
        <f t="shared" si="1"/>
        <v>#REF!</v>
      </c>
      <c r="I36" s="22" t="e">
        <f t="shared" si="0"/>
        <v>#REF!</v>
      </c>
    </row>
    <row r="37" spans="1:9" ht="28.5">
      <c r="A37" s="157" t="s">
        <v>395</v>
      </c>
      <c r="B37" s="74"/>
      <c r="C37" s="114" t="s">
        <v>466</v>
      </c>
      <c r="D37" s="114" t="s">
        <v>396</v>
      </c>
      <c r="E37" s="114"/>
      <c r="F37" s="196"/>
      <c r="G37" s="215">
        <f t="shared" si="1"/>
        <v>5556.4</v>
      </c>
      <c r="H37" s="22" t="e">
        <f t="shared" si="1"/>
        <v>#REF!</v>
      </c>
      <c r="I37" s="22" t="e">
        <f t="shared" si="0"/>
        <v>#REF!</v>
      </c>
    </row>
    <row r="38" spans="1:9" ht="28.5">
      <c r="A38" s="156" t="s">
        <v>99</v>
      </c>
      <c r="B38" s="74"/>
      <c r="C38" s="114" t="s">
        <v>466</v>
      </c>
      <c r="D38" s="114" t="s">
        <v>396</v>
      </c>
      <c r="E38" s="114" t="s">
        <v>100</v>
      </c>
      <c r="F38" s="197"/>
      <c r="G38" s="215">
        <f>SUM(G39+G42)</f>
        <v>5556.4</v>
      </c>
      <c r="H38" s="22" t="e">
        <f>SUM(H39+H42)</f>
        <v>#REF!</v>
      </c>
      <c r="I38" s="22" t="e">
        <f t="shared" si="0"/>
        <v>#REF!</v>
      </c>
    </row>
    <row r="39" spans="1:9" ht="15">
      <c r="A39" s="156" t="s">
        <v>107</v>
      </c>
      <c r="B39" s="74"/>
      <c r="C39" s="114" t="s">
        <v>466</v>
      </c>
      <c r="D39" s="114" t="s">
        <v>396</v>
      </c>
      <c r="E39" s="114" t="s">
        <v>109</v>
      </c>
      <c r="F39" s="197"/>
      <c r="G39" s="215">
        <f>SUM(G40)+G41</f>
        <v>3864.4</v>
      </c>
      <c r="H39" s="22">
        <f>SUM(H40)</f>
        <v>2155.5</v>
      </c>
      <c r="I39" s="22">
        <f t="shared" si="0"/>
        <v>55.77838733050409</v>
      </c>
    </row>
    <row r="40" spans="1:9" ht="28.5">
      <c r="A40" s="156" t="s">
        <v>518</v>
      </c>
      <c r="B40" s="74"/>
      <c r="C40" s="114" t="s">
        <v>466</v>
      </c>
      <c r="D40" s="114" t="s">
        <v>396</v>
      </c>
      <c r="E40" s="114" t="s">
        <v>109</v>
      </c>
      <c r="F40" s="196" t="s">
        <v>519</v>
      </c>
      <c r="G40" s="215">
        <f>3229.6+547.9+77.8</f>
        <v>3855.3</v>
      </c>
      <c r="H40" s="22">
        <v>2155.5</v>
      </c>
      <c r="I40" s="22">
        <f t="shared" si="0"/>
        <v>55.91004591082406</v>
      </c>
    </row>
    <row r="41" spans="1:9" ht="15">
      <c r="A41" s="156" t="s">
        <v>523</v>
      </c>
      <c r="B41" s="74"/>
      <c r="C41" s="114" t="s">
        <v>466</v>
      </c>
      <c r="D41" s="114" t="s">
        <v>396</v>
      </c>
      <c r="E41" s="114" t="s">
        <v>109</v>
      </c>
      <c r="F41" s="196" t="s">
        <v>120</v>
      </c>
      <c r="G41" s="216">
        <f>8.3+0.8</f>
        <v>9.100000000000001</v>
      </c>
      <c r="H41" s="22"/>
      <c r="I41" s="22"/>
    </row>
    <row r="42" spans="1:9" s="139" customFormat="1" ht="28.5">
      <c r="A42" s="156" t="s">
        <v>399</v>
      </c>
      <c r="B42" s="74"/>
      <c r="C42" s="114" t="s">
        <v>108</v>
      </c>
      <c r="D42" s="114" t="s">
        <v>396</v>
      </c>
      <c r="E42" s="114" t="s">
        <v>400</v>
      </c>
      <c r="F42" s="198"/>
      <c r="G42" s="215">
        <f>SUM(G43)</f>
        <v>1692</v>
      </c>
      <c r="H42" s="22" t="e">
        <f>SUM(#REF!)</f>
        <v>#REF!</v>
      </c>
      <c r="I42" s="22" t="e">
        <f t="shared" si="0"/>
        <v>#REF!</v>
      </c>
    </row>
    <row r="43" spans="1:9" s="139" customFormat="1" ht="28.5">
      <c r="A43" s="156" t="s">
        <v>518</v>
      </c>
      <c r="B43" s="74"/>
      <c r="C43" s="114" t="s">
        <v>108</v>
      </c>
      <c r="D43" s="114" t="s">
        <v>396</v>
      </c>
      <c r="E43" s="114" t="s">
        <v>400</v>
      </c>
      <c r="F43" s="196" t="s">
        <v>519</v>
      </c>
      <c r="G43" s="215">
        <v>1692</v>
      </c>
      <c r="H43" s="22"/>
      <c r="I43" s="22"/>
    </row>
    <row r="44" spans="1:9" s="139" customFormat="1" ht="15">
      <c r="A44" s="156" t="s">
        <v>112</v>
      </c>
      <c r="B44" s="74"/>
      <c r="C44" s="114" t="s">
        <v>466</v>
      </c>
      <c r="D44" s="114" t="s">
        <v>239</v>
      </c>
      <c r="E44" s="114"/>
      <c r="F44" s="197"/>
      <c r="G44" s="215">
        <f>SUM(G45)</f>
        <v>684.5</v>
      </c>
      <c r="H44" s="22"/>
      <c r="I44" s="22"/>
    </row>
    <row r="45" spans="1:9" s="139" customFormat="1" ht="28.5">
      <c r="A45" s="156" t="s">
        <v>520</v>
      </c>
      <c r="B45" s="74"/>
      <c r="C45" s="114" t="s">
        <v>466</v>
      </c>
      <c r="D45" s="114" t="s">
        <v>239</v>
      </c>
      <c r="E45" s="114" t="s">
        <v>521</v>
      </c>
      <c r="F45" s="197"/>
      <c r="G45" s="215">
        <f>SUM(G46+G49+G51)</f>
        <v>684.5</v>
      </c>
      <c r="H45" s="22"/>
      <c r="I45" s="22"/>
    </row>
    <row r="46" spans="1:9" s="139" customFormat="1" ht="15">
      <c r="A46" s="156" t="s">
        <v>509</v>
      </c>
      <c r="B46" s="74"/>
      <c r="C46" s="114" t="s">
        <v>466</v>
      </c>
      <c r="D46" s="114" t="s">
        <v>239</v>
      </c>
      <c r="E46" s="114" t="s">
        <v>522</v>
      </c>
      <c r="F46" s="196"/>
      <c r="G46" s="216">
        <f>SUM(G47:G48)</f>
        <v>121.8</v>
      </c>
      <c r="H46" s="22"/>
      <c r="I46" s="22"/>
    </row>
    <row r="47" spans="1:9" s="139" customFormat="1" ht="15">
      <c r="A47" s="156" t="s">
        <v>523</v>
      </c>
      <c r="B47" s="74"/>
      <c r="C47" s="114" t="s">
        <v>466</v>
      </c>
      <c r="D47" s="114" t="s">
        <v>239</v>
      </c>
      <c r="E47" s="114" t="s">
        <v>522</v>
      </c>
      <c r="F47" s="196" t="s">
        <v>120</v>
      </c>
      <c r="G47" s="216">
        <v>119</v>
      </c>
      <c r="H47" s="22"/>
      <c r="I47" s="22"/>
    </row>
    <row r="48" spans="1:9" s="139" customFormat="1" ht="15">
      <c r="A48" s="156" t="s">
        <v>524</v>
      </c>
      <c r="B48" s="74"/>
      <c r="C48" s="114" t="s">
        <v>466</v>
      </c>
      <c r="D48" s="114" t="s">
        <v>239</v>
      </c>
      <c r="E48" s="114" t="s">
        <v>522</v>
      </c>
      <c r="F48" s="196" t="s">
        <v>177</v>
      </c>
      <c r="G48" s="216">
        <v>2.8</v>
      </c>
      <c r="H48" s="22"/>
      <c r="I48" s="22"/>
    </row>
    <row r="49" spans="1:9" s="139" customFormat="1" ht="28.5">
      <c r="A49" s="156" t="s">
        <v>510</v>
      </c>
      <c r="B49" s="74"/>
      <c r="C49" s="114" t="s">
        <v>466</v>
      </c>
      <c r="D49" s="114" t="s">
        <v>239</v>
      </c>
      <c r="E49" s="114" t="s">
        <v>525</v>
      </c>
      <c r="F49" s="196"/>
      <c r="G49" s="216">
        <f>SUM(G50)</f>
        <v>157</v>
      </c>
      <c r="H49" s="22"/>
      <c r="I49" s="22"/>
    </row>
    <row r="50" spans="1:9" s="139" customFormat="1" ht="15">
      <c r="A50" s="156" t="s">
        <v>523</v>
      </c>
      <c r="B50" s="74"/>
      <c r="C50" s="114" t="s">
        <v>466</v>
      </c>
      <c r="D50" s="114" t="s">
        <v>239</v>
      </c>
      <c r="E50" s="114" t="s">
        <v>525</v>
      </c>
      <c r="F50" s="196" t="s">
        <v>120</v>
      </c>
      <c r="G50" s="216">
        <v>157</v>
      </c>
      <c r="H50" s="22"/>
      <c r="I50" s="22"/>
    </row>
    <row r="51" spans="1:9" s="139" customFormat="1" ht="28.5">
      <c r="A51" s="157" t="s">
        <v>526</v>
      </c>
      <c r="B51" s="74"/>
      <c r="C51" s="114" t="s">
        <v>466</v>
      </c>
      <c r="D51" s="114" t="s">
        <v>239</v>
      </c>
      <c r="E51" s="114" t="s">
        <v>527</v>
      </c>
      <c r="F51" s="198"/>
      <c r="G51" s="215">
        <f>SUM(G52:G53)</f>
        <v>405.70000000000005</v>
      </c>
      <c r="H51" s="22"/>
      <c r="I51" s="22"/>
    </row>
    <row r="52" spans="1:9" s="139" customFormat="1" ht="15">
      <c r="A52" s="156" t="s">
        <v>523</v>
      </c>
      <c r="B52" s="74"/>
      <c r="C52" s="114" t="s">
        <v>466</v>
      </c>
      <c r="D52" s="114" t="s">
        <v>239</v>
      </c>
      <c r="E52" s="114" t="s">
        <v>527</v>
      </c>
      <c r="F52" s="198" t="s">
        <v>120</v>
      </c>
      <c r="G52" s="215">
        <v>399.1</v>
      </c>
      <c r="H52" s="22"/>
      <c r="I52" s="22"/>
    </row>
    <row r="53" spans="1:9" s="139" customFormat="1" ht="15">
      <c r="A53" s="156" t="s">
        <v>524</v>
      </c>
      <c r="B53" s="74"/>
      <c r="C53" s="114" t="s">
        <v>466</v>
      </c>
      <c r="D53" s="114" t="s">
        <v>239</v>
      </c>
      <c r="E53" s="114" t="s">
        <v>527</v>
      </c>
      <c r="F53" s="198" t="s">
        <v>177</v>
      </c>
      <c r="G53" s="215">
        <v>6.6</v>
      </c>
      <c r="H53" s="22"/>
      <c r="I53" s="22"/>
    </row>
    <row r="54" spans="1:9" ht="15.75">
      <c r="A54" s="159" t="s">
        <v>201</v>
      </c>
      <c r="B54" s="199" t="s">
        <v>202</v>
      </c>
      <c r="C54" s="187"/>
      <c r="D54" s="187"/>
      <c r="E54" s="187"/>
      <c r="F54" s="232"/>
      <c r="G54" s="222">
        <f>SUM(G55+G98+G130+G166+G261+G272+G277)</f>
        <v>404837.8999999999</v>
      </c>
      <c r="H54" s="124" t="e">
        <f>SUM(H55+H100+#REF!+#REF!+#REF!+#REF!+#REF!+#REF!+#REF!)</f>
        <v>#REF!</v>
      </c>
      <c r="I54" s="124" t="e">
        <f>SUM(H54/G54*100)</f>
        <v>#REF!</v>
      </c>
    </row>
    <row r="55" spans="1:9" ht="15">
      <c r="A55" s="156" t="s">
        <v>465</v>
      </c>
      <c r="B55" s="74"/>
      <c r="C55" s="114" t="s">
        <v>466</v>
      </c>
      <c r="D55" s="114"/>
      <c r="E55" s="114"/>
      <c r="F55" s="196"/>
      <c r="G55" s="215">
        <f>SUM(G56+G78+G75)</f>
        <v>124084.29999999999</v>
      </c>
      <c r="H55" s="22" t="e">
        <f>SUM(H56+H76+#REF!+H74+#REF!)</f>
        <v>#REF!</v>
      </c>
      <c r="I55" s="22" t="e">
        <f>SUM(H55/G55*100)</f>
        <v>#REF!</v>
      </c>
    </row>
    <row r="56" spans="1:9" ht="28.5">
      <c r="A56" s="156" t="s">
        <v>259</v>
      </c>
      <c r="B56" s="74"/>
      <c r="C56" s="114" t="s">
        <v>466</v>
      </c>
      <c r="D56" s="114" t="s">
        <v>122</v>
      </c>
      <c r="E56" s="114"/>
      <c r="F56" s="196"/>
      <c r="G56" s="215">
        <f>SUM(G57)</f>
        <v>95955.4</v>
      </c>
      <c r="H56" s="22" t="e">
        <f>SUM(H57)+#REF!+H69</f>
        <v>#REF!</v>
      </c>
      <c r="I56" s="22" t="e">
        <f>SUM(H56/G56*100)</f>
        <v>#REF!</v>
      </c>
    </row>
    <row r="57" spans="1:9" ht="28.5">
      <c r="A57" s="156" t="s">
        <v>99</v>
      </c>
      <c r="B57" s="74"/>
      <c r="C57" s="114" t="s">
        <v>466</v>
      </c>
      <c r="D57" s="114" t="s">
        <v>122</v>
      </c>
      <c r="E57" s="114" t="s">
        <v>100</v>
      </c>
      <c r="F57" s="197"/>
      <c r="G57" s="215">
        <f>SUM(G58+G73+G61+G64+G67+G70)</f>
        <v>95955.4</v>
      </c>
      <c r="H57" s="22" t="e">
        <f>SUM(H58+H68)</f>
        <v>#REF!</v>
      </c>
      <c r="I57" s="22" t="e">
        <f>SUM(H57/G57*100)</f>
        <v>#REF!</v>
      </c>
    </row>
    <row r="58" spans="1:9" ht="15">
      <c r="A58" s="156" t="s">
        <v>107</v>
      </c>
      <c r="B58" s="74"/>
      <c r="C58" s="114" t="s">
        <v>466</v>
      </c>
      <c r="D58" s="114" t="s">
        <v>122</v>
      </c>
      <c r="E58" s="114" t="s">
        <v>109</v>
      </c>
      <c r="F58" s="197"/>
      <c r="G58" s="215">
        <f>SUM(G59+G60)</f>
        <v>92691.5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156" t="s">
        <v>518</v>
      </c>
      <c r="B59" s="74"/>
      <c r="C59" s="114" t="s">
        <v>466</v>
      </c>
      <c r="D59" s="114" t="s">
        <v>122</v>
      </c>
      <c r="E59" s="114" t="s">
        <v>109</v>
      </c>
      <c r="F59" s="196" t="s">
        <v>519</v>
      </c>
      <c r="G59" s="215">
        <v>92594.8</v>
      </c>
      <c r="H59" s="22">
        <v>50612.1</v>
      </c>
      <c r="I59" s="22" t="e">
        <f>SUM(H59/#REF!*100)</f>
        <v>#REF!</v>
      </c>
    </row>
    <row r="60" spans="1:9" ht="15">
      <c r="A60" s="156" t="s">
        <v>523</v>
      </c>
      <c r="B60" s="74"/>
      <c r="C60" s="114" t="s">
        <v>466</v>
      </c>
      <c r="D60" s="114" t="s">
        <v>122</v>
      </c>
      <c r="E60" s="114" t="s">
        <v>109</v>
      </c>
      <c r="F60" s="196" t="s">
        <v>120</v>
      </c>
      <c r="G60" s="216">
        <f>97.5-0.8</f>
        <v>96.7</v>
      </c>
      <c r="H60" s="22">
        <v>507.8</v>
      </c>
      <c r="I60" s="22">
        <f>SUM(H60/G61*100)</f>
        <v>36.46940534329216</v>
      </c>
    </row>
    <row r="61" spans="1:9" ht="28.5">
      <c r="A61" s="156" t="s">
        <v>126</v>
      </c>
      <c r="B61" s="74"/>
      <c r="C61" s="114" t="s">
        <v>466</v>
      </c>
      <c r="D61" s="114" t="s">
        <v>122</v>
      </c>
      <c r="E61" s="114" t="s">
        <v>127</v>
      </c>
      <c r="F61" s="196"/>
      <c r="G61" s="215">
        <f>SUM(G62:G63)</f>
        <v>1392.3999999999999</v>
      </c>
      <c r="H61" s="22">
        <v>41.9</v>
      </c>
      <c r="I61" s="22">
        <f>SUM(H61/G64*100)</f>
        <v>44.669509594882726</v>
      </c>
    </row>
    <row r="62" spans="1:9" ht="28.5">
      <c r="A62" s="156" t="s">
        <v>518</v>
      </c>
      <c r="B62" s="74"/>
      <c r="C62" s="114" t="s">
        <v>466</v>
      </c>
      <c r="D62" s="114" t="s">
        <v>122</v>
      </c>
      <c r="E62" s="114" t="s">
        <v>127</v>
      </c>
      <c r="F62" s="196" t="s">
        <v>519</v>
      </c>
      <c r="G62" s="215">
        <v>1368.8</v>
      </c>
      <c r="H62" s="22"/>
      <c r="I62" s="22"/>
    </row>
    <row r="63" spans="1:9" ht="15">
      <c r="A63" s="156" t="s">
        <v>523</v>
      </c>
      <c r="B63" s="74"/>
      <c r="C63" s="114" t="s">
        <v>466</v>
      </c>
      <c r="D63" s="114" t="s">
        <v>122</v>
      </c>
      <c r="E63" s="114" t="s">
        <v>127</v>
      </c>
      <c r="F63" s="196" t="s">
        <v>120</v>
      </c>
      <c r="G63" s="216">
        <v>23.6</v>
      </c>
      <c r="H63" s="22"/>
      <c r="I63" s="22">
        <f>SUM(H63/G66*100)</f>
        <v>0</v>
      </c>
    </row>
    <row r="64" spans="1:9" s="133" customFormat="1" ht="42.75">
      <c r="A64" s="156" t="s">
        <v>388</v>
      </c>
      <c r="B64" s="74"/>
      <c r="C64" s="114" t="s">
        <v>466</v>
      </c>
      <c r="D64" s="114" t="s">
        <v>122</v>
      </c>
      <c r="E64" s="114" t="s">
        <v>389</v>
      </c>
      <c r="F64" s="196"/>
      <c r="G64" s="215">
        <f>SUM(G65:G66)</f>
        <v>93.8</v>
      </c>
      <c r="H64" s="22"/>
      <c r="I64" s="22">
        <f>SUM(H64/G69*100)</f>
        <v>0</v>
      </c>
    </row>
    <row r="65" spans="1:9" s="133" customFormat="1" ht="28.5">
      <c r="A65" s="156" t="s">
        <v>518</v>
      </c>
      <c r="B65" s="74"/>
      <c r="C65" s="114" t="s">
        <v>466</v>
      </c>
      <c r="D65" s="114" t="s">
        <v>122</v>
      </c>
      <c r="E65" s="114" t="s">
        <v>389</v>
      </c>
      <c r="F65" s="196" t="s">
        <v>519</v>
      </c>
      <c r="G65" s="215">
        <v>72.3</v>
      </c>
      <c r="H65" s="22"/>
      <c r="I65" s="22"/>
    </row>
    <row r="66" spans="1:9" s="133" customFormat="1" ht="15">
      <c r="A66" s="156" t="s">
        <v>523</v>
      </c>
      <c r="B66" s="74"/>
      <c r="C66" s="114" t="s">
        <v>466</v>
      </c>
      <c r="D66" s="114" t="s">
        <v>122</v>
      </c>
      <c r="E66" s="114" t="s">
        <v>389</v>
      </c>
      <c r="F66" s="196" t="s">
        <v>120</v>
      </c>
      <c r="G66" s="216">
        <v>21.5</v>
      </c>
      <c r="H66" s="22"/>
      <c r="I66" s="22"/>
    </row>
    <row r="67" spans="1:9" s="133" customFormat="1" ht="28.5">
      <c r="A67" s="160" t="s">
        <v>60</v>
      </c>
      <c r="B67" s="113"/>
      <c r="C67" s="182" t="s">
        <v>466</v>
      </c>
      <c r="D67" s="182" t="s">
        <v>122</v>
      </c>
      <c r="E67" s="182" t="s">
        <v>61</v>
      </c>
      <c r="F67" s="197"/>
      <c r="G67" s="215">
        <f>SUM(G68:G69)</f>
        <v>179.6</v>
      </c>
      <c r="H67" s="22"/>
      <c r="I67" s="22"/>
    </row>
    <row r="68" spans="1:9" s="139" customFormat="1" ht="28.5">
      <c r="A68" s="156" t="s">
        <v>518</v>
      </c>
      <c r="B68" s="74"/>
      <c r="C68" s="114" t="s">
        <v>466</v>
      </c>
      <c r="D68" s="114" t="s">
        <v>122</v>
      </c>
      <c r="E68" s="182" t="s">
        <v>61</v>
      </c>
      <c r="F68" s="196" t="s">
        <v>519</v>
      </c>
      <c r="G68" s="215">
        <v>140</v>
      </c>
      <c r="H68" s="22" t="e">
        <f>SUM(#REF!)</f>
        <v>#REF!</v>
      </c>
      <c r="I68" s="22" t="e">
        <f>SUM(H68/G73*100)</f>
        <v>#REF!</v>
      </c>
    </row>
    <row r="69" spans="1:9" s="139" customFormat="1" ht="15">
      <c r="A69" s="156" t="s">
        <v>523</v>
      </c>
      <c r="B69" s="74"/>
      <c r="C69" s="114" t="s">
        <v>466</v>
      </c>
      <c r="D69" s="114" t="s">
        <v>122</v>
      </c>
      <c r="E69" s="182" t="s">
        <v>61</v>
      </c>
      <c r="F69" s="196" t="s">
        <v>120</v>
      </c>
      <c r="G69" s="216">
        <v>39.6</v>
      </c>
      <c r="H69" s="22" t="e">
        <f>SUM(#REF!)</f>
        <v>#REF!</v>
      </c>
      <c r="I69" s="22" t="e">
        <f>SUM(H69/#REF!*100)</f>
        <v>#REF!</v>
      </c>
    </row>
    <row r="70" spans="1:9" s="139" customFormat="1" ht="28.5">
      <c r="A70" s="160" t="s">
        <v>148</v>
      </c>
      <c r="B70" s="113"/>
      <c r="C70" s="182" t="s">
        <v>466</v>
      </c>
      <c r="D70" s="182" t="s">
        <v>122</v>
      </c>
      <c r="E70" s="182" t="s">
        <v>149</v>
      </c>
      <c r="F70" s="197"/>
      <c r="G70" s="215">
        <f>SUM(G71:G72)</f>
        <v>357.70000000000005</v>
      </c>
      <c r="H70" s="22"/>
      <c r="I70" s="22"/>
    </row>
    <row r="71" spans="1:9" s="139" customFormat="1" ht="28.5">
      <c r="A71" s="156" t="s">
        <v>518</v>
      </c>
      <c r="B71" s="74"/>
      <c r="C71" s="114" t="s">
        <v>466</v>
      </c>
      <c r="D71" s="114" t="s">
        <v>122</v>
      </c>
      <c r="E71" s="182" t="s">
        <v>149</v>
      </c>
      <c r="F71" s="196" t="s">
        <v>519</v>
      </c>
      <c r="G71" s="215">
        <v>288.8</v>
      </c>
      <c r="H71" s="22"/>
      <c r="I71" s="22"/>
    </row>
    <row r="72" spans="1:9" s="139" customFormat="1" ht="15">
      <c r="A72" s="156" t="s">
        <v>523</v>
      </c>
      <c r="B72" s="74"/>
      <c r="C72" s="114" t="s">
        <v>466</v>
      </c>
      <c r="D72" s="114" t="s">
        <v>122</v>
      </c>
      <c r="E72" s="182" t="s">
        <v>149</v>
      </c>
      <c r="F72" s="196" t="s">
        <v>120</v>
      </c>
      <c r="G72" s="216">
        <v>68.9</v>
      </c>
      <c r="H72" s="22"/>
      <c r="I72" s="22"/>
    </row>
    <row r="73" spans="1:9" s="139" customFormat="1" ht="28.5">
      <c r="A73" s="156" t="s">
        <v>390</v>
      </c>
      <c r="B73" s="74"/>
      <c r="C73" s="114" t="s">
        <v>108</v>
      </c>
      <c r="D73" s="114" t="s">
        <v>122</v>
      </c>
      <c r="E73" s="114" t="s">
        <v>391</v>
      </c>
      <c r="F73" s="197"/>
      <c r="G73" s="215">
        <f>SUM(G74)</f>
        <v>1240.4</v>
      </c>
      <c r="H73" s="22">
        <v>155.9</v>
      </c>
      <c r="I73" s="22" t="e">
        <f>SUM(H73/#REF!*100)</f>
        <v>#REF!</v>
      </c>
    </row>
    <row r="74" spans="1:9" s="139" customFormat="1" ht="28.5">
      <c r="A74" s="156" t="s">
        <v>518</v>
      </c>
      <c r="B74" s="74"/>
      <c r="C74" s="114" t="s">
        <v>466</v>
      </c>
      <c r="D74" s="114" t="s">
        <v>122</v>
      </c>
      <c r="E74" s="114" t="s">
        <v>391</v>
      </c>
      <c r="F74" s="196" t="s">
        <v>519</v>
      </c>
      <c r="G74" s="215">
        <v>1240.4</v>
      </c>
      <c r="H74" s="22" t="e">
        <f>SUM(#REF!)</f>
        <v>#REF!</v>
      </c>
      <c r="I74" s="22" t="e">
        <f>SUM(H74/G75*100)</f>
        <v>#REF!</v>
      </c>
    </row>
    <row r="75" spans="1:9" ht="15" hidden="1">
      <c r="A75" s="156" t="s">
        <v>130</v>
      </c>
      <c r="B75" s="74"/>
      <c r="C75" s="114" t="s">
        <v>466</v>
      </c>
      <c r="D75" s="114" t="s">
        <v>131</v>
      </c>
      <c r="E75" s="114"/>
      <c r="F75" s="197"/>
      <c r="G75" s="215">
        <f>SUM(G76)</f>
        <v>0</v>
      </c>
      <c r="H75" s="22"/>
      <c r="I75" s="22" t="e">
        <f>SUM(H75/#REF!*100)</f>
        <v>#REF!</v>
      </c>
    </row>
    <row r="76" spans="1:9" ht="28.5" hidden="1">
      <c r="A76" s="157" t="s">
        <v>253</v>
      </c>
      <c r="B76" s="74"/>
      <c r="C76" s="114" t="s">
        <v>466</v>
      </c>
      <c r="D76" s="114" t="s">
        <v>131</v>
      </c>
      <c r="E76" s="114" t="s">
        <v>394</v>
      </c>
      <c r="F76" s="197"/>
      <c r="G76" s="215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156" t="s">
        <v>103</v>
      </c>
      <c r="B77" s="74"/>
      <c r="C77" s="114" t="s">
        <v>466</v>
      </c>
      <c r="D77" s="114" t="s">
        <v>131</v>
      </c>
      <c r="E77" s="114" t="s">
        <v>394</v>
      </c>
      <c r="F77" s="196" t="s">
        <v>104</v>
      </c>
      <c r="G77" s="215"/>
      <c r="H77" s="22" t="e">
        <f>SUM(#REF!+#REF!)</f>
        <v>#REF!</v>
      </c>
      <c r="I77" s="22" t="e">
        <f>SUM(H77/#REF!*100)</f>
        <v>#REF!</v>
      </c>
    </row>
    <row r="78" spans="1:9" ht="15">
      <c r="A78" s="156" t="s">
        <v>112</v>
      </c>
      <c r="B78" s="74"/>
      <c r="C78" s="114" t="s">
        <v>466</v>
      </c>
      <c r="D78" s="114" t="s">
        <v>239</v>
      </c>
      <c r="E78" s="114"/>
      <c r="F78" s="197"/>
      <c r="G78" s="215">
        <f>SUM(G79+G90)</f>
        <v>28128.9</v>
      </c>
      <c r="H78" s="22">
        <f>SUM(H79)</f>
        <v>836.4</v>
      </c>
      <c r="I78" s="22">
        <f>SUM(H78/G82*100)</f>
        <v>1127.2237196765498</v>
      </c>
    </row>
    <row r="79" spans="1:9" ht="28.5">
      <c r="A79" s="160" t="s">
        <v>520</v>
      </c>
      <c r="B79" s="233"/>
      <c r="C79" s="183" t="s">
        <v>466</v>
      </c>
      <c r="D79" s="183" t="s">
        <v>239</v>
      </c>
      <c r="E79" s="183" t="s">
        <v>521</v>
      </c>
      <c r="F79" s="234"/>
      <c r="G79" s="213">
        <f>G80+G83+G85+G87</f>
        <v>25663</v>
      </c>
      <c r="H79" s="22">
        <f>SUM(H80)</f>
        <v>836.4</v>
      </c>
      <c r="I79" s="22" t="e">
        <f>SUM(H79/#REF!*100)</f>
        <v>#REF!</v>
      </c>
    </row>
    <row r="80" spans="1:9" ht="15">
      <c r="A80" s="160" t="s">
        <v>509</v>
      </c>
      <c r="B80" s="235"/>
      <c r="C80" s="183" t="s">
        <v>466</v>
      </c>
      <c r="D80" s="183" t="s">
        <v>239</v>
      </c>
      <c r="E80" s="183" t="s">
        <v>522</v>
      </c>
      <c r="F80" s="201"/>
      <c r="G80" s="213">
        <f>G81+G82</f>
        <v>2792.7</v>
      </c>
      <c r="H80" s="22">
        <v>836.4</v>
      </c>
      <c r="I80" s="22" t="e">
        <f>SUM(H80/#REF!*100)</f>
        <v>#REF!</v>
      </c>
    </row>
    <row r="81" spans="1:9" ht="15">
      <c r="A81" s="160" t="s">
        <v>523</v>
      </c>
      <c r="B81" s="235"/>
      <c r="C81" s="183" t="s">
        <v>466</v>
      </c>
      <c r="D81" s="183" t="s">
        <v>239</v>
      </c>
      <c r="E81" s="183" t="s">
        <v>522</v>
      </c>
      <c r="F81" s="201" t="s">
        <v>120</v>
      </c>
      <c r="G81" s="213">
        <v>2718.5</v>
      </c>
      <c r="H81" s="22" t="e">
        <f>SUM(#REF!)</f>
        <v>#REF!</v>
      </c>
      <c r="I81" s="22" t="e">
        <f>SUM(H81/G83*100)</f>
        <v>#REF!</v>
      </c>
    </row>
    <row r="82" spans="1:9" ht="15">
      <c r="A82" s="160" t="s">
        <v>524</v>
      </c>
      <c r="B82" s="235"/>
      <c r="C82" s="183" t="s">
        <v>466</v>
      </c>
      <c r="D82" s="183" t="s">
        <v>239</v>
      </c>
      <c r="E82" s="183" t="s">
        <v>522</v>
      </c>
      <c r="F82" s="201" t="s">
        <v>177</v>
      </c>
      <c r="G82" s="213">
        <v>74.2</v>
      </c>
      <c r="H82" s="22" t="e">
        <f>SUM(#REF!)</f>
        <v>#REF!</v>
      </c>
      <c r="I82" s="22" t="e">
        <f>SUM(H82/#REF!*100)</f>
        <v>#REF!</v>
      </c>
    </row>
    <row r="83" spans="1:9" ht="28.5">
      <c r="A83" s="160" t="s">
        <v>510</v>
      </c>
      <c r="B83" s="235"/>
      <c r="C83" s="183" t="s">
        <v>466</v>
      </c>
      <c r="D83" s="183" t="s">
        <v>239</v>
      </c>
      <c r="E83" s="183" t="s">
        <v>525</v>
      </c>
      <c r="F83" s="201"/>
      <c r="G83" s="213">
        <f>SUM(G84)</f>
        <v>8943.8</v>
      </c>
      <c r="H83" s="22"/>
      <c r="I83" s="22"/>
    </row>
    <row r="84" spans="1:9" ht="15">
      <c r="A84" s="160" t="s">
        <v>523</v>
      </c>
      <c r="B84" s="235"/>
      <c r="C84" s="183" t="s">
        <v>466</v>
      </c>
      <c r="D84" s="183" t="s">
        <v>239</v>
      </c>
      <c r="E84" s="183" t="s">
        <v>525</v>
      </c>
      <c r="F84" s="201" t="s">
        <v>120</v>
      </c>
      <c r="G84" s="213">
        <v>8943.8</v>
      </c>
      <c r="H84" s="22"/>
      <c r="I84" s="22"/>
    </row>
    <row r="85" spans="1:9" ht="28.5">
      <c r="A85" s="160" t="s">
        <v>545</v>
      </c>
      <c r="B85" s="235"/>
      <c r="C85" s="183" t="s">
        <v>466</v>
      </c>
      <c r="D85" s="183" t="s">
        <v>239</v>
      </c>
      <c r="E85" s="183" t="s">
        <v>546</v>
      </c>
      <c r="F85" s="201"/>
      <c r="G85" s="213">
        <f>SUM(G86)</f>
        <v>1448.8</v>
      </c>
      <c r="H85" s="22" t="e">
        <f>SUM(H86)</f>
        <v>#REF!</v>
      </c>
      <c r="I85" s="22" t="e">
        <f>SUM(H85/G88*100)</f>
        <v>#REF!</v>
      </c>
    </row>
    <row r="86" spans="1:9" ht="15">
      <c r="A86" s="160" t="s">
        <v>523</v>
      </c>
      <c r="B86" s="235"/>
      <c r="C86" s="183" t="s">
        <v>466</v>
      </c>
      <c r="D86" s="183" t="s">
        <v>239</v>
      </c>
      <c r="E86" s="183" t="s">
        <v>546</v>
      </c>
      <c r="F86" s="201" t="s">
        <v>120</v>
      </c>
      <c r="G86" s="213">
        <v>1448.8</v>
      </c>
      <c r="H86" s="22" t="e">
        <f>SUM(#REF!)</f>
        <v>#REF!</v>
      </c>
      <c r="I86" s="22" t="e">
        <f>SUM(H86/#REF!*100)</f>
        <v>#REF!</v>
      </c>
    </row>
    <row r="87" spans="1:9" ht="28.5">
      <c r="A87" s="160" t="s">
        <v>526</v>
      </c>
      <c r="B87" s="235"/>
      <c r="C87" s="183" t="s">
        <v>466</v>
      </c>
      <c r="D87" s="183" t="s">
        <v>239</v>
      </c>
      <c r="E87" s="183" t="s">
        <v>527</v>
      </c>
      <c r="F87" s="201"/>
      <c r="G87" s="213">
        <f>G88+G89</f>
        <v>12477.7</v>
      </c>
      <c r="H87" s="22" t="e">
        <f>SUM(#REF!)</f>
        <v>#REF!</v>
      </c>
      <c r="I87" s="22" t="e">
        <f>SUM(H87/#REF!*100)</f>
        <v>#REF!</v>
      </c>
    </row>
    <row r="88" spans="1:9" ht="15">
      <c r="A88" s="160" t="s">
        <v>523</v>
      </c>
      <c r="B88" s="235"/>
      <c r="C88" s="183" t="s">
        <v>466</v>
      </c>
      <c r="D88" s="183" t="s">
        <v>239</v>
      </c>
      <c r="E88" s="183" t="s">
        <v>527</v>
      </c>
      <c r="F88" s="201" t="s">
        <v>120</v>
      </c>
      <c r="G88" s="213">
        <v>9841.1</v>
      </c>
      <c r="H88" s="22" t="e">
        <f>SUM(#REF!)</f>
        <v>#REF!</v>
      </c>
      <c r="I88" s="22" t="e">
        <f>SUM(H88/#REF!*100)</f>
        <v>#REF!</v>
      </c>
    </row>
    <row r="89" spans="1:9" ht="15">
      <c r="A89" s="160" t="s">
        <v>524</v>
      </c>
      <c r="B89" s="235"/>
      <c r="C89" s="183" t="s">
        <v>466</v>
      </c>
      <c r="D89" s="183" t="s">
        <v>239</v>
      </c>
      <c r="E89" s="183" t="s">
        <v>527</v>
      </c>
      <c r="F89" s="201" t="s">
        <v>177</v>
      </c>
      <c r="G89" s="213">
        <v>2636.6</v>
      </c>
      <c r="H89" s="22">
        <v>1317.4</v>
      </c>
      <c r="I89" s="22" t="e">
        <f>SUM(H89/#REF!*100)</f>
        <v>#REF!</v>
      </c>
    </row>
    <row r="90" spans="1:9" ht="28.5">
      <c r="A90" s="160" t="s">
        <v>623</v>
      </c>
      <c r="B90" s="235"/>
      <c r="C90" s="183" t="s">
        <v>466</v>
      </c>
      <c r="D90" s="183" t="s">
        <v>239</v>
      </c>
      <c r="E90" s="183" t="s">
        <v>136</v>
      </c>
      <c r="F90" s="201"/>
      <c r="G90" s="213">
        <f>G91</f>
        <v>2465.9</v>
      </c>
      <c r="H90" s="22"/>
      <c r="I90" s="22"/>
    </row>
    <row r="91" spans="1:9" ht="15">
      <c r="A91" s="160" t="s">
        <v>15</v>
      </c>
      <c r="B91" s="235"/>
      <c r="C91" s="183" t="s">
        <v>466</v>
      </c>
      <c r="D91" s="183" t="s">
        <v>239</v>
      </c>
      <c r="E91" s="183" t="s">
        <v>205</v>
      </c>
      <c r="F91" s="201"/>
      <c r="G91" s="213">
        <f>G92+G94</f>
        <v>2465.9</v>
      </c>
      <c r="H91" s="22"/>
      <c r="I91" s="22"/>
    </row>
    <row r="92" spans="1:9" ht="28.5">
      <c r="A92" s="268" t="s">
        <v>664</v>
      </c>
      <c r="B92" s="235"/>
      <c r="C92" s="183" t="s">
        <v>466</v>
      </c>
      <c r="D92" s="183" t="s">
        <v>239</v>
      </c>
      <c r="E92" s="183" t="s">
        <v>207</v>
      </c>
      <c r="F92" s="201"/>
      <c r="G92" s="213">
        <f>SUM(G93)</f>
        <v>2380.3</v>
      </c>
      <c r="H92" s="22"/>
      <c r="I92" s="22"/>
    </row>
    <row r="93" spans="1:9" ht="28.5">
      <c r="A93" s="160" t="s">
        <v>547</v>
      </c>
      <c r="B93" s="235"/>
      <c r="C93" s="183" t="s">
        <v>466</v>
      </c>
      <c r="D93" s="183" t="s">
        <v>239</v>
      </c>
      <c r="E93" s="183" t="s">
        <v>207</v>
      </c>
      <c r="F93" s="201" t="s">
        <v>536</v>
      </c>
      <c r="G93" s="213">
        <v>2380.3</v>
      </c>
      <c r="H93" s="22"/>
      <c r="I93" s="22"/>
    </row>
    <row r="94" spans="1:9" ht="15">
      <c r="A94" s="156" t="s">
        <v>158</v>
      </c>
      <c r="B94" s="235"/>
      <c r="C94" s="183" t="s">
        <v>466</v>
      </c>
      <c r="D94" s="183" t="s">
        <v>239</v>
      </c>
      <c r="E94" s="183" t="s">
        <v>420</v>
      </c>
      <c r="F94" s="201"/>
      <c r="G94" s="213">
        <f>SUM(G95)</f>
        <v>85.6</v>
      </c>
      <c r="H94" s="22"/>
      <c r="I94" s="22"/>
    </row>
    <row r="95" spans="1:9" ht="28.5">
      <c r="A95" s="160" t="s">
        <v>144</v>
      </c>
      <c r="B95" s="235"/>
      <c r="C95" s="183" t="s">
        <v>466</v>
      </c>
      <c r="D95" s="183" t="s">
        <v>239</v>
      </c>
      <c r="E95" s="183" t="s">
        <v>421</v>
      </c>
      <c r="F95" s="201"/>
      <c r="G95" s="213">
        <f>SUM(G96)</f>
        <v>85.6</v>
      </c>
      <c r="H95" s="22"/>
      <c r="I95" s="22"/>
    </row>
    <row r="96" spans="1:9" ht="28.5">
      <c r="A96" s="160" t="s">
        <v>547</v>
      </c>
      <c r="B96" s="235"/>
      <c r="C96" s="183" t="s">
        <v>466</v>
      </c>
      <c r="D96" s="183" t="s">
        <v>239</v>
      </c>
      <c r="E96" s="183" t="s">
        <v>421</v>
      </c>
      <c r="F96" s="201" t="s">
        <v>536</v>
      </c>
      <c r="G96" s="213">
        <v>85.6</v>
      </c>
      <c r="H96" s="22">
        <f>SUM(H97)</f>
        <v>0</v>
      </c>
      <c r="I96" s="22">
        <f>SUM(H96/G102*100)</f>
        <v>0</v>
      </c>
    </row>
    <row r="97" spans="1:9" ht="28.5" hidden="1">
      <c r="A97" s="160" t="s">
        <v>144</v>
      </c>
      <c r="B97" s="235"/>
      <c r="C97" s="183" t="s">
        <v>466</v>
      </c>
      <c r="D97" s="183" t="s">
        <v>239</v>
      </c>
      <c r="E97" s="183" t="s">
        <v>421</v>
      </c>
      <c r="F97" s="201"/>
      <c r="G97" s="213"/>
      <c r="H97" s="22">
        <f>SUM(H98:H99)</f>
        <v>0</v>
      </c>
      <c r="I97" s="22" t="e">
        <f>SUM(H97/#REF!*100)</f>
        <v>#REF!</v>
      </c>
    </row>
    <row r="98" spans="1:9" ht="15">
      <c r="A98" s="160" t="s">
        <v>139</v>
      </c>
      <c r="B98" s="235"/>
      <c r="C98" s="183" t="s">
        <v>106</v>
      </c>
      <c r="D98" s="183"/>
      <c r="E98" s="183"/>
      <c r="F98" s="201"/>
      <c r="G98" s="213">
        <f>SUM(G105)+G99</f>
        <v>21580.8</v>
      </c>
      <c r="H98" s="22"/>
      <c r="I98" s="22" t="e">
        <f>SUM(H98/#REF!*100)</f>
        <v>#REF!</v>
      </c>
    </row>
    <row r="99" spans="1:9" ht="15">
      <c r="A99" s="236" t="s">
        <v>59</v>
      </c>
      <c r="B99" s="235"/>
      <c r="C99" s="183" t="s">
        <v>106</v>
      </c>
      <c r="D99" s="183" t="s">
        <v>122</v>
      </c>
      <c r="E99" s="183"/>
      <c r="F99" s="201"/>
      <c r="G99" s="213">
        <f>SUM(G101)</f>
        <v>4966.7</v>
      </c>
      <c r="H99" s="22"/>
      <c r="I99" s="22">
        <f>SUM(H99/G103*100)</f>
        <v>0</v>
      </c>
    </row>
    <row r="100" spans="1:9" ht="15">
      <c r="A100" s="160" t="s">
        <v>415</v>
      </c>
      <c r="B100" s="235"/>
      <c r="C100" s="183" t="s">
        <v>106</v>
      </c>
      <c r="D100" s="183" t="s">
        <v>122</v>
      </c>
      <c r="E100" s="183" t="s">
        <v>416</v>
      </c>
      <c r="F100" s="201"/>
      <c r="G100" s="213">
        <f>SUM(G101)</f>
        <v>4966.7</v>
      </c>
      <c r="H100" s="22" t="e">
        <f>SUM(H103)+H102+#REF!</f>
        <v>#REF!</v>
      </c>
      <c r="I100" s="22" t="e">
        <f>SUM(H100/#REF!*100)</f>
        <v>#REF!</v>
      </c>
    </row>
    <row r="101" spans="1:9" s="133" customFormat="1" ht="28.5">
      <c r="A101" s="160" t="s">
        <v>640</v>
      </c>
      <c r="B101" s="235"/>
      <c r="C101" s="183" t="s">
        <v>106</v>
      </c>
      <c r="D101" s="183" t="s">
        <v>122</v>
      </c>
      <c r="E101" s="183" t="s">
        <v>677</v>
      </c>
      <c r="F101" s="201"/>
      <c r="G101" s="213">
        <f>G102+G103+G104</f>
        <v>4966.7</v>
      </c>
      <c r="H101" s="22" t="e">
        <f>SUM(#REF!)</f>
        <v>#REF!</v>
      </c>
      <c r="I101" s="22" t="e">
        <f>SUM(H101/#REF!*100)</f>
        <v>#REF!</v>
      </c>
    </row>
    <row r="102" spans="1:9" s="133" customFormat="1" ht="28.5">
      <c r="A102" s="160" t="s">
        <v>518</v>
      </c>
      <c r="B102" s="235"/>
      <c r="C102" s="183" t="s">
        <v>106</v>
      </c>
      <c r="D102" s="183" t="s">
        <v>122</v>
      </c>
      <c r="E102" s="183" t="s">
        <v>677</v>
      </c>
      <c r="F102" s="201" t="s">
        <v>519</v>
      </c>
      <c r="G102" s="213">
        <v>3843.6</v>
      </c>
      <c r="H102" s="22"/>
      <c r="I102" s="22"/>
    </row>
    <row r="103" spans="1:9" ht="15">
      <c r="A103" s="160" t="s">
        <v>523</v>
      </c>
      <c r="B103" s="235"/>
      <c r="C103" s="183" t="s">
        <v>106</v>
      </c>
      <c r="D103" s="183" t="s">
        <v>122</v>
      </c>
      <c r="E103" s="183" t="s">
        <v>677</v>
      </c>
      <c r="F103" s="201" t="s">
        <v>120</v>
      </c>
      <c r="G103" s="213">
        <v>1025.1</v>
      </c>
      <c r="H103" s="22" t="e">
        <f>SUM(#REF!+H108+H111+H114)+#REF!</f>
        <v>#REF!</v>
      </c>
      <c r="I103" s="22" t="e">
        <f>SUM(H103/G105*100)</f>
        <v>#REF!</v>
      </c>
    </row>
    <row r="104" spans="1:9" ht="15">
      <c r="A104" s="160" t="s">
        <v>524</v>
      </c>
      <c r="B104" s="235"/>
      <c r="C104" s="183" t="s">
        <v>106</v>
      </c>
      <c r="D104" s="183" t="s">
        <v>122</v>
      </c>
      <c r="E104" s="183" t="s">
        <v>677</v>
      </c>
      <c r="F104" s="201" t="s">
        <v>177</v>
      </c>
      <c r="G104" s="213">
        <v>98</v>
      </c>
      <c r="H104" s="22"/>
      <c r="I104" s="22">
        <f>SUM(H104/G108*100)</f>
        <v>0</v>
      </c>
    </row>
    <row r="105" spans="1:9" ht="28.5">
      <c r="A105" s="162" t="s">
        <v>303</v>
      </c>
      <c r="B105" s="208"/>
      <c r="C105" s="186" t="s">
        <v>106</v>
      </c>
      <c r="D105" s="186" t="s">
        <v>304</v>
      </c>
      <c r="E105" s="186"/>
      <c r="F105" s="237"/>
      <c r="G105" s="218">
        <f>G115+G120+G106+G125</f>
        <v>16614.1</v>
      </c>
      <c r="H105" s="22">
        <v>438.8</v>
      </c>
      <c r="I105" s="22" t="e">
        <f aca="true" t="shared" si="2" ref="I105:I110">SUM(H105/G111*100)</f>
        <v>#DIV/0!</v>
      </c>
    </row>
    <row r="106" spans="1:9" ht="28.5">
      <c r="A106" s="160" t="s">
        <v>624</v>
      </c>
      <c r="B106" s="235"/>
      <c r="C106" s="183" t="s">
        <v>106</v>
      </c>
      <c r="D106" s="183" t="s">
        <v>304</v>
      </c>
      <c r="E106" s="183" t="s">
        <v>551</v>
      </c>
      <c r="F106" s="201"/>
      <c r="G106" s="213">
        <f>SUM(G107)</f>
        <v>12554.099999999999</v>
      </c>
      <c r="H106" s="22">
        <f>SUM(H107)</f>
        <v>9825.3</v>
      </c>
      <c r="I106" s="22">
        <f t="shared" si="2"/>
        <v>380.76654782204304</v>
      </c>
    </row>
    <row r="107" spans="1:9" ht="28.5">
      <c r="A107" s="160" t="s">
        <v>56</v>
      </c>
      <c r="B107" s="235"/>
      <c r="C107" s="183" t="s">
        <v>106</v>
      </c>
      <c r="D107" s="183" t="s">
        <v>304</v>
      </c>
      <c r="E107" s="183" t="s">
        <v>552</v>
      </c>
      <c r="F107" s="201"/>
      <c r="G107" s="213">
        <f>G108+G112+G114</f>
        <v>12554.099999999999</v>
      </c>
      <c r="H107" s="22">
        <v>9825.3</v>
      </c>
      <c r="I107" s="22" t="e">
        <f t="shared" si="2"/>
        <v>#DIV/0!</v>
      </c>
    </row>
    <row r="108" spans="1:9" ht="28.5">
      <c r="A108" s="160" t="s">
        <v>518</v>
      </c>
      <c r="B108" s="235"/>
      <c r="C108" s="183" t="s">
        <v>106</v>
      </c>
      <c r="D108" s="183" t="s">
        <v>304</v>
      </c>
      <c r="E108" s="183" t="s">
        <v>552</v>
      </c>
      <c r="F108" s="201" t="s">
        <v>519</v>
      </c>
      <c r="G108" s="213">
        <v>9868.3</v>
      </c>
      <c r="H108" s="22">
        <f>SUM(H109)</f>
        <v>227.3</v>
      </c>
      <c r="I108" s="22">
        <f t="shared" si="2"/>
        <v>215.65464895635677</v>
      </c>
    </row>
    <row r="109" spans="1:9" ht="15" hidden="1">
      <c r="A109" s="160" t="s">
        <v>553</v>
      </c>
      <c r="B109" s="235"/>
      <c r="C109" s="183" t="s">
        <v>106</v>
      </c>
      <c r="D109" s="183" t="s">
        <v>304</v>
      </c>
      <c r="E109" s="183" t="s">
        <v>552</v>
      </c>
      <c r="F109" s="201" t="s">
        <v>554</v>
      </c>
      <c r="G109" s="213"/>
      <c r="H109" s="22">
        <f>SUM(H110)</f>
        <v>227.3</v>
      </c>
      <c r="I109" s="22">
        <f t="shared" si="2"/>
        <v>8.265454545454546</v>
      </c>
    </row>
    <row r="110" spans="1:9" ht="28.5" hidden="1">
      <c r="A110" s="160" t="s">
        <v>555</v>
      </c>
      <c r="B110" s="238"/>
      <c r="C110" s="183" t="s">
        <v>106</v>
      </c>
      <c r="D110" s="183" t="s">
        <v>304</v>
      </c>
      <c r="E110" s="183" t="s">
        <v>552</v>
      </c>
      <c r="F110" s="201" t="s">
        <v>556</v>
      </c>
      <c r="G110" s="213"/>
      <c r="H110" s="22">
        <v>227.3</v>
      </c>
      <c r="I110" s="22">
        <f t="shared" si="2"/>
        <v>30.306666666666672</v>
      </c>
    </row>
    <row r="111" spans="1:9" ht="28.5" hidden="1">
      <c r="A111" s="160" t="s">
        <v>557</v>
      </c>
      <c r="B111" s="238"/>
      <c r="C111" s="183" t="s">
        <v>106</v>
      </c>
      <c r="D111" s="183" t="s">
        <v>304</v>
      </c>
      <c r="E111" s="183" t="s">
        <v>552</v>
      </c>
      <c r="F111" s="201" t="s">
        <v>558</v>
      </c>
      <c r="G111" s="213"/>
      <c r="H111" s="22">
        <f>SUM(H112)</f>
        <v>5387.8</v>
      </c>
      <c r="I111" s="22" t="e">
        <f>SUM(H111/#REF!*100)</f>
        <v>#REF!</v>
      </c>
    </row>
    <row r="112" spans="1:9" ht="15.75">
      <c r="A112" s="160" t="s">
        <v>523</v>
      </c>
      <c r="B112" s="238"/>
      <c r="C112" s="183" t="s">
        <v>106</v>
      </c>
      <c r="D112" s="183" t="s">
        <v>304</v>
      </c>
      <c r="E112" s="183" t="s">
        <v>552</v>
      </c>
      <c r="F112" s="201" t="s">
        <v>120</v>
      </c>
      <c r="G112" s="213">
        <v>2580.4</v>
      </c>
      <c r="H112" s="22">
        <f>SUM(H113)</f>
        <v>5387.8</v>
      </c>
      <c r="I112" s="22" t="e">
        <f>SUM(H112/#REF!*100)</f>
        <v>#REF!</v>
      </c>
    </row>
    <row r="113" spans="1:9" ht="15.75" hidden="1">
      <c r="A113" s="160" t="s">
        <v>541</v>
      </c>
      <c r="B113" s="238"/>
      <c r="C113" s="183" t="s">
        <v>106</v>
      </c>
      <c r="D113" s="183" t="s">
        <v>304</v>
      </c>
      <c r="E113" s="183" t="s">
        <v>552</v>
      </c>
      <c r="F113" s="201" t="s">
        <v>542</v>
      </c>
      <c r="G113" s="213"/>
      <c r="H113" s="22">
        <v>5387.8</v>
      </c>
      <c r="I113" s="22" t="e">
        <f>SUM(H113/#REF!*100)</f>
        <v>#REF!</v>
      </c>
    </row>
    <row r="114" spans="1:9" ht="15">
      <c r="A114" s="337" t="s">
        <v>524</v>
      </c>
      <c r="B114" s="351"/>
      <c r="C114" s="174" t="s">
        <v>106</v>
      </c>
      <c r="D114" s="174" t="s">
        <v>304</v>
      </c>
      <c r="E114" s="174" t="s">
        <v>552</v>
      </c>
      <c r="F114" s="352" t="s">
        <v>177</v>
      </c>
      <c r="G114" s="344">
        <v>105.4</v>
      </c>
      <c r="H114" s="22">
        <f>SUM(H116)</f>
        <v>0</v>
      </c>
      <c r="I114" s="22">
        <f>SUM(H114/G118*100)</f>
        <v>0</v>
      </c>
    </row>
    <row r="115" spans="1:9" ht="28.5">
      <c r="A115" s="160" t="s">
        <v>625</v>
      </c>
      <c r="B115" s="235"/>
      <c r="C115" s="183" t="s">
        <v>106</v>
      </c>
      <c r="D115" s="183" t="s">
        <v>304</v>
      </c>
      <c r="E115" s="183" t="s">
        <v>559</v>
      </c>
      <c r="F115" s="201"/>
      <c r="G115" s="213">
        <f>SUM(G117+G119)</f>
        <v>2750</v>
      </c>
      <c r="H115" s="22">
        <f>SUM(H116)</f>
        <v>0</v>
      </c>
      <c r="I115" s="22">
        <f>SUM(H115/G119*100)</f>
        <v>0</v>
      </c>
    </row>
    <row r="116" spans="1:9" ht="28.5">
      <c r="A116" s="160" t="s">
        <v>626</v>
      </c>
      <c r="B116" s="235"/>
      <c r="C116" s="183" t="s">
        <v>106</v>
      </c>
      <c r="D116" s="183" t="s">
        <v>304</v>
      </c>
      <c r="E116" s="183" t="s">
        <v>560</v>
      </c>
      <c r="F116" s="201"/>
      <c r="G116" s="213">
        <f>SUM(G117)</f>
        <v>750</v>
      </c>
      <c r="H116" s="22"/>
      <c r="I116" s="22">
        <f>SUM(H116/G120*100)</f>
        <v>0</v>
      </c>
    </row>
    <row r="117" spans="1:9" ht="15">
      <c r="A117" s="160" t="s">
        <v>523</v>
      </c>
      <c r="B117" s="235"/>
      <c r="C117" s="183" t="s">
        <v>106</v>
      </c>
      <c r="D117" s="183" t="s">
        <v>304</v>
      </c>
      <c r="E117" s="183" t="s">
        <v>560</v>
      </c>
      <c r="F117" s="201" t="s">
        <v>120</v>
      </c>
      <c r="G117" s="213">
        <v>750</v>
      </c>
      <c r="H117" s="22"/>
      <c r="I117" s="22"/>
    </row>
    <row r="118" spans="1:9" ht="28.5">
      <c r="A118" s="160" t="s">
        <v>0</v>
      </c>
      <c r="B118" s="235"/>
      <c r="C118" s="183" t="s">
        <v>106</v>
      </c>
      <c r="D118" s="183" t="s">
        <v>304</v>
      </c>
      <c r="E118" s="183" t="s">
        <v>561</v>
      </c>
      <c r="F118" s="201"/>
      <c r="G118" s="213">
        <f>SUM(G119)</f>
        <v>2000</v>
      </c>
      <c r="H118" s="22"/>
      <c r="I118" s="22" t="e">
        <f>SUM(H118/G124*100)</f>
        <v>#DIV/0!</v>
      </c>
    </row>
    <row r="119" spans="1:9" s="133" customFormat="1" ht="15">
      <c r="A119" s="160" t="s">
        <v>524</v>
      </c>
      <c r="B119" s="235"/>
      <c r="C119" s="183" t="s">
        <v>106</v>
      </c>
      <c r="D119" s="183" t="s">
        <v>304</v>
      </c>
      <c r="E119" s="183" t="s">
        <v>561</v>
      </c>
      <c r="F119" s="201" t="s">
        <v>177</v>
      </c>
      <c r="G119" s="213">
        <v>2000</v>
      </c>
      <c r="H119" s="22" t="e">
        <f>SUM(H120+H123+H129+#REF!)</f>
        <v>#REF!</v>
      </c>
      <c r="I119" s="22" t="e">
        <f>SUM(H119/#REF!*100)</f>
        <v>#REF!</v>
      </c>
    </row>
    <row r="120" spans="1:9" ht="15">
      <c r="A120" s="160" t="s">
        <v>1</v>
      </c>
      <c r="B120" s="239"/>
      <c r="C120" s="240" t="s">
        <v>106</v>
      </c>
      <c r="D120" s="240" t="s">
        <v>304</v>
      </c>
      <c r="E120" s="240" t="s">
        <v>562</v>
      </c>
      <c r="F120" s="241"/>
      <c r="G120" s="213">
        <f>SUM(G121)</f>
        <v>10</v>
      </c>
      <c r="H120" s="22"/>
      <c r="I120" s="22"/>
    </row>
    <row r="121" spans="1:9" ht="28.5">
      <c r="A121" s="160" t="s">
        <v>2</v>
      </c>
      <c r="B121" s="239"/>
      <c r="C121" s="242" t="s">
        <v>106</v>
      </c>
      <c r="D121" s="242" t="s">
        <v>304</v>
      </c>
      <c r="E121" s="242" t="s">
        <v>563</v>
      </c>
      <c r="F121" s="243"/>
      <c r="G121" s="213">
        <f>SUM(G122)</f>
        <v>10</v>
      </c>
      <c r="H121" s="22"/>
      <c r="I121" s="22"/>
    </row>
    <row r="122" spans="1:9" ht="14.25" customHeight="1">
      <c r="A122" s="160" t="s">
        <v>523</v>
      </c>
      <c r="B122" s="239"/>
      <c r="C122" s="242" t="s">
        <v>106</v>
      </c>
      <c r="D122" s="242" t="s">
        <v>304</v>
      </c>
      <c r="E122" s="242" t="s">
        <v>563</v>
      </c>
      <c r="F122" s="243" t="s">
        <v>120</v>
      </c>
      <c r="G122" s="213">
        <v>10</v>
      </c>
      <c r="H122" s="22"/>
      <c r="I122" s="22"/>
    </row>
    <row r="123" spans="1:9" ht="15" hidden="1">
      <c r="A123" s="160" t="s">
        <v>541</v>
      </c>
      <c r="B123" s="239"/>
      <c r="C123" s="242" t="s">
        <v>106</v>
      </c>
      <c r="D123" s="242" t="s">
        <v>304</v>
      </c>
      <c r="E123" s="242" t="s">
        <v>563</v>
      </c>
      <c r="F123" s="243" t="s">
        <v>542</v>
      </c>
      <c r="G123" s="213"/>
      <c r="H123" s="22"/>
      <c r="I123" s="22"/>
    </row>
    <row r="124" spans="1:9" ht="28.5" hidden="1">
      <c r="A124" s="160" t="s">
        <v>543</v>
      </c>
      <c r="B124" s="239"/>
      <c r="C124" s="242" t="s">
        <v>106</v>
      </c>
      <c r="D124" s="242" t="s">
        <v>304</v>
      </c>
      <c r="E124" s="242" t="s">
        <v>563</v>
      </c>
      <c r="F124" s="243" t="s">
        <v>544</v>
      </c>
      <c r="G124" s="213"/>
      <c r="H124" s="22"/>
      <c r="I124" s="22"/>
    </row>
    <row r="125" spans="1:9" ht="15">
      <c r="A125" s="163" t="s">
        <v>574</v>
      </c>
      <c r="B125" s="239"/>
      <c r="C125" s="175" t="s">
        <v>106</v>
      </c>
      <c r="D125" s="175" t="s">
        <v>304</v>
      </c>
      <c r="E125" s="182" t="s">
        <v>129</v>
      </c>
      <c r="F125" s="244"/>
      <c r="G125" s="219">
        <f>SUM(G126)</f>
        <v>1300</v>
      </c>
      <c r="H125" s="22"/>
      <c r="I125" s="22"/>
    </row>
    <row r="126" spans="1:9" ht="15">
      <c r="A126" s="160" t="s">
        <v>1010</v>
      </c>
      <c r="B126" s="74"/>
      <c r="C126" s="175" t="s">
        <v>106</v>
      </c>
      <c r="D126" s="175" t="s">
        <v>304</v>
      </c>
      <c r="E126" s="182" t="s">
        <v>138</v>
      </c>
      <c r="F126" s="197"/>
      <c r="G126" s="215">
        <f>SUM(G127)</f>
        <v>1300</v>
      </c>
      <c r="H126" s="22"/>
      <c r="I126" s="22"/>
    </row>
    <row r="127" spans="1:9" ht="15">
      <c r="A127" s="160" t="s">
        <v>523</v>
      </c>
      <c r="B127" s="74"/>
      <c r="C127" s="175" t="s">
        <v>106</v>
      </c>
      <c r="D127" s="175" t="s">
        <v>304</v>
      </c>
      <c r="E127" s="182" t="s">
        <v>138</v>
      </c>
      <c r="F127" s="197" t="s">
        <v>120</v>
      </c>
      <c r="G127" s="215">
        <v>1300</v>
      </c>
      <c r="H127" s="22"/>
      <c r="I127" s="22"/>
    </row>
    <row r="128" spans="1:9" ht="28.5" hidden="1">
      <c r="A128" s="160" t="s">
        <v>211</v>
      </c>
      <c r="B128" s="74"/>
      <c r="C128" s="175" t="s">
        <v>106</v>
      </c>
      <c r="D128" s="175" t="s">
        <v>304</v>
      </c>
      <c r="E128" s="182" t="s">
        <v>150</v>
      </c>
      <c r="F128" s="197"/>
      <c r="G128" s="215">
        <f>SUM(G129)</f>
        <v>0</v>
      </c>
      <c r="H128" s="22"/>
      <c r="I128" s="22"/>
    </row>
    <row r="129" spans="1:9" ht="15" hidden="1">
      <c r="A129" s="156" t="s">
        <v>103</v>
      </c>
      <c r="B129" s="74"/>
      <c r="C129" s="175" t="s">
        <v>106</v>
      </c>
      <c r="D129" s="175" t="s">
        <v>304</v>
      </c>
      <c r="E129" s="182" t="s">
        <v>150</v>
      </c>
      <c r="F129" s="197" t="s">
        <v>104</v>
      </c>
      <c r="G129" s="215"/>
      <c r="H129" s="22"/>
      <c r="I129" s="22"/>
    </row>
    <row r="130" spans="1:9" s="133" customFormat="1" ht="15">
      <c r="A130" s="160" t="s">
        <v>121</v>
      </c>
      <c r="B130" s="235"/>
      <c r="C130" s="183" t="s">
        <v>122</v>
      </c>
      <c r="D130" s="183"/>
      <c r="E130" s="183"/>
      <c r="F130" s="201"/>
      <c r="G130" s="213">
        <f>G131+G149+G143</f>
        <v>136334.6</v>
      </c>
      <c r="H130" s="22">
        <f>SUM(H131+H132)</f>
        <v>30706.4</v>
      </c>
      <c r="I130" s="22" t="e">
        <f>SUM(H130/G136*100)</f>
        <v>#DIV/0!</v>
      </c>
    </row>
    <row r="131" spans="1:9" ht="15">
      <c r="A131" s="160" t="s">
        <v>123</v>
      </c>
      <c r="B131" s="235"/>
      <c r="C131" s="183" t="s">
        <v>122</v>
      </c>
      <c r="D131" s="183" t="s">
        <v>124</v>
      </c>
      <c r="E131" s="183"/>
      <c r="F131" s="201"/>
      <c r="G131" s="213">
        <f>G132</f>
        <v>51362</v>
      </c>
      <c r="H131" s="22">
        <v>30706.4</v>
      </c>
      <c r="I131" s="22">
        <f>SUM(H131/G137*100)</f>
        <v>97.23430800701716</v>
      </c>
    </row>
    <row r="132" spans="1:9" ht="15">
      <c r="A132" s="160" t="s">
        <v>564</v>
      </c>
      <c r="B132" s="235"/>
      <c r="C132" s="183" t="s">
        <v>122</v>
      </c>
      <c r="D132" s="183" t="s">
        <v>124</v>
      </c>
      <c r="E132" s="183" t="s">
        <v>565</v>
      </c>
      <c r="F132" s="201"/>
      <c r="G132" s="213">
        <f>G133+G137</f>
        <v>51362</v>
      </c>
      <c r="H132" s="22">
        <f>SUM(H133)</f>
        <v>0</v>
      </c>
      <c r="I132" s="22">
        <f>SUM(H132/G138*100)</f>
        <v>0</v>
      </c>
    </row>
    <row r="133" spans="1:9" ht="15">
      <c r="A133" s="160" t="s">
        <v>566</v>
      </c>
      <c r="B133" s="235"/>
      <c r="C133" s="183" t="s">
        <v>122</v>
      </c>
      <c r="D133" s="183" t="s">
        <v>124</v>
      </c>
      <c r="E133" s="183" t="s">
        <v>567</v>
      </c>
      <c r="F133" s="201"/>
      <c r="G133" s="213">
        <f>G134</f>
        <v>19782.2</v>
      </c>
      <c r="H133" s="22"/>
      <c r="I133" s="22">
        <f>SUM(H133/G139*100)</f>
        <v>0</v>
      </c>
    </row>
    <row r="134" spans="1:9" ht="15">
      <c r="A134" s="160" t="s">
        <v>6</v>
      </c>
      <c r="B134" s="235"/>
      <c r="C134" s="183" t="s">
        <v>122</v>
      </c>
      <c r="D134" s="183" t="s">
        <v>124</v>
      </c>
      <c r="E134" s="183" t="s">
        <v>568</v>
      </c>
      <c r="F134" s="201"/>
      <c r="G134" s="213">
        <f>SUM(G135)</f>
        <v>19782.2</v>
      </c>
      <c r="H134" s="22"/>
      <c r="I134" s="22"/>
    </row>
    <row r="135" spans="1:9" s="140" customFormat="1" ht="15">
      <c r="A135" s="160" t="s">
        <v>524</v>
      </c>
      <c r="B135" s="235"/>
      <c r="C135" s="183" t="s">
        <v>122</v>
      </c>
      <c r="D135" s="183" t="s">
        <v>124</v>
      </c>
      <c r="E135" s="183" t="s">
        <v>568</v>
      </c>
      <c r="F135" s="201" t="s">
        <v>177</v>
      </c>
      <c r="G135" s="213">
        <v>19782.2</v>
      </c>
      <c r="H135" s="125"/>
      <c r="I135" s="125"/>
    </row>
    <row r="136" spans="1:9" ht="28.5" hidden="1">
      <c r="A136" s="160" t="s">
        <v>569</v>
      </c>
      <c r="B136" s="235"/>
      <c r="C136" s="183" t="s">
        <v>122</v>
      </c>
      <c r="D136" s="183" t="s">
        <v>124</v>
      </c>
      <c r="E136" s="183" t="s">
        <v>568</v>
      </c>
      <c r="F136" s="201" t="s">
        <v>210</v>
      </c>
      <c r="G136" s="213"/>
      <c r="H136" s="22"/>
      <c r="I136" s="22"/>
    </row>
    <row r="137" spans="1:9" ht="15">
      <c r="A137" s="160" t="s">
        <v>125</v>
      </c>
      <c r="B137" s="235"/>
      <c r="C137" s="183" t="s">
        <v>122</v>
      </c>
      <c r="D137" s="183" t="s">
        <v>124</v>
      </c>
      <c r="E137" s="183" t="s">
        <v>422</v>
      </c>
      <c r="F137" s="201"/>
      <c r="G137" s="213">
        <f>G138</f>
        <v>31579.8</v>
      </c>
      <c r="H137" s="22"/>
      <c r="I137" s="22"/>
    </row>
    <row r="138" spans="1:9" ht="15">
      <c r="A138" s="160" t="s">
        <v>15</v>
      </c>
      <c r="B138" s="235"/>
      <c r="C138" s="183" t="s">
        <v>122</v>
      </c>
      <c r="D138" s="183" t="s">
        <v>124</v>
      </c>
      <c r="E138" s="183" t="s">
        <v>76</v>
      </c>
      <c r="F138" s="201"/>
      <c r="G138" s="213">
        <f>SUM(G139)</f>
        <v>31579.8</v>
      </c>
      <c r="H138" s="22"/>
      <c r="I138" s="22"/>
    </row>
    <row r="139" spans="1:9" ht="28.5">
      <c r="A139" s="160" t="s">
        <v>206</v>
      </c>
      <c r="B139" s="235"/>
      <c r="C139" s="183" t="s">
        <v>122</v>
      </c>
      <c r="D139" s="183" t="s">
        <v>124</v>
      </c>
      <c r="E139" s="183" t="s">
        <v>77</v>
      </c>
      <c r="F139" s="201"/>
      <c r="G139" s="213">
        <f>SUM(G140)</f>
        <v>31579.8</v>
      </c>
      <c r="H139" s="22"/>
      <c r="I139" s="22"/>
    </row>
    <row r="140" spans="1:9" ht="28.5">
      <c r="A140" s="160" t="s">
        <v>547</v>
      </c>
      <c r="B140" s="235"/>
      <c r="C140" s="183" t="s">
        <v>122</v>
      </c>
      <c r="D140" s="183" t="s">
        <v>124</v>
      </c>
      <c r="E140" s="183" t="s">
        <v>77</v>
      </c>
      <c r="F140" s="201" t="s">
        <v>536</v>
      </c>
      <c r="G140" s="213">
        <v>31579.8</v>
      </c>
      <c r="H140" s="22"/>
      <c r="I140" s="22"/>
    </row>
    <row r="141" spans="1:9" ht="15" hidden="1">
      <c r="A141" s="160" t="s">
        <v>548</v>
      </c>
      <c r="B141" s="235"/>
      <c r="C141" s="183" t="s">
        <v>122</v>
      </c>
      <c r="D141" s="183" t="s">
        <v>124</v>
      </c>
      <c r="E141" s="183" t="s">
        <v>77</v>
      </c>
      <c r="F141" s="201" t="s">
        <v>549</v>
      </c>
      <c r="G141" s="213"/>
      <c r="H141" s="22"/>
      <c r="I141" s="22"/>
    </row>
    <row r="142" spans="1:9" ht="42.75" hidden="1">
      <c r="A142" s="162" t="s">
        <v>550</v>
      </c>
      <c r="B142" s="235"/>
      <c r="C142" s="183" t="s">
        <v>122</v>
      </c>
      <c r="D142" s="183" t="s">
        <v>124</v>
      </c>
      <c r="E142" s="183" t="s">
        <v>77</v>
      </c>
      <c r="F142" s="201" t="s">
        <v>58</v>
      </c>
      <c r="G142" s="213"/>
      <c r="H142" s="22" t="e">
        <f>SUM(H146+H148+H155+#REF!)</f>
        <v>#REF!</v>
      </c>
      <c r="I142" s="22" t="e">
        <f>SUM(H142/G148*100)</f>
        <v>#REF!</v>
      </c>
    </row>
    <row r="143" spans="1:9" s="133" customFormat="1" ht="15">
      <c r="A143" s="160" t="s">
        <v>147</v>
      </c>
      <c r="B143" s="235"/>
      <c r="C143" s="183" t="s">
        <v>122</v>
      </c>
      <c r="D143" s="183" t="s">
        <v>304</v>
      </c>
      <c r="E143" s="183"/>
      <c r="F143" s="201"/>
      <c r="G143" s="213">
        <f>G144</f>
        <v>73700</v>
      </c>
      <c r="H143" s="22">
        <f>SUM(H145)</f>
        <v>0</v>
      </c>
      <c r="I143" s="22">
        <f>SUM(H143/G149*100)</f>
        <v>0</v>
      </c>
    </row>
    <row r="144" spans="1:9" s="133" customFormat="1" ht="28.5">
      <c r="A144" s="160" t="s">
        <v>38</v>
      </c>
      <c r="B144" s="235"/>
      <c r="C144" s="183" t="s">
        <v>122</v>
      </c>
      <c r="D144" s="183" t="s">
        <v>304</v>
      </c>
      <c r="E144" s="183" t="s">
        <v>39</v>
      </c>
      <c r="F144" s="201"/>
      <c r="G144" s="213">
        <f>G145</f>
        <v>73700</v>
      </c>
      <c r="H144" s="22"/>
      <c r="I144" s="22"/>
    </row>
    <row r="145" spans="1:9" s="141" customFormat="1" ht="15">
      <c r="A145" s="160" t="s">
        <v>523</v>
      </c>
      <c r="B145" s="235"/>
      <c r="C145" s="183" t="s">
        <v>122</v>
      </c>
      <c r="D145" s="183" t="s">
        <v>304</v>
      </c>
      <c r="E145" s="183" t="s">
        <v>39</v>
      </c>
      <c r="F145" s="201" t="s">
        <v>120</v>
      </c>
      <c r="G145" s="213">
        <v>73700</v>
      </c>
      <c r="H145" s="22"/>
      <c r="I145" s="22">
        <f aca="true" t="shared" si="3" ref="I145:I150">SUM(H145/G151*100)</f>
        <v>0</v>
      </c>
    </row>
    <row r="146" spans="1:9" s="135" customFormat="1" ht="15" hidden="1">
      <c r="A146" s="160" t="s">
        <v>541</v>
      </c>
      <c r="B146" s="235"/>
      <c r="C146" s="183" t="s">
        <v>122</v>
      </c>
      <c r="D146" s="183" t="s">
        <v>304</v>
      </c>
      <c r="E146" s="183" t="s">
        <v>39</v>
      </c>
      <c r="F146" s="201" t="s">
        <v>542</v>
      </c>
      <c r="G146" s="213"/>
      <c r="H146" s="22">
        <f>SUM(H147)</f>
        <v>0</v>
      </c>
      <c r="I146" s="22">
        <f t="shared" si="3"/>
        <v>0</v>
      </c>
    </row>
    <row r="147" spans="1:9" s="135" customFormat="1" ht="28.5" hidden="1">
      <c r="A147" s="160" t="s">
        <v>543</v>
      </c>
      <c r="B147" s="235"/>
      <c r="C147" s="183" t="s">
        <v>122</v>
      </c>
      <c r="D147" s="183" t="s">
        <v>304</v>
      </c>
      <c r="E147" s="183" t="s">
        <v>39</v>
      </c>
      <c r="F147" s="201" t="s">
        <v>544</v>
      </c>
      <c r="G147" s="213"/>
      <c r="H147" s="22">
        <f>5050-2000-3050</f>
        <v>0</v>
      </c>
      <c r="I147" s="22">
        <f t="shared" si="3"/>
        <v>0</v>
      </c>
    </row>
    <row r="148" spans="1:9" s="135" customFormat="1" ht="28.5" hidden="1">
      <c r="A148" s="160" t="s">
        <v>570</v>
      </c>
      <c r="B148" s="235"/>
      <c r="C148" s="183" t="s">
        <v>122</v>
      </c>
      <c r="D148" s="183" t="s">
        <v>304</v>
      </c>
      <c r="E148" s="183" t="s">
        <v>39</v>
      </c>
      <c r="F148" s="201" t="s">
        <v>544</v>
      </c>
      <c r="G148" s="213"/>
      <c r="H148" s="22">
        <f>SUM(H149)</f>
        <v>200</v>
      </c>
      <c r="I148" s="22" t="e">
        <f t="shared" si="3"/>
        <v>#DIV/0!</v>
      </c>
    </row>
    <row r="149" spans="1:9" s="135" customFormat="1" ht="15">
      <c r="A149" s="160" t="s">
        <v>423</v>
      </c>
      <c r="B149" s="235"/>
      <c r="C149" s="183" t="s">
        <v>122</v>
      </c>
      <c r="D149" s="183" t="s">
        <v>413</v>
      </c>
      <c r="E149" s="183"/>
      <c r="F149" s="201"/>
      <c r="G149" s="213">
        <f>SUM(G150,G160)</f>
        <v>11272.6</v>
      </c>
      <c r="H149" s="22">
        <f>SUM(H150)</f>
        <v>200</v>
      </c>
      <c r="I149" s="22">
        <f t="shared" si="3"/>
        <v>5.155436407691911</v>
      </c>
    </row>
    <row r="150" spans="1:9" s="135" customFormat="1" ht="15">
      <c r="A150" s="160" t="s">
        <v>564</v>
      </c>
      <c r="B150" s="235"/>
      <c r="C150" s="183" t="s">
        <v>122</v>
      </c>
      <c r="D150" s="183" t="s">
        <v>413</v>
      </c>
      <c r="E150" s="183" t="s">
        <v>565</v>
      </c>
      <c r="F150" s="201"/>
      <c r="G150" s="213">
        <f>SUM(G151)</f>
        <v>5584.1</v>
      </c>
      <c r="H150" s="22">
        <v>200</v>
      </c>
      <c r="I150" s="22">
        <f t="shared" si="3"/>
        <v>5.155436407691911</v>
      </c>
    </row>
    <row r="151" spans="1:9" s="135" customFormat="1" ht="15">
      <c r="A151" s="160" t="s">
        <v>428</v>
      </c>
      <c r="B151" s="235"/>
      <c r="C151" s="183" t="s">
        <v>122</v>
      </c>
      <c r="D151" s="183" t="s">
        <v>413</v>
      </c>
      <c r="E151" s="183" t="s">
        <v>571</v>
      </c>
      <c r="F151" s="201"/>
      <c r="G151" s="213">
        <f>SUM(G152,G156)</f>
        <v>5584.1</v>
      </c>
      <c r="H151" s="22"/>
      <c r="I151" s="22"/>
    </row>
    <row r="152" spans="1:9" s="135" customFormat="1" ht="15">
      <c r="A152" s="160" t="s">
        <v>575</v>
      </c>
      <c r="B152" s="235"/>
      <c r="C152" s="183" t="s">
        <v>122</v>
      </c>
      <c r="D152" s="183" t="s">
        <v>413</v>
      </c>
      <c r="E152" s="242" t="s">
        <v>572</v>
      </c>
      <c r="F152" s="201"/>
      <c r="G152" s="213">
        <f>SUM(G153)</f>
        <v>1704.7</v>
      </c>
      <c r="H152" s="22"/>
      <c r="I152" s="22"/>
    </row>
    <row r="153" spans="1:9" s="142" customFormat="1" ht="15">
      <c r="A153" s="160" t="s">
        <v>523</v>
      </c>
      <c r="B153" s="235"/>
      <c r="C153" s="183" t="s">
        <v>122</v>
      </c>
      <c r="D153" s="183" t="s">
        <v>413</v>
      </c>
      <c r="E153" s="242" t="s">
        <v>572</v>
      </c>
      <c r="F153" s="201" t="s">
        <v>120</v>
      </c>
      <c r="G153" s="213">
        <v>1704.7</v>
      </c>
      <c r="H153" s="22">
        <f>SUM(H154)</f>
        <v>0</v>
      </c>
      <c r="I153" s="22" t="e">
        <f>SUM(H153/G159*100)</f>
        <v>#DIV/0!</v>
      </c>
    </row>
    <row r="154" spans="1:9" s="135" customFormat="1" ht="15" hidden="1">
      <c r="A154" s="160" t="s">
        <v>541</v>
      </c>
      <c r="B154" s="235"/>
      <c r="C154" s="183" t="s">
        <v>122</v>
      </c>
      <c r="D154" s="183" t="s">
        <v>413</v>
      </c>
      <c r="E154" s="242" t="s">
        <v>572</v>
      </c>
      <c r="F154" s="201" t="s">
        <v>542</v>
      </c>
      <c r="G154" s="213"/>
      <c r="H154" s="22"/>
      <c r="I154" s="22">
        <f>SUM(H154/G160*100)</f>
        <v>0</v>
      </c>
    </row>
    <row r="155" spans="1:9" s="135" customFormat="1" ht="15">
      <c r="A155" s="160" t="s">
        <v>15</v>
      </c>
      <c r="B155" s="235"/>
      <c r="C155" s="183" t="s">
        <v>122</v>
      </c>
      <c r="D155" s="183" t="s">
        <v>413</v>
      </c>
      <c r="E155" s="183" t="s">
        <v>576</v>
      </c>
      <c r="F155" s="201"/>
      <c r="G155" s="213">
        <f>SUM(G156)</f>
        <v>3879.4</v>
      </c>
      <c r="H155" s="22">
        <f>SUM(H156)</f>
        <v>0</v>
      </c>
      <c r="I155" s="22">
        <f>SUM(H155/G164*100)</f>
        <v>0</v>
      </c>
    </row>
    <row r="156" spans="1:9" s="135" customFormat="1" ht="28.5">
      <c r="A156" s="160" t="s">
        <v>206</v>
      </c>
      <c r="B156" s="235"/>
      <c r="C156" s="183" t="s">
        <v>122</v>
      </c>
      <c r="D156" s="183" t="s">
        <v>413</v>
      </c>
      <c r="E156" s="183" t="s">
        <v>573</v>
      </c>
      <c r="F156" s="201"/>
      <c r="G156" s="213">
        <f>G157</f>
        <v>3879.4</v>
      </c>
      <c r="H156" s="22">
        <f>SUM(H157:H165)</f>
        <v>0</v>
      </c>
      <c r="I156" s="22">
        <f>SUM(H156/G165*100)</f>
        <v>0</v>
      </c>
    </row>
    <row r="157" spans="1:9" s="135" customFormat="1" ht="27.75" customHeight="1">
      <c r="A157" s="160" t="s">
        <v>547</v>
      </c>
      <c r="B157" s="235"/>
      <c r="C157" s="183" t="s">
        <v>122</v>
      </c>
      <c r="D157" s="183" t="s">
        <v>413</v>
      </c>
      <c r="E157" s="183" t="s">
        <v>573</v>
      </c>
      <c r="F157" s="201" t="s">
        <v>536</v>
      </c>
      <c r="G157" s="213">
        <v>3879.4</v>
      </c>
      <c r="H157" s="22"/>
      <c r="I157" s="22" t="e">
        <f>SUM(H157/#REF!*100)</f>
        <v>#REF!</v>
      </c>
    </row>
    <row r="158" spans="1:9" s="135" customFormat="1" ht="15" hidden="1">
      <c r="A158" s="160" t="s">
        <v>548</v>
      </c>
      <c r="B158" s="235"/>
      <c r="C158" s="183" t="s">
        <v>122</v>
      </c>
      <c r="D158" s="183" t="s">
        <v>413</v>
      </c>
      <c r="E158" s="183" t="s">
        <v>573</v>
      </c>
      <c r="F158" s="201" t="s">
        <v>549</v>
      </c>
      <c r="G158" s="213"/>
      <c r="H158" s="22"/>
      <c r="I158" s="22"/>
    </row>
    <row r="159" spans="1:9" s="143" customFormat="1" ht="45" customHeight="1" hidden="1">
      <c r="A159" s="162" t="s">
        <v>550</v>
      </c>
      <c r="B159" s="208"/>
      <c r="C159" s="186" t="s">
        <v>122</v>
      </c>
      <c r="D159" s="186" t="s">
        <v>413</v>
      </c>
      <c r="E159" s="186" t="s">
        <v>573</v>
      </c>
      <c r="F159" s="237" t="s">
        <v>58</v>
      </c>
      <c r="G159" s="218"/>
      <c r="H159" s="126"/>
      <c r="I159" s="126"/>
    </row>
    <row r="160" spans="1:9" s="144" customFormat="1" ht="21.75" customHeight="1">
      <c r="A160" s="164" t="s">
        <v>574</v>
      </c>
      <c r="B160" s="208"/>
      <c r="C160" s="186" t="s">
        <v>122</v>
      </c>
      <c r="D160" s="186" t="s">
        <v>413</v>
      </c>
      <c r="E160" s="186" t="s">
        <v>129</v>
      </c>
      <c r="F160" s="237"/>
      <c r="G160" s="218">
        <f>G164+G161</f>
        <v>5688.5</v>
      </c>
      <c r="H160" s="126"/>
      <c r="I160" s="126"/>
    </row>
    <row r="161" spans="1:9" s="144" customFormat="1" ht="36.75" customHeight="1">
      <c r="A161" s="337" t="s">
        <v>678</v>
      </c>
      <c r="B161" s="353"/>
      <c r="C161" s="279" t="s">
        <v>122</v>
      </c>
      <c r="D161" s="279" t="s">
        <v>413</v>
      </c>
      <c r="E161" s="280" t="s">
        <v>679</v>
      </c>
      <c r="F161" s="354"/>
      <c r="G161" s="345">
        <f>SUM(G162)</f>
        <v>5</v>
      </c>
      <c r="H161" s="126"/>
      <c r="I161" s="126"/>
    </row>
    <row r="162" spans="1:9" s="144" customFormat="1" ht="33.75" customHeight="1">
      <c r="A162" s="338" t="s">
        <v>680</v>
      </c>
      <c r="B162" s="353"/>
      <c r="C162" s="279" t="s">
        <v>122</v>
      </c>
      <c r="D162" s="279" t="s">
        <v>413</v>
      </c>
      <c r="E162" s="280" t="s">
        <v>681</v>
      </c>
      <c r="F162" s="354"/>
      <c r="G162" s="345">
        <v>5</v>
      </c>
      <c r="H162" s="126"/>
      <c r="I162" s="126"/>
    </row>
    <row r="163" spans="1:9" s="144" customFormat="1" ht="20.25" customHeight="1">
      <c r="A163" s="339" t="s">
        <v>103</v>
      </c>
      <c r="B163" s="353"/>
      <c r="C163" s="279" t="s">
        <v>122</v>
      </c>
      <c r="D163" s="279" t="s">
        <v>413</v>
      </c>
      <c r="E163" s="280" t="s">
        <v>681</v>
      </c>
      <c r="F163" s="354" t="s">
        <v>104</v>
      </c>
      <c r="G163" s="345">
        <v>5</v>
      </c>
      <c r="H163" s="126"/>
      <c r="I163" s="126"/>
    </row>
    <row r="164" spans="1:9" s="145" customFormat="1" ht="36.75" customHeight="1">
      <c r="A164" s="164" t="s">
        <v>1012</v>
      </c>
      <c r="B164" s="208"/>
      <c r="C164" s="186" t="s">
        <v>122</v>
      </c>
      <c r="D164" s="186" t="s">
        <v>413</v>
      </c>
      <c r="E164" s="186" t="s">
        <v>54</v>
      </c>
      <c r="F164" s="237"/>
      <c r="G164" s="218">
        <f>SUM(G165)</f>
        <v>5683.5</v>
      </c>
      <c r="H164" s="126"/>
      <c r="I164" s="126" t="e">
        <f>SUM(H164/#REF!*100)</f>
        <v>#REF!</v>
      </c>
    </row>
    <row r="165" spans="1:9" s="143" customFormat="1" ht="28.5">
      <c r="A165" s="162" t="s">
        <v>547</v>
      </c>
      <c r="B165" s="208"/>
      <c r="C165" s="186" t="s">
        <v>122</v>
      </c>
      <c r="D165" s="186" t="s">
        <v>413</v>
      </c>
      <c r="E165" s="186" t="s">
        <v>54</v>
      </c>
      <c r="F165" s="237" t="s">
        <v>536</v>
      </c>
      <c r="G165" s="218">
        <v>5683.5</v>
      </c>
      <c r="H165" s="126"/>
      <c r="I165" s="126" t="e">
        <f>SUM(H165/#REF!*100)</f>
        <v>#REF!</v>
      </c>
    </row>
    <row r="166" spans="1:9" s="133" customFormat="1" ht="15">
      <c r="A166" s="160" t="s">
        <v>429</v>
      </c>
      <c r="B166" s="113"/>
      <c r="C166" s="182" t="s">
        <v>131</v>
      </c>
      <c r="D166" s="182"/>
      <c r="E166" s="182"/>
      <c r="F166" s="198"/>
      <c r="G166" s="220">
        <f>SUM(G220+G230+G248)</f>
        <v>67244.1</v>
      </c>
      <c r="H166" s="22">
        <f>SUM(H167)</f>
        <v>0</v>
      </c>
      <c r="I166" s="22" t="e">
        <f aca="true" t="shared" si="4" ref="I166:I200">SUM(H166/G172*100)</f>
        <v>#DIV/0!</v>
      </c>
    </row>
    <row r="167" spans="1:9" s="133" customFormat="1" ht="15" hidden="1">
      <c r="A167" s="156" t="s">
        <v>430</v>
      </c>
      <c r="B167" s="74"/>
      <c r="C167" s="114" t="s">
        <v>131</v>
      </c>
      <c r="D167" s="114" t="s">
        <v>466</v>
      </c>
      <c r="E167" s="114"/>
      <c r="F167" s="196"/>
      <c r="G167" s="215"/>
      <c r="H167" s="22"/>
      <c r="I167" s="22" t="e">
        <f t="shared" si="4"/>
        <v>#DIV/0!</v>
      </c>
    </row>
    <row r="168" spans="1:9" s="133" customFormat="1" ht="28.5" hidden="1">
      <c r="A168" s="160" t="s">
        <v>431</v>
      </c>
      <c r="B168" s="74"/>
      <c r="C168" s="114" t="s">
        <v>131</v>
      </c>
      <c r="D168" s="114" t="s">
        <v>466</v>
      </c>
      <c r="E168" s="114" t="s">
        <v>432</v>
      </c>
      <c r="F168" s="196"/>
      <c r="G168" s="215">
        <f>SUM(G169+G176)</f>
        <v>0</v>
      </c>
      <c r="H168" s="22">
        <f>SUM(H169)</f>
        <v>4761.6</v>
      </c>
      <c r="I168" s="22" t="e">
        <f t="shared" si="4"/>
        <v>#DIV/0!</v>
      </c>
    </row>
    <row r="169" spans="1:9" s="133" customFormat="1" ht="57" hidden="1">
      <c r="A169" s="160" t="s">
        <v>433</v>
      </c>
      <c r="B169" s="74"/>
      <c r="C169" s="114" t="s">
        <v>131</v>
      </c>
      <c r="D169" s="114" t="s">
        <v>466</v>
      </c>
      <c r="E169" s="114" t="s">
        <v>434</v>
      </c>
      <c r="F169" s="196"/>
      <c r="G169" s="215">
        <f>SUM(G170+G172+G174)</f>
        <v>0</v>
      </c>
      <c r="H169" s="22">
        <v>4761.6</v>
      </c>
      <c r="I169" s="22" t="e">
        <f t="shared" si="4"/>
        <v>#DIV/0!</v>
      </c>
    </row>
    <row r="170" spans="1:9" s="133" customFormat="1" ht="42.75" hidden="1">
      <c r="A170" s="160" t="s">
        <v>28</v>
      </c>
      <c r="B170" s="74"/>
      <c r="C170" s="114" t="s">
        <v>131</v>
      </c>
      <c r="D170" s="114" t="s">
        <v>466</v>
      </c>
      <c r="E170" s="114" t="s">
        <v>29</v>
      </c>
      <c r="F170" s="196"/>
      <c r="G170" s="215">
        <f>SUM(G171)</f>
        <v>0</v>
      </c>
      <c r="H170" s="22">
        <f>SUM(H171)+H177+H180</f>
        <v>5205.8</v>
      </c>
      <c r="I170" s="22" t="e">
        <f t="shared" si="4"/>
        <v>#DIV/0!</v>
      </c>
    </row>
    <row r="171" spans="1:9" s="133" customFormat="1" ht="15" hidden="1">
      <c r="A171" s="156" t="s">
        <v>7</v>
      </c>
      <c r="B171" s="74"/>
      <c r="C171" s="114" t="s">
        <v>131</v>
      </c>
      <c r="D171" s="114" t="s">
        <v>466</v>
      </c>
      <c r="E171" s="114" t="s">
        <v>29</v>
      </c>
      <c r="F171" s="196" t="s">
        <v>8</v>
      </c>
      <c r="G171" s="215"/>
      <c r="H171" s="22">
        <f>SUM(H172+H173)</f>
        <v>1562</v>
      </c>
      <c r="I171" s="22" t="e">
        <f t="shared" si="4"/>
        <v>#DIV/0!</v>
      </c>
    </row>
    <row r="172" spans="1:9" s="133" customFormat="1" ht="57" hidden="1">
      <c r="A172" s="160" t="s">
        <v>30</v>
      </c>
      <c r="B172" s="74"/>
      <c r="C172" s="114" t="s">
        <v>131</v>
      </c>
      <c r="D172" s="114" t="s">
        <v>466</v>
      </c>
      <c r="E172" s="114" t="s">
        <v>31</v>
      </c>
      <c r="F172" s="196"/>
      <c r="G172" s="215">
        <f>SUM(G173)</f>
        <v>0</v>
      </c>
      <c r="H172" s="22">
        <v>233.9</v>
      </c>
      <c r="I172" s="22" t="e">
        <f t="shared" si="4"/>
        <v>#DIV/0!</v>
      </c>
    </row>
    <row r="173" spans="1:9" s="133" customFormat="1" ht="15" hidden="1">
      <c r="A173" s="165" t="s">
        <v>134</v>
      </c>
      <c r="B173" s="74"/>
      <c r="C173" s="114" t="s">
        <v>131</v>
      </c>
      <c r="D173" s="114" t="s">
        <v>466</v>
      </c>
      <c r="E173" s="114" t="s">
        <v>31</v>
      </c>
      <c r="F173" s="196" t="s">
        <v>135</v>
      </c>
      <c r="G173" s="215"/>
      <c r="H173" s="22">
        <v>1328.1</v>
      </c>
      <c r="I173" s="22" t="e">
        <f t="shared" si="4"/>
        <v>#DIV/0!</v>
      </c>
    </row>
    <row r="174" spans="1:9" s="133" customFormat="1" ht="71.25" hidden="1">
      <c r="A174" s="160" t="s">
        <v>258</v>
      </c>
      <c r="B174" s="74"/>
      <c r="C174" s="114" t="s">
        <v>131</v>
      </c>
      <c r="D174" s="114" t="s">
        <v>466</v>
      </c>
      <c r="E174" s="114" t="s">
        <v>140</v>
      </c>
      <c r="F174" s="196"/>
      <c r="G174" s="215">
        <f>SUM(G175)</f>
        <v>0</v>
      </c>
      <c r="H174" s="22">
        <f>SUM(H175)</f>
        <v>0</v>
      </c>
      <c r="I174" s="22" t="e">
        <f t="shared" si="4"/>
        <v>#DIV/0!</v>
      </c>
    </row>
    <row r="175" spans="1:9" s="133" customFormat="1" ht="15" hidden="1">
      <c r="A175" s="165" t="s">
        <v>134</v>
      </c>
      <c r="B175" s="74"/>
      <c r="C175" s="114" t="s">
        <v>131</v>
      </c>
      <c r="D175" s="114" t="s">
        <v>466</v>
      </c>
      <c r="E175" s="114" t="s">
        <v>140</v>
      </c>
      <c r="F175" s="196" t="s">
        <v>135</v>
      </c>
      <c r="G175" s="215"/>
      <c r="H175" s="22">
        <f>SUM(H176)</f>
        <v>0</v>
      </c>
      <c r="I175" s="22" t="e">
        <f t="shared" si="4"/>
        <v>#DIV/0!</v>
      </c>
    </row>
    <row r="176" spans="1:9" s="133" customFormat="1" ht="42.75" hidden="1">
      <c r="A176" s="160" t="s">
        <v>435</v>
      </c>
      <c r="B176" s="74"/>
      <c r="C176" s="114" t="s">
        <v>131</v>
      </c>
      <c r="D176" s="114" t="s">
        <v>466</v>
      </c>
      <c r="E176" s="114" t="s">
        <v>436</v>
      </c>
      <c r="F176" s="196"/>
      <c r="G176" s="215">
        <f>SUM(G177)+G183+G186</f>
        <v>0</v>
      </c>
      <c r="H176" s="22"/>
      <c r="I176" s="22" t="e">
        <f t="shared" si="4"/>
        <v>#DIV/0!</v>
      </c>
    </row>
    <row r="177" spans="1:9" s="133" customFormat="1" ht="28.5" hidden="1">
      <c r="A177" s="160" t="s">
        <v>437</v>
      </c>
      <c r="B177" s="74"/>
      <c r="C177" s="114" t="s">
        <v>131</v>
      </c>
      <c r="D177" s="114" t="s">
        <v>466</v>
      </c>
      <c r="E177" s="114" t="s">
        <v>438</v>
      </c>
      <c r="F177" s="196"/>
      <c r="G177" s="215">
        <f>SUM(G178+G179)</f>
        <v>0</v>
      </c>
      <c r="H177" s="22">
        <f>SUM(H178+H179)</f>
        <v>1821.9</v>
      </c>
      <c r="I177" s="22" t="e">
        <f t="shared" si="4"/>
        <v>#DIV/0!</v>
      </c>
    </row>
    <row r="178" spans="1:9" s="133" customFormat="1" ht="15" hidden="1">
      <c r="A178" s="160" t="s">
        <v>7</v>
      </c>
      <c r="B178" s="74"/>
      <c r="C178" s="114" t="s">
        <v>131</v>
      </c>
      <c r="D178" s="114" t="s">
        <v>466</v>
      </c>
      <c r="E178" s="114" t="s">
        <v>438</v>
      </c>
      <c r="F178" s="196" t="s">
        <v>8</v>
      </c>
      <c r="G178" s="215"/>
      <c r="H178" s="22"/>
      <c r="I178" s="22" t="e">
        <f t="shared" si="4"/>
        <v>#DIV/0!</v>
      </c>
    </row>
    <row r="179" spans="1:9" s="133" customFormat="1" ht="28.5" hidden="1">
      <c r="A179" s="160" t="s">
        <v>439</v>
      </c>
      <c r="B179" s="74"/>
      <c r="C179" s="114" t="s">
        <v>131</v>
      </c>
      <c r="D179" s="114" t="s">
        <v>466</v>
      </c>
      <c r="E179" s="114" t="s">
        <v>438</v>
      </c>
      <c r="F179" s="196" t="s">
        <v>440</v>
      </c>
      <c r="G179" s="215"/>
      <c r="H179" s="22">
        <v>1821.9</v>
      </c>
      <c r="I179" s="22" t="e">
        <f t="shared" si="4"/>
        <v>#DIV/0!</v>
      </c>
    </row>
    <row r="180" spans="1:9" s="133" customFormat="1" ht="28.5" hidden="1">
      <c r="A180" s="160" t="s">
        <v>252</v>
      </c>
      <c r="B180" s="74"/>
      <c r="C180" s="114" t="s">
        <v>131</v>
      </c>
      <c r="D180" s="114" t="s">
        <v>466</v>
      </c>
      <c r="E180" s="114" t="s">
        <v>427</v>
      </c>
      <c r="F180" s="196"/>
      <c r="G180" s="215">
        <f>SUM(G181)</f>
        <v>0</v>
      </c>
      <c r="H180" s="22">
        <f>SUM(H181)</f>
        <v>1821.9</v>
      </c>
      <c r="I180" s="22" t="e">
        <f t="shared" si="4"/>
        <v>#DIV/0!</v>
      </c>
    </row>
    <row r="181" spans="1:9" s="133" customFormat="1" ht="28.5" hidden="1">
      <c r="A181" s="160" t="s">
        <v>132</v>
      </c>
      <c r="B181" s="74"/>
      <c r="C181" s="114" t="s">
        <v>131</v>
      </c>
      <c r="D181" s="114" t="s">
        <v>466</v>
      </c>
      <c r="E181" s="114" t="s">
        <v>133</v>
      </c>
      <c r="F181" s="196"/>
      <c r="G181" s="215">
        <f>SUM(G182)</f>
        <v>0</v>
      </c>
      <c r="H181" s="22">
        <v>1821.9</v>
      </c>
      <c r="I181" s="22" t="e">
        <f t="shared" si="4"/>
        <v>#DIV/0!</v>
      </c>
    </row>
    <row r="182" spans="1:9" s="133" customFormat="1" ht="15" hidden="1">
      <c r="A182" s="160" t="s">
        <v>134</v>
      </c>
      <c r="B182" s="74"/>
      <c r="C182" s="114" t="s">
        <v>131</v>
      </c>
      <c r="D182" s="114" t="s">
        <v>466</v>
      </c>
      <c r="E182" s="114" t="s">
        <v>133</v>
      </c>
      <c r="F182" s="196" t="s">
        <v>135</v>
      </c>
      <c r="G182" s="215"/>
      <c r="H182" s="22">
        <f>SUM(H183+H185)</f>
        <v>0</v>
      </c>
      <c r="I182" s="22" t="e">
        <f t="shared" si="4"/>
        <v>#DIV/0!</v>
      </c>
    </row>
    <row r="183" spans="1:9" s="133" customFormat="1" ht="28.5" hidden="1">
      <c r="A183" s="160" t="s">
        <v>441</v>
      </c>
      <c r="B183" s="74"/>
      <c r="C183" s="114" t="s">
        <v>131</v>
      </c>
      <c r="D183" s="114" t="s">
        <v>466</v>
      </c>
      <c r="E183" s="114" t="s">
        <v>442</v>
      </c>
      <c r="F183" s="196"/>
      <c r="G183" s="215">
        <f>SUM(G184+G185)</f>
        <v>0</v>
      </c>
      <c r="H183" s="22">
        <f>SUM(H184)</f>
        <v>0</v>
      </c>
      <c r="I183" s="22" t="e">
        <f t="shared" si="4"/>
        <v>#DIV/0!</v>
      </c>
    </row>
    <row r="184" spans="1:9" s="133" customFormat="1" ht="42.75" hidden="1">
      <c r="A184" s="156" t="s">
        <v>16</v>
      </c>
      <c r="B184" s="74"/>
      <c r="C184" s="114" t="s">
        <v>131</v>
      </c>
      <c r="D184" s="114" t="s">
        <v>466</v>
      </c>
      <c r="E184" s="114" t="s">
        <v>442</v>
      </c>
      <c r="F184" s="196" t="s">
        <v>58</v>
      </c>
      <c r="G184" s="215"/>
      <c r="H184" s="22"/>
      <c r="I184" s="22" t="e">
        <f t="shared" si="4"/>
        <v>#DIV/0!</v>
      </c>
    </row>
    <row r="185" spans="1:9" s="133" customFormat="1" ht="15" hidden="1">
      <c r="A185" s="165" t="s">
        <v>134</v>
      </c>
      <c r="B185" s="74"/>
      <c r="C185" s="114" t="s">
        <v>131</v>
      </c>
      <c r="D185" s="114" t="s">
        <v>466</v>
      </c>
      <c r="E185" s="114" t="s">
        <v>442</v>
      </c>
      <c r="F185" s="196" t="s">
        <v>135</v>
      </c>
      <c r="G185" s="215"/>
      <c r="H185" s="22">
        <f>SUM(H186)</f>
        <v>0</v>
      </c>
      <c r="I185" s="22" t="e">
        <f t="shared" si="4"/>
        <v>#DIV/0!</v>
      </c>
    </row>
    <row r="186" spans="1:9" s="133" customFormat="1" ht="42.75" hidden="1">
      <c r="A186" s="160" t="s">
        <v>445</v>
      </c>
      <c r="B186" s="74"/>
      <c r="C186" s="114" t="s">
        <v>131</v>
      </c>
      <c r="D186" s="114" t="s">
        <v>466</v>
      </c>
      <c r="E186" s="114" t="s">
        <v>446</v>
      </c>
      <c r="F186" s="196"/>
      <c r="G186" s="215">
        <f>SUM(G187)</f>
        <v>0</v>
      </c>
      <c r="H186" s="22"/>
      <c r="I186" s="22" t="e">
        <f t="shared" si="4"/>
        <v>#DIV/0!</v>
      </c>
    </row>
    <row r="187" spans="1:9" s="133" customFormat="1" ht="15" hidden="1">
      <c r="A187" s="165" t="s">
        <v>134</v>
      </c>
      <c r="B187" s="74"/>
      <c r="C187" s="114" t="s">
        <v>131</v>
      </c>
      <c r="D187" s="114" t="s">
        <v>466</v>
      </c>
      <c r="E187" s="114" t="s">
        <v>446</v>
      </c>
      <c r="F187" s="196" t="s">
        <v>135</v>
      </c>
      <c r="G187" s="215"/>
      <c r="H187" s="115">
        <f>SUM(H191)+H196+H188</f>
        <v>0</v>
      </c>
      <c r="I187" s="22" t="e">
        <f t="shared" si="4"/>
        <v>#DIV/0!</v>
      </c>
    </row>
    <row r="188" spans="1:9" s="133" customFormat="1" ht="15" hidden="1">
      <c r="A188" s="156" t="s">
        <v>447</v>
      </c>
      <c r="B188" s="74"/>
      <c r="C188" s="114" t="s">
        <v>131</v>
      </c>
      <c r="D188" s="114" t="s">
        <v>466</v>
      </c>
      <c r="E188" s="114" t="s">
        <v>448</v>
      </c>
      <c r="F188" s="196"/>
      <c r="G188" s="215">
        <f>SUM(G189+G191)</f>
        <v>0</v>
      </c>
      <c r="H188" s="115">
        <f>SUM(H189)</f>
        <v>0</v>
      </c>
      <c r="I188" s="22" t="e">
        <f t="shared" si="4"/>
        <v>#DIV/0!</v>
      </c>
    </row>
    <row r="189" spans="1:9" s="133" customFormat="1" ht="42.75" hidden="1">
      <c r="A189" s="157" t="s">
        <v>449</v>
      </c>
      <c r="B189" s="74"/>
      <c r="C189" s="114" t="s">
        <v>131</v>
      </c>
      <c r="D189" s="114" t="s">
        <v>466</v>
      </c>
      <c r="E189" s="114" t="s">
        <v>450</v>
      </c>
      <c r="F189" s="196"/>
      <c r="G189" s="215">
        <f>SUM(G190)</f>
        <v>0</v>
      </c>
      <c r="H189" s="115"/>
      <c r="I189" s="22" t="e">
        <f t="shared" si="4"/>
        <v>#DIV/0!</v>
      </c>
    </row>
    <row r="190" spans="1:9" s="133" customFormat="1" ht="15" hidden="1">
      <c r="A190" s="156" t="s">
        <v>7</v>
      </c>
      <c r="B190" s="74"/>
      <c r="C190" s="114" t="s">
        <v>131</v>
      </c>
      <c r="D190" s="114" t="s">
        <v>466</v>
      </c>
      <c r="E190" s="114" t="s">
        <v>450</v>
      </c>
      <c r="F190" s="196" t="s">
        <v>8</v>
      </c>
      <c r="G190" s="215"/>
      <c r="H190" s="115"/>
      <c r="I190" s="22" t="e">
        <f t="shared" si="4"/>
        <v>#DIV/0!</v>
      </c>
    </row>
    <row r="191" spans="1:9" s="133" customFormat="1" ht="28.5" hidden="1">
      <c r="A191" s="157" t="s">
        <v>451</v>
      </c>
      <c r="B191" s="113"/>
      <c r="C191" s="114" t="s">
        <v>131</v>
      </c>
      <c r="D191" s="114" t="s">
        <v>466</v>
      </c>
      <c r="E191" s="114" t="s">
        <v>452</v>
      </c>
      <c r="F191" s="197"/>
      <c r="G191" s="215">
        <f>SUM(G192)</f>
        <v>0</v>
      </c>
      <c r="H191" s="115">
        <f>SUM(H192+H194)</f>
        <v>0</v>
      </c>
      <c r="I191" s="22" t="e">
        <f t="shared" si="4"/>
        <v>#DIV/0!</v>
      </c>
    </row>
    <row r="192" spans="1:9" s="133" customFormat="1" ht="15" hidden="1">
      <c r="A192" s="156" t="s">
        <v>103</v>
      </c>
      <c r="B192" s="205"/>
      <c r="C192" s="114" t="s">
        <v>131</v>
      </c>
      <c r="D192" s="114" t="s">
        <v>466</v>
      </c>
      <c r="E192" s="114" t="s">
        <v>452</v>
      </c>
      <c r="F192" s="196" t="s">
        <v>104</v>
      </c>
      <c r="G192" s="215"/>
      <c r="H192" s="115">
        <f>SUM(H193)</f>
        <v>0</v>
      </c>
      <c r="I192" s="22" t="e">
        <f t="shared" si="4"/>
        <v>#DIV/0!</v>
      </c>
    </row>
    <row r="193" spans="1:9" s="133" customFormat="1" ht="15" hidden="1">
      <c r="A193" s="157" t="s">
        <v>3</v>
      </c>
      <c r="B193" s="74"/>
      <c r="C193" s="114" t="s">
        <v>131</v>
      </c>
      <c r="D193" s="114" t="s">
        <v>466</v>
      </c>
      <c r="E193" s="114" t="s">
        <v>4</v>
      </c>
      <c r="F193" s="196"/>
      <c r="G193" s="215">
        <f>SUM(G197)+G202+G194</f>
        <v>0</v>
      </c>
      <c r="H193" s="22"/>
      <c r="I193" s="22" t="e">
        <f t="shared" si="4"/>
        <v>#DIV/0!</v>
      </c>
    </row>
    <row r="194" spans="1:9" s="133" customFormat="1" ht="28.5" hidden="1">
      <c r="A194" s="157" t="s">
        <v>453</v>
      </c>
      <c r="B194" s="74"/>
      <c r="C194" s="114" t="s">
        <v>131</v>
      </c>
      <c r="D194" s="114" t="s">
        <v>466</v>
      </c>
      <c r="E194" s="114" t="s">
        <v>454</v>
      </c>
      <c r="F194" s="196"/>
      <c r="G194" s="215">
        <f>SUM(G195)</f>
        <v>0</v>
      </c>
      <c r="H194" s="22">
        <f>SUM(H195)</f>
        <v>0</v>
      </c>
      <c r="I194" s="22" t="e">
        <f t="shared" si="4"/>
        <v>#DIV/0!</v>
      </c>
    </row>
    <row r="195" spans="1:9" s="133" customFormat="1" ht="15" hidden="1">
      <c r="A195" s="157" t="s">
        <v>134</v>
      </c>
      <c r="B195" s="74"/>
      <c r="C195" s="114" t="s">
        <v>131</v>
      </c>
      <c r="D195" s="114" t="s">
        <v>466</v>
      </c>
      <c r="E195" s="114" t="s">
        <v>454</v>
      </c>
      <c r="F195" s="196" t="s">
        <v>135</v>
      </c>
      <c r="G195" s="215"/>
      <c r="H195" s="22"/>
      <c r="I195" s="22" t="e">
        <f t="shared" si="4"/>
        <v>#DIV/0!</v>
      </c>
    </row>
    <row r="196" spans="1:9" s="133" customFormat="1" ht="15" hidden="1">
      <c r="A196" s="157"/>
      <c r="B196" s="74"/>
      <c r="C196" s="114"/>
      <c r="D196" s="114"/>
      <c r="E196" s="114"/>
      <c r="F196" s="196"/>
      <c r="G196" s="215"/>
      <c r="H196" s="22"/>
      <c r="I196" s="22" t="e">
        <f t="shared" si="4"/>
        <v>#DIV/0!</v>
      </c>
    </row>
    <row r="197" spans="1:9" s="133" customFormat="1" ht="28.5" hidden="1">
      <c r="A197" s="156" t="s">
        <v>455</v>
      </c>
      <c r="B197" s="74"/>
      <c r="C197" s="114" t="s">
        <v>131</v>
      </c>
      <c r="D197" s="114" t="s">
        <v>466</v>
      </c>
      <c r="E197" s="114" t="s">
        <v>456</v>
      </c>
      <c r="F197" s="196"/>
      <c r="G197" s="215">
        <f>SUM(G198+G200)</f>
        <v>0</v>
      </c>
      <c r="H197" s="22">
        <f>SUM(H198)</f>
        <v>0</v>
      </c>
      <c r="I197" s="22" t="e">
        <f t="shared" si="4"/>
        <v>#DIV/0!</v>
      </c>
    </row>
    <row r="198" spans="1:9" s="133" customFormat="1" ht="28.5" hidden="1">
      <c r="A198" s="157" t="s">
        <v>457</v>
      </c>
      <c r="B198" s="74"/>
      <c r="C198" s="114" t="s">
        <v>131</v>
      </c>
      <c r="D198" s="114" t="s">
        <v>466</v>
      </c>
      <c r="E198" s="114" t="s">
        <v>458</v>
      </c>
      <c r="F198" s="196"/>
      <c r="G198" s="215">
        <f>SUM(G199)</f>
        <v>0</v>
      </c>
      <c r="H198" s="22"/>
      <c r="I198" s="22" t="e">
        <f t="shared" si="4"/>
        <v>#DIV/0!</v>
      </c>
    </row>
    <row r="199" spans="1:9" s="133" customFormat="1" ht="15" hidden="1">
      <c r="A199" s="160" t="s">
        <v>134</v>
      </c>
      <c r="B199" s="74"/>
      <c r="C199" s="114" t="s">
        <v>131</v>
      </c>
      <c r="D199" s="114" t="s">
        <v>466</v>
      </c>
      <c r="E199" s="114" t="s">
        <v>458</v>
      </c>
      <c r="F199" s="196" t="s">
        <v>135</v>
      </c>
      <c r="G199" s="215"/>
      <c r="H199" s="22">
        <f>SUM(H200)</f>
        <v>0</v>
      </c>
      <c r="I199" s="22" t="e">
        <f t="shared" si="4"/>
        <v>#DIV/0!</v>
      </c>
    </row>
    <row r="200" spans="1:9" s="133" customFormat="1" ht="15" hidden="1">
      <c r="A200" s="160" t="s">
        <v>459</v>
      </c>
      <c r="B200" s="74"/>
      <c r="C200" s="114" t="s">
        <v>131</v>
      </c>
      <c r="D200" s="114" t="s">
        <v>466</v>
      </c>
      <c r="E200" s="114" t="s">
        <v>460</v>
      </c>
      <c r="F200" s="196"/>
      <c r="G200" s="215">
        <f>SUM(G201)</f>
        <v>0</v>
      </c>
      <c r="H200" s="22"/>
      <c r="I200" s="22" t="e">
        <f t="shared" si="4"/>
        <v>#DIV/0!</v>
      </c>
    </row>
    <row r="201" spans="1:9" s="133" customFormat="1" ht="15" hidden="1">
      <c r="A201" s="156" t="s">
        <v>103</v>
      </c>
      <c r="B201" s="205"/>
      <c r="C201" s="114" t="s">
        <v>131</v>
      </c>
      <c r="D201" s="114" t="s">
        <v>466</v>
      </c>
      <c r="E201" s="114" t="s">
        <v>460</v>
      </c>
      <c r="F201" s="196" t="s">
        <v>104</v>
      </c>
      <c r="G201" s="215"/>
      <c r="H201" s="22"/>
      <c r="I201" s="22"/>
    </row>
    <row r="202" spans="1:9" s="133" customFormat="1" ht="28.5" hidden="1">
      <c r="A202" s="156" t="s">
        <v>461</v>
      </c>
      <c r="B202" s="205"/>
      <c r="C202" s="114" t="s">
        <v>131</v>
      </c>
      <c r="D202" s="114" t="s">
        <v>466</v>
      </c>
      <c r="E202" s="114" t="s">
        <v>462</v>
      </c>
      <c r="F202" s="196"/>
      <c r="G202" s="215"/>
      <c r="H202" s="22"/>
      <c r="I202" s="22"/>
    </row>
    <row r="203" spans="1:9" s="133" customFormat="1" ht="28.5" hidden="1">
      <c r="A203" s="156" t="s">
        <v>44</v>
      </c>
      <c r="B203" s="205"/>
      <c r="C203" s="114" t="s">
        <v>131</v>
      </c>
      <c r="D203" s="114" t="s">
        <v>466</v>
      </c>
      <c r="E203" s="114" t="s">
        <v>45</v>
      </c>
      <c r="F203" s="196"/>
      <c r="G203" s="215">
        <f>SUM(G204)</f>
        <v>0</v>
      </c>
      <c r="H203" s="22"/>
      <c r="I203" s="22"/>
    </row>
    <row r="204" spans="1:9" s="133" customFormat="1" ht="15" hidden="1">
      <c r="A204" s="156" t="s">
        <v>7</v>
      </c>
      <c r="B204" s="205"/>
      <c r="C204" s="114" t="s">
        <v>131</v>
      </c>
      <c r="D204" s="114" t="s">
        <v>466</v>
      </c>
      <c r="E204" s="114" t="s">
        <v>45</v>
      </c>
      <c r="F204" s="196" t="s">
        <v>8</v>
      </c>
      <c r="G204" s="215"/>
      <c r="H204" s="22">
        <f>SUM(H205+H208)+H212</f>
        <v>278.1</v>
      </c>
      <c r="I204" s="22" t="e">
        <f aca="true" t="shared" si="5" ref="I204:I209">SUM(H204/G210*100)</f>
        <v>#DIV/0!</v>
      </c>
    </row>
    <row r="205" spans="1:9" s="133" customFormat="1" ht="28.5" hidden="1">
      <c r="A205" s="156" t="s">
        <v>46</v>
      </c>
      <c r="B205" s="205"/>
      <c r="C205" s="114" t="s">
        <v>131</v>
      </c>
      <c r="D205" s="114" t="s">
        <v>466</v>
      </c>
      <c r="E205" s="114" t="s">
        <v>47</v>
      </c>
      <c r="F205" s="196"/>
      <c r="G205" s="215">
        <f>SUM(G206)</f>
        <v>0</v>
      </c>
      <c r="H205" s="22">
        <f>SUM(H206:H207)</f>
        <v>0</v>
      </c>
      <c r="I205" s="22" t="e">
        <f t="shared" si="5"/>
        <v>#DIV/0!</v>
      </c>
    </row>
    <row r="206" spans="1:9" s="133" customFormat="1" ht="15" hidden="1">
      <c r="A206" s="156" t="s">
        <v>7</v>
      </c>
      <c r="B206" s="205"/>
      <c r="C206" s="114" t="s">
        <v>131</v>
      </c>
      <c r="D206" s="114" t="s">
        <v>466</v>
      </c>
      <c r="E206" s="114" t="s">
        <v>47</v>
      </c>
      <c r="F206" s="196" t="s">
        <v>8</v>
      </c>
      <c r="G206" s="215"/>
      <c r="H206" s="22"/>
      <c r="I206" s="22" t="e">
        <f t="shared" si="5"/>
        <v>#DIV/0!</v>
      </c>
    </row>
    <row r="207" spans="1:9" s="141" customFormat="1" ht="15" hidden="1">
      <c r="A207" s="156" t="s">
        <v>447</v>
      </c>
      <c r="B207" s="205"/>
      <c r="C207" s="114" t="s">
        <v>131</v>
      </c>
      <c r="D207" s="114" t="s">
        <v>466</v>
      </c>
      <c r="E207" s="114" t="s">
        <v>448</v>
      </c>
      <c r="F207" s="196"/>
      <c r="G207" s="215">
        <f>SUM(G208)</f>
        <v>0</v>
      </c>
      <c r="H207" s="22"/>
      <c r="I207" s="22" t="e">
        <f t="shared" si="5"/>
        <v>#DIV/0!</v>
      </c>
    </row>
    <row r="208" spans="1:9" s="141" customFormat="1" ht="28.5" hidden="1">
      <c r="A208" s="156" t="s">
        <v>291</v>
      </c>
      <c r="B208" s="205"/>
      <c r="C208" s="114" t="s">
        <v>131</v>
      </c>
      <c r="D208" s="114" t="s">
        <v>466</v>
      </c>
      <c r="E208" s="114" t="s">
        <v>452</v>
      </c>
      <c r="F208" s="196"/>
      <c r="G208" s="215">
        <f>SUM(G209)</f>
        <v>0</v>
      </c>
      <c r="H208" s="22">
        <f>SUM(H209)</f>
        <v>167.7</v>
      </c>
      <c r="I208" s="22" t="e">
        <f t="shared" si="5"/>
        <v>#DIV/0!</v>
      </c>
    </row>
    <row r="209" spans="1:9" ht="15" hidden="1">
      <c r="A209" s="156" t="s">
        <v>103</v>
      </c>
      <c r="B209" s="205"/>
      <c r="C209" s="114" t="s">
        <v>131</v>
      </c>
      <c r="D209" s="114" t="s">
        <v>466</v>
      </c>
      <c r="E209" s="114" t="s">
        <v>452</v>
      </c>
      <c r="F209" s="196" t="s">
        <v>104</v>
      </c>
      <c r="G209" s="215"/>
      <c r="H209" s="22">
        <f>SUM(H211)</f>
        <v>167.7</v>
      </c>
      <c r="I209" s="22" t="e">
        <f t="shared" si="5"/>
        <v>#DIV/0!</v>
      </c>
    </row>
    <row r="210" spans="1:9" ht="15" hidden="1">
      <c r="A210" s="165" t="s">
        <v>128</v>
      </c>
      <c r="B210" s="74"/>
      <c r="C210" s="114" t="s">
        <v>131</v>
      </c>
      <c r="D210" s="114" t="s">
        <v>466</v>
      </c>
      <c r="E210" s="114" t="s">
        <v>129</v>
      </c>
      <c r="F210" s="196"/>
      <c r="G210" s="215">
        <f>SUM(G211+G214)+G218</f>
        <v>0</v>
      </c>
      <c r="H210" s="22"/>
      <c r="I210" s="22"/>
    </row>
    <row r="211" spans="1:9" s="133" customFormat="1" ht="42.75" hidden="1">
      <c r="A211" s="165" t="s">
        <v>515</v>
      </c>
      <c r="B211" s="74"/>
      <c r="C211" s="114" t="s">
        <v>131</v>
      </c>
      <c r="D211" s="114" t="s">
        <v>466</v>
      </c>
      <c r="E211" s="114" t="s">
        <v>302</v>
      </c>
      <c r="F211" s="196"/>
      <c r="G211" s="216">
        <f>SUM(G212)</f>
        <v>0</v>
      </c>
      <c r="H211" s="22">
        <v>167.7</v>
      </c>
      <c r="I211" s="22" t="e">
        <f aca="true" t="shared" si="6" ref="I211:I218">SUM(H211/G217*100)</f>
        <v>#DIV/0!</v>
      </c>
    </row>
    <row r="212" spans="1:9" s="133" customFormat="1" ht="15" hidden="1">
      <c r="A212" s="160" t="s">
        <v>7</v>
      </c>
      <c r="B212" s="74"/>
      <c r="C212" s="114" t="s">
        <v>131</v>
      </c>
      <c r="D212" s="114" t="s">
        <v>466</v>
      </c>
      <c r="E212" s="114" t="s">
        <v>302</v>
      </c>
      <c r="F212" s="196" t="s">
        <v>8</v>
      </c>
      <c r="G212" s="216"/>
      <c r="H212" s="22">
        <f>SUM(H213)</f>
        <v>110.4</v>
      </c>
      <c r="I212" s="22" t="e">
        <f t="shared" si="6"/>
        <v>#DIV/0!</v>
      </c>
    </row>
    <row r="213" spans="1:9" s="133" customFormat="1" ht="15" hidden="1">
      <c r="A213" s="165" t="s">
        <v>48</v>
      </c>
      <c r="B213" s="74"/>
      <c r="C213" s="114" t="s">
        <v>131</v>
      </c>
      <c r="D213" s="114" t="s">
        <v>466</v>
      </c>
      <c r="E213" s="114" t="s">
        <v>49</v>
      </c>
      <c r="F213" s="196" t="s">
        <v>104</v>
      </c>
      <c r="G213" s="215"/>
      <c r="H213" s="22">
        <v>110.4</v>
      </c>
      <c r="I213" s="22" t="e">
        <f t="shared" si="6"/>
        <v>#DIV/0!</v>
      </c>
    </row>
    <row r="214" spans="1:9" ht="15" hidden="1">
      <c r="A214" s="165" t="s">
        <v>134</v>
      </c>
      <c r="B214" s="74"/>
      <c r="C214" s="114" t="s">
        <v>131</v>
      </c>
      <c r="D214" s="114" t="s">
        <v>466</v>
      </c>
      <c r="E214" s="114" t="s">
        <v>129</v>
      </c>
      <c r="F214" s="196" t="s">
        <v>135</v>
      </c>
      <c r="G214" s="215">
        <f>SUM(G215)</f>
        <v>0</v>
      </c>
      <c r="H214" s="22" t="e">
        <f>SUM(H221+#REF!)+H215+#REF!+H218</f>
        <v>#REF!</v>
      </c>
      <c r="I214" s="22" t="e">
        <f t="shared" si="6"/>
        <v>#REF!</v>
      </c>
    </row>
    <row r="215" spans="1:9" ht="28.5" hidden="1">
      <c r="A215" s="160" t="s">
        <v>50</v>
      </c>
      <c r="B215" s="74"/>
      <c r="C215" s="114" t="s">
        <v>131</v>
      </c>
      <c r="D215" s="114" t="s">
        <v>466</v>
      </c>
      <c r="E215" s="114" t="s">
        <v>51</v>
      </c>
      <c r="F215" s="196" t="s">
        <v>135</v>
      </c>
      <c r="G215" s="215">
        <f>SUM(G217)</f>
        <v>0</v>
      </c>
      <c r="H215" s="22">
        <f>SUM(H216)</f>
        <v>0</v>
      </c>
      <c r="I215" s="22">
        <f t="shared" si="6"/>
        <v>0</v>
      </c>
    </row>
    <row r="216" spans="1:9" ht="28.5" hidden="1">
      <c r="A216" s="160" t="s">
        <v>66</v>
      </c>
      <c r="B216" s="74"/>
      <c r="C216" s="114"/>
      <c r="D216" s="114"/>
      <c r="E216" s="114"/>
      <c r="F216" s="196"/>
      <c r="G216" s="215"/>
      <c r="H216" s="22">
        <f>SUM(H217)</f>
        <v>0</v>
      </c>
      <c r="I216" s="22">
        <f t="shared" si="6"/>
        <v>0</v>
      </c>
    </row>
    <row r="217" spans="1:9" ht="28.5" hidden="1">
      <c r="A217" s="157" t="s">
        <v>457</v>
      </c>
      <c r="B217" s="74"/>
      <c r="C217" s="114" t="s">
        <v>131</v>
      </c>
      <c r="D217" s="114" t="s">
        <v>466</v>
      </c>
      <c r="E217" s="114" t="s">
        <v>52</v>
      </c>
      <c r="F217" s="196" t="s">
        <v>135</v>
      </c>
      <c r="G217" s="215"/>
      <c r="H217" s="22"/>
      <c r="I217" s="22">
        <f t="shared" si="6"/>
        <v>0</v>
      </c>
    </row>
    <row r="218" spans="1:9" ht="28.5" hidden="1">
      <c r="A218" s="156" t="s">
        <v>53</v>
      </c>
      <c r="B218" s="74"/>
      <c r="C218" s="114" t="s">
        <v>131</v>
      </c>
      <c r="D218" s="114" t="s">
        <v>466</v>
      </c>
      <c r="E218" s="114" t="s">
        <v>54</v>
      </c>
      <c r="F218" s="196"/>
      <c r="G218" s="215">
        <f>SUM(G219)</f>
        <v>0</v>
      </c>
      <c r="H218" s="22">
        <f>SUM(H219)</f>
        <v>9483.6</v>
      </c>
      <c r="I218" s="22">
        <f t="shared" si="6"/>
        <v>57826.82926829269</v>
      </c>
    </row>
    <row r="219" spans="1:9" ht="15" hidden="1">
      <c r="A219" s="165" t="s">
        <v>134</v>
      </c>
      <c r="B219" s="74"/>
      <c r="C219" s="114" t="s">
        <v>131</v>
      </c>
      <c r="D219" s="114" t="s">
        <v>466</v>
      </c>
      <c r="E219" s="114" t="s">
        <v>54</v>
      </c>
      <c r="F219" s="196" t="s">
        <v>135</v>
      </c>
      <c r="G219" s="215"/>
      <c r="H219" s="22">
        <f>SUM(H220)</f>
        <v>9483.6</v>
      </c>
      <c r="I219" s="22" t="e">
        <f>SUM(H219/#REF!*100)</f>
        <v>#REF!</v>
      </c>
    </row>
    <row r="220" spans="1:9" ht="15">
      <c r="A220" s="160" t="s">
        <v>55</v>
      </c>
      <c r="B220" s="235"/>
      <c r="C220" s="183" t="s">
        <v>131</v>
      </c>
      <c r="D220" s="183" t="s">
        <v>468</v>
      </c>
      <c r="E220" s="183"/>
      <c r="F220" s="201"/>
      <c r="G220" s="213">
        <f>G221+G224</f>
        <v>11351.6</v>
      </c>
      <c r="H220" s="22">
        <v>9483.6</v>
      </c>
      <c r="I220" s="22">
        <f>SUM(H220/G230*100)</f>
        <v>19.0711760518346</v>
      </c>
    </row>
    <row r="221" spans="1:9" ht="15">
      <c r="A221" s="160" t="s">
        <v>299</v>
      </c>
      <c r="B221" s="235"/>
      <c r="C221" s="183" t="s">
        <v>131</v>
      </c>
      <c r="D221" s="183" t="s">
        <v>468</v>
      </c>
      <c r="E221" s="183" t="s">
        <v>577</v>
      </c>
      <c r="F221" s="201"/>
      <c r="G221" s="213">
        <f>G222</f>
        <v>11335.2</v>
      </c>
      <c r="H221" s="22" t="e">
        <f>SUM(H222+H224+H230)</f>
        <v>#REF!</v>
      </c>
      <c r="I221" s="22" t="e">
        <f>SUM(H221/#REF!*100)</f>
        <v>#REF!</v>
      </c>
    </row>
    <row r="222" spans="1:9" ht="15">
      <c r="A222" s="160" t="s">
        <v>41</v>
      </c>
      <c r="B222" s="235"/>
      <c r="C222" s="183" t="s">
        <v>131</v>
      </c>
      <c r="D222" s="183" t="s">
        <v>468</v>
      </c>
      <c r="E222" s="183" t="s">
        <v>578</v>
      </c>
      <c r="F222" s="201"/>
      <c r="G222" s="213">
        <f>SUM(G223)</f>
        <v>11335.2</v>
      </c>
      <c r="H222" s="22">
        <f>SUM(H223)</f>
        <v>0</v>
      </c>
      <c r="I222" s="22" t="e">
        <f>SUM(H222/#REF!*100)</f>
        <v>#REF!</v>
      </c>
    </row>
    <row r="223" spans="1:9" ht="15">
      <c r="A223" s="160" t="s">
        <v>523</v>
      </c>
      <c r="B223" s="235"/>
      <c r="C223" s="183" t="s">
        <v>131</v>
      </c>
      <c r="D223" s="183" t="s">
        <v>468</v>
      </c>
      <c r="E223" s="183" t="s">
        <v>578</v>
      </c>
      <c r="F223" s="201" t="s">
        <v>120</v>
      </c>
      <c r="G223" s="213">
        <f>7722.9+3612.3</f>
        <v>11335.2</v>
      </c>
      <c r="H223" s="22"/>
      <c r="I223" s="22" t="e">
        <f>SUM(H223/#REF!*100)</f>
        <v>#REF!</v>
      </c>
    </row>
    <row r="224" spans="1:9" ht="15">
      <c r="A224" s="165" t="s">
        <v>128</v>
      </c>
      <c r="B224" s="355"/>
      <c r="C224" s="287" t="s">
        <v>131</v>
      </c>
      <c r="D224" s="287" t="s">
        <v>468</v>
      </c>
      <c r="E224" s="287" t="s">
        <v>129</v>
      </c>
      <c r="F224" s="356"/>
      <c r="G224" s="346">
        <f>SUM(G225)</f>
        <v>16.4</v>
      </c>
      <c r="H224" s="22" t="e">
        <f>SUM(#REF!)</f>
        <v>#REF!</v>
      </c>
      <c r="I224" s="22" t="e">
        <f>SUM(H224/#REF!*100)</f>
        <v>#REF!</v>
      </c>
    </row>
    <row r="225" spans="1:9" ht="42.75">
      <c r="A225" s="340" t="s">
        <v>1013</v>
      </c>
      <c r="B225" s="357"/>
      <c r="C225" s="287" t="s">
        <v>131</v>
      </c>
      <c r="D225" s="287" t="s">
        <v>468</v>
      </c>
      <c r="E225" s="287" t="s">
        <v>688</v>
      </c>
      <c r="F225" s="358"/>
      <c r="G225" s="346">
        <f>SUM(G226:G226)</f>
        <v>16.4</v>
      </c>
      <c r="H225" s="22"/>
      <c r="I225" s="22"/>
    </row>
    <row r="226" spans="1:9" ht="15">
      <c r="A226" s="160" t="s">
        <v>523</v>
      </c>
      <c r="B226" s="357"/>
      <c r="C226" s="287" t="s">
        <v>131</v>
      </c>
      <c r="D226" s="287" t="s">
        <v>468</v>
      </c>
      <c r="E226" s="287" t="s">
        <v>688</v>
      </c>
      <c r="F226" s="358" t="s">
        <v>120</v>
      </c>
      <c r="G226" s="346">
        <v>16.4</v>
      </c>
      <c r="H226" s="22"/>
      <c r="I226" s="22"/>
    </row>
    <row r="227" spans="1:9" ht="15" hidden="1">
      <c r="A227" s="160"/>
      <c r="B227" s="235"/>
      <c r="C227" s="183"/>
      <c r="D227" s="183"/>
      <c r="E227" s="183"/>
      <c r="F227" s="201"/>
      <c r="G227" s="213"/>
      <c r="H227" s="22"/>
      <c r="I227" s="22"/>
    </row>
    <row r="228" spans="1:9" ht="15" hidden="1">
      <c r="A228" s="160"/>
      <c r="B228" s="235"/>
      <c r="C228" s="183"/>
      <c r="D228" s="183"/>
      <c r="E228" s="183"/>
      <c r="F228" s="201"/>
      <c r="G228" s="213"/>
      <c r="H228" s="22"/>
      <c r="I228" s="22"/>
    </row>
    <row r="229" spans="1:9" ht="15" hidden="1">
      <c r="A229" s="160"/>
      <c r="B229" s="235"/>
      <c r="C229" s="183"/>
      <c r="D229" s="183"/>
      <c r="E229" s="183"/>
      <c r="F229" s="201"/>
      <c r="G229" s="213"/>
      <c r="H229" s="22"/>
      <c r="I229" s="22"/>
    </row>
    <row r="230" spans="1:9" ht="15">
      <c r="A230" s="160" t="s">
        <v>43</v>
      </c>
      <c r="B230" s="235"/>
      <c r="C230" s="183" t="s">
        <v>131</v>
      </c>
      <c r="D230" s="183" t="s">
        <v>106</v>
      </c>
      <c r="E230" s="183"/>
      <c r="F230" s="201"/>
      <c r="G230" s="213">
        <f>G231+G242</f>
        <v>49727.40000000001</v>
      </c>
      <c r="H230" s="22" t="e">
        <f>SUM(#REF!)</f>
        <v>#REF!</v>
      </c>
      <c r="I230" s="22" t="e">
        <f>SUM(H230/G231*100)</f>
        <v>#REF!</v>
      </c>
    </row>
    <row r="231" spans="1:9" s="146" customFormat="1" ht="15">
      <c r="A231" s="160" t="s">
        <v>43</v>
      </c>
      <c r="B231" s="239"/>
      <c r="C231" s="183" t="s">
        <v>131</v>
      </c>
      <c r="D231" s="183" t="s">
        <v>106</v>
      </c>
      <c r="E231" s="242" t="s">
        <v>71</v>
      </c>
      <c r="F231" s="243"/>
      <c r="G231" s="213">
        <f>G232+G236+G240+G234</f>
        <v>49554.600000000006</v>
      </c>
      <c r="H231" s="22" t="e">
        <f>SUM(H234+#REF!)+H232</f>
        <v>#REF!</v>
      </c>
      <c r="I231" s="22" t="e">
        <f>SUM(H231/G237*100)</f>
        <v>#REF!</v>
      </c>
    </row>
    <row r="232" spans="1:9" s="147" customFormat="1" ht="15.75">
      <c r="A232" s="163" t="s">
        <v>72</v>
      </c>
      <c r="B232" s="239"/>
      <c r="C232" s="183" t="s">
        <v>131</v>
      </c>
      <c r="D232" s="183" t="s">
        <v>106</v>
      </c>
      <c r="E232" s="242" t="s">
        <v>73</v>
      </c>
      <c r="F232" s="243"/>
      <c r="G232" s="213">
        <f>SUM(G233)</f>
        <v>31390.9</v>
      </c>
      <c r="H232" s="22">
        <f>SUM(H233)</f>
        <v>0</v>
      </c>
      <c r="I232" s="22" t="e">
        <f>SUM(H232/G238*100)</f>
        <v>#DIV/0!</v>
      </c>
    </row>
    <row r="233" spans="1:9" s="147" customFormat="1" ht="15.75">
      <c r="A233" s="160" t="s">
        <v>523</v>
      </c>
      <c r="B233" s="239"/>
      <c r="C233" s="183" t="s">
        <v>131</v>
      </c>
      <c r="D233" s="183" t="s">
        <v>106</v>
      </c>
      <c r="E233" s="242" t="s">
        <v>73</v>
      </c>
      <c r="F233" s="243" t="s">
        <v>120</v>
      </c>
      <c r="G233" s="213">
        <v>31390.9</v>
      </c>
      <c r="H233" s="22"/>
      <c r="I233" s="22" t="e">
        <f>SUM(H233/G239*100)</f>
        <v>#DIV/0!</v>
      </c>
    </row>
    <row r="234" spans="1:9" s="147" customFormat="1" ht="15.75">
      <c r="A234" s="165" t="s">
        <v>689</v>
      </c>
      <c r="B234" s="74"/>
      <c r="C234" s="279" t="s">
        <v>131</v>
      </c>
      <c r="D234" s="279" t="s">
        <v>106</v>
      </c>
      <c r="E234" s="114" t="s">
        <v>690</v>
      </c>
      <c r="F234" s="243"/>
      <c r="G234" s="213">
        <f>SUM(G235)</f>
        <v>240.8</v>
      </c>
      <c r="H234" s="22" t="e">
        <f>SUM(H235+H248+H255+H258)+H253</f>
        <v>#REF!</v>
      </c>
      <c r="I234" s="22" t="e">
        <f>SUM(H234/G248*100)</f>
        <v>#REF!</v>
      </c>
    </row>
    <row r="235" spans="1:9" s="147" customFormat="1" ht="15.75">
      <c r="A235" s="160" t="s">
        <v>523</v>
      </c>
      <c r="B235" s="239"/>
      <c r="C235" s="183" t="s">
        <v>131</v>
      </c>
      <c r="D235" s="183" t="s">
        <v>106</v>
      </c>
      <c r="E235" s="114" t="s">
        <v>690</v>
      </c>
      <c r="F235" s="243" t="s">
        <v>120</v>
      </c>
      <c r="G235" s="213">
        <v>240.8</v>
      </c>
      <c r="H235" s="22">
        <f>SUM(H237:H238)</f>
        <v>20816.7</v>
      </c>
      <c r="I235" s="22">
        <f>SUM(H235/G249*100)</f>
        <v>337.6538904478435</v>
      </c>
    </row>
    <row r="236" spans="1:9" s="147" customFormat="1" ht="28.5">
      <c r="A236" s="160" t="s">
        <v>629</v>
      </c>
      <c r="B236" s="239"/>
      <c r="C236" s="183" t="s">
        <v>131</v>
      </c>
      <c r="D236" s="183" t="s">
        <v>106</v>
      </c>
      <c r="E236" s="242" t="s">
        <v>40</v>
      </c>
      <c r="F236" s="243"/>
      <c r="G236" s="213">
        <f>G237</f>
        <v>17724.5</v>
      </c>
      <c r="H236" s="22"/>
      <c r="I236" s="22"/>
    </row>
    <row r="237" spans="1:9" s="147" customFormat="1" ht="15.75">
      <c r="A237" s="160" t="s">
        <v>523</v>
      </c>
      <c r="B237" s="239"/>
      <c r="C237" s="183" t="s">
        <v>131</v>
      </c>
      <c r="D237" s="183" t="s">
        <v>106</v>
      </c>
      <c r="E237" s="242" t="s">
        <v>40</v>
      </c>
      <c r="F237" s="243" t="s">
        <v>120</v>
      </c>
      <c r="G237" s="213">
        <v>17724.5</v>
      </c>
      <c r="H237" s="22">
        <v>20816.7</v>
      </c>
      <c r="I237" s="22" t="e">
        <f>SUM(H237/G253*100)</f>
        <v>#DIV/0!</v>
      </c>
    </row>
    <row r="238" spans="1:9" s="147" customFormat="1" ht="15.75" hidden="1">
      <c r="A238" s="160" t="s">
        <v>541</v>
      </c>
      <c r="B238" s="239"/>
      <c r="C238" s="183" t="s">
        <v>131</v>
      </c>
      <c r="D238" s="183" t="s">
        <v>106</v>
      </c>
      <c r="E238" s="242" t="s">
        <v>40</v>
      </c>
      <c r="F238" s="243" t="s">
        <v>542</v>
      </c>
      <c r="G238" s="213"/>
      <c r="H238" s="22">
        <f>SUM(H239)</f>
        <v>0</v>
      </c>
      <c r="I238" s="22" t="e">
        <f>SUM(H238/G254*100)</f>
        <v>#DIV/0!</v>
      </c>
    </row>
    <row r="239" spans="1:9" s="147" customFormat="1" ht="28.5" hidden="1">
      <c r="A239" s="160" t="s">
        <v>543</v>
      </c>
      <c r="B239" s="239"/>
      <c r="C239" s="183" t="s">
        <v>131</v>
      </c>
      <c r="D239" s="183" t="s">
        <v>106</v>
      </c>
      <c r="E239" s="242" t="s">
        <v>40</v>
      </c>
      <c r="F239" s="243" t="s">
        <v>544</v>
      </c>
      <c r="G239" s="213"/>
      <c r="H239" s="22"/>
      <c r="I239" s="22" t="e">
        <f>SUM(H239/G255*100)</f>
        <v>#DIV/0!</v>
      </c>
    </row>
    <row r="240" spans="1:9" s="147" customFormat="1" ht="42.75">
      <c r="A240" s="162" t="s">
        <v>627</v>
      </c>
      <c r="B240" s="208"/>
      <c r="C240" s="186" t="s">
        <v>131</v>
      </c>
      <c r="D240" s="186" t="s">
        <v>106</v>
      </c>
      <c r="E240" s="245" t="s">
        <v>628</v>
      </c>
      <c r="F240" s="237"/>
      <c r="G240" s="218">
        <f>SUM(G241)</f>
        <v>198.4</v>
      </c>
      <c r="H240" s="22"/>
      <c r="I240" s="22"/>
    </row>
    <row r="241" spans="1:9" s="147" customFormat="1" ht="15.75">
      <c r="A241" s="160" t="s">
        <v>523</v>
      </c>
      <c r="B241" s="239"/>
      <c r="C241" s="183" t="s">
        <v>131</v>
      </c>
      <c r="D241" s="183" t="s">
        <v>106</v>
      </c>
      <c r="E241" s="245" t="s">
        <v>628</v>
      </c>
      <c r="F241" s="243" t="s">
        <v>120</v>
      </c>
      <c r="G241" s="213">
        <v>198.4</v>
      </c>
      <c r="H241" s="22"/>
      <c r="I241" s="22"/>
    </row>
    <row r="242" spans="1:9" s="147" customFormat="1" ht="15.75">
      <c r="A242" s="165" t="s">
        <v>128</v>
      </c>
      <c r="B242" s="74"/>
      <c r="C242" s="279" t="s">
        <v>131</v>
      </c>
      <c r="D242" s="279" t="s">
        <v>106</v>
      </c>
      <c r="E242" s="114" t="s">
        <v>129</v>
      </c>
      <c r="F242" s="243"/>
      <c r="G242" s="213">
        <f>SUM(G243)</f>
        <v>172.8</v>
      </c>
      <c r="H242" s="22"/>
      <c r="I242" s="22"/>
    </row>
    <row r="243" spans="1:9" s="147" customFormat="1" ht="42.75">
      <c r="A243" s="337" t="s">
        <v>1014</v>
      </c>
      <c r="B243" s="359"/>
      <c r="C243" s="285" t="s">
        <v>131</v>
      </c>
      <c r="D243" s="285" t="s">
        <v>106</v>
      </c>
      <c r="E243" s="114" t="s">
        <v>691</v>
      </c>
      <c r="F243" s="243"/>
      <c r="G243" s="213">
        <f>SUM(G244)</f>
        <v>172.8</v>
      </c>
      <c r="H243" s="22"/>
      <c r="I243" s="22"/>
    </row>
    <row r="244" spans="1:9" s="147" customFormat="1" ht="15" customHeight="1">
      <c r="A244" s="160" t="s">
        <v>523</v>
      </c>
      <c r="B244" s="239"/>
      <c r="C244" s="285" t="s">
        <v>131</v>
      </c>
      <c r="D244" s="285" t="s">
        <v>106</v>
      </c>
      <c r="E244" s="114" t="s">
        <v>691</v>
      </c>
      <c r="F244" s="243" t="s">
        <v>120</v>
      </c>
      <c r="G244" s="213">
        <v>172.8</v>
      </c>
      <c r="H244" s="22"/>
      <c r="I244" s="22"/>
    </row>
    <row r="245" spans="1:9" s="147" customFormat="1" ht="28.5" hidden="1">
      <c r="A245" s="337" t="s">
        <v>692</v>
      </c>
      <c r="B245" s="353"/>
      <c r="C245" s="287" t="s">
        <v>131</v>
      </c>
      <c r="D245" s="287" t="s">
        <v>468</v>
      </c>
      <c r="E245" s="288" t="s">
        <v>679</v>
      </c>
      <c r="F245" s="354"/>
      <c r="G245" s="346">
        <f>SUM(G246)</f>
        <v>0</v>
      </c>
      <c r="H245" s="22"/>
      <c r="I245" s="22"/>
    </row>
    <row r="246" spans="1:9" s="147" customFormat="1" ht="15.75" hidden="1">
      <c r="A246" s="160" t="s">
        <v>693</v>
      </c>
      <c r="B246" s="113"/>
      <c r="C246" s="287" t="s">
        <v>131</v>
      </c>
      <c r="D246" s="287" t="s">
        <v>468</v>
      </c>
      <c r="E246" s="288" t="s">
        <v>42</v>
      </c>
      <c r="F246" s="354"/>
      <c r="G246" s="346">
        <f>SUM(G247)</f>
        <v>0</v>
      </c>
      <c r="H246" s="22"/>
      <c r="I246" s="22"/>
    </row>
    <row r="247" spans="1:9" s="147" customFormat="1" ht="28.5" hidden="1">
      <c r="A247" s="165" t="s">
        <v>694</v>
      </c>
      <c r="B247" s="353"/>
      <c r="C247" s="114" t="s">
        <v>131</v>
      </c>
      <c r="D247" s="114" t="s">
        <v>468</v>
      </c>
      <c r="E247" s="279" t="s">
        <v>42</v>
      </c>
      <c r="F247" s="354" t="s">
        <v>583</v>
      </c>
      <c r="G247" s="346"/>
      <c r="H247" s="22"/>
      <c r="I247" s="22"/>
    </row>
    <row r="248" spans="1:9" s="147" customFormat="1" ht="15.75">
      <c r="A248" s="160" t="s">
        <v>64</v>
      </c>
      <c r="B248" s="239"/>
      <c r="C248" s="183" t="s">
        <v>131</v>
      </c>
      <c r="D248" s="183" t="s">
        <v>131</v>
      </c>
      <c r="E248" s="242"/>
      <c r="F248" s="243"/>
      <c r="G248" s="213">
        <f>G249</f>
        <v>6165.1</v>
      </c>
      <c r="H248" s="22">
        <f>SUM(H252)</f>
        <v>43097.5</v>
      </c>
      <c r="I248" s="22">
        <f>SUM(H248/G256*100)</f>
        <v>6434.383398029263</v>
      </c>
    </row>
    <row r="249" spans="1:9" s="133" customFormat="1" ht="15">
      <c r="A249" s="160" t="s">
        <v>574</v>
      </c>
      <c r="B249" s="239"/>
      <c r="C249" s="183" t="s">
        <v>131</v>
      </c>
      <c r="D249" s="183" t="s">
        <v>131</v>
      </c>
      <c r="E249" s="242" t="s">
        <v>129</v>
      </c>
      <c r="F249" s="243"/>
      <c r="G249" s="213">
        <f>G252+G254+G256+G258+G250</f>
        <v>6165.1</v>
      </c>
      <c r="H249" s="22"/>
      <c r="I249" s="22"/>
    </row>
    <row r="250" spans="1:9" s="133" customFormat="1" ht="28.5">
      <c r="A250" s="156" t="s">
        <v>1015</v>
      </c>
      <c r="B250" s="74"/>
      <c r="C250" s="182" t="s">
        <v>131</v>
      </c>
      <c r="D250" s="182" t="s">
        <v>131</v>
      </c>
      <c r="E250" s="114" t="s">
        <v>695</v>
      </c>
      <c r="F250" s="243"/>
      <c r="G250" s="213">
        <f>SUM(G251)</f>
        <v>995.3</v>
      </c>
      <c r="H250" s="22"/>
      <c r="I250" s="22"/>
    </row>
    <row r="251" spans="1:9" s="133" customFormat="1" ht="28.5">
      <c r="A251" s="165" t="s">
        <v>694</v>
      </c>
      <c r="B251" s="239"/>
      <c r="C251" s="182" t="s">
        <v>131</v>
      </c>
      <c r="D251" s="182" t="s">
        <v>131</v>
      </c>
      <c r="E251" s="114" t="s">
        <v>695</v>
      </c>
      <c r="F251" s="243" t="s">
        <v>583</v>
      </c>
      <c r="G251" s="213">
        <v>995.3</v>
      </c>
      <c r="H251" s="22"/>
      <c r="I251" s="22"/>
    </row>
    <row r="252" spans="1:9" s="147" customFormat="1" ht="28.5" hidden="1">
      <c r="A252" s="163" t="s">
        <v>579</v>
      </c>
      <c r="B252" s="239"/>
      <c r="C252" s="183" t="s">
        <v>131</v>
      </c>
      <c r="D252" s="183" t="s">
        <v>131</v>
      </c>
      <c r="E252" s="242" t="s">
        <v>13</v>
      </c>
      <c r="F252" s="243"/>
      <c r="G252" s="213">
        <f>G253</f>
        <v>0</v>
      </c>
      <c r="H252" s="22">
        <v>43097.5</v>
      </c>
      <c r="I252" s="22">
        <f>SUM(H252/G258*100)</f>
        <v>957.7222222222222</v>
      </c>
    </row>
    <row r="253" spans="1:9" ht="28.5" hidden="1">
      <c r="A253" s="160" t="s">
        <v>547</v>
      </c>
      <c r="B253" s="239"/>
      <c r="C253" s="183" t="s">
        <v>131</v>
      </c>
      <c r="D253" s="183" t="s">
        <v>131</v>
      </c>
      <c r="E253" s="242" t="s">
        <v>13</v>
      </c>
      <c r="F253" s="243" t="s">
        <v>536</v>
      </c>
      <c r="G253" s="213"/>
      <c r="H253" s="22">
        <f>SUM(H254)</f>
        <v>482.9</v>
      </c>
      <c r="I253" s="22">
        <f>SUM(H253/G259*100)</f>
        <v>20.995652173913044</v>
      </c>
    </row>
    <row r="254" spans="1:9" ht="28.5" hidden="1">
      <c r="A254" s="163" t="s">
        <v>580</v>
      </c>
      <c r="B254" s="239"/>
      <c r="C254" s="183" t="s">
        <v>581</v>
      </c>
      <c r="D254" s="183" t="s">
        <v>131</v>
      </c>
      <c r="E254" s="242" t="s">
        <v>14</v>
      </c>
      <c r="F254" s="243"/>
      <c r="G254" s="213">
        <f>G255</f>
        <v>0</v>
      </c>
      <c r="H254" s="22">
        <v>482.9</v>
      </c>
      <c r="I254" s="22" t="e">
        <f>SUM(H254/#REF!*100)</f>
        <v>#REF!</v>
      </c>
    </row>
    <row r="255" spans="1:9" ht="28.5" hidden="1">
      <c r="A255" s="160" t="s">
        <v>582</v>
      </c>
      <c r="B255" s="239"/>
      <c r="C255" s="183" t="s">
        <v>581</v>
      </c>
      <c r="D255" s="183" t="s">
        <v>131</v>
      </c>
      <c r="E255" s="242" t="s">
        <v>14</v>
      </c>
      <c r="F255" s="243" t="s">
        <v>583</v>
      </c>
      <c r="G255" s="213"/>
      <c r="H255" s="22">
        <f>SUM(H257)</f>
        <v>489.8</v>
      </c>
      <c r="I255" s="22" t="e">
        <f>SUM(H255/#REF!*100)</f>
        <v>#REF!</v>
      </c>
    </row>
    <row r="256" spans="1:9" ht="42.75">
      <c r="A256" s="160" t="s">
        <v>1016</v>
      </c>
      <c r="B256" s="239"/>
      <c r="C256" s="183" t="s">
        <v>131</v>
      </c>
      <c r="D256" s="183" t="s">
        <v>131</v>
      </c>
      <c r="E256" s="242" t="s">
        <v>42</v>
      </c>
      <c r="F256" s="243"/>
      <c r="G256" s="213">
        <f>G257</f>
        <v>669.8</v>
      </c>
      <c r="H256" s="22"/>
      <c r="I256" s="22"/>
    </row>
    <row r="257" spans="1:9" s="146" customFormat="1" ht="28.5">
      <c r="A257" s="160" t="s">
        <v>582</v>
      </c>
      <c r="B257" s="239"/>
      <c r="C257" s="183" t="s">
        <v>131</v>
      </c>
      <c r="D257" s="183" t="s">
        <v>131</v>
      </c>
      <c r="E257" s="242" t="s">
        <v>42</v>
      </c>
      <c r="F257" s="243" t="s">
        <v>583</v>
      </c>
      <c r="G257" s="213">
        <v>669.8</v>
      </c>
      <c r="H257" s="22">
        <v>489.8</v>
      </c>
      <c r="I257" s="22" t="e">
        <f>SUM(H257/#REF!*100)</f>
        <v>#REF!</v>
      </c>
    </row>
    <row r="258" spans="1:9" s="146" customFormat="1" ht="28.5">
      <c r="A258" s="163" t="s">
        <v>1011</v>
      </c>
      <c r="B258" s="239"/>
      <c r="C258" s="183" t="s">
        <v>131</v>
      </c>
      <c r="D258" s="183" t="s">
        <v>131</v>
      </c>
      <c r="E258" s="242" t="s">
        <v>54</v>
      </c>
      <c r="F258" s="243"/>
      <c r="G258" s="213">
        <f>G259+G260</f>
        <v>4500</v>
      </c>
      <c r="H258" s="22" t="e">
        <f>SUM(#REF!)</f>
        <v>#REF!</v>
      </c>
      <c r="I258" s="22" t="e">
        <f>SUM(H258/#REF!*100)</f>
        <v>#REF!</v>
      </c>
    </row>
    <row r="259" spans="1:9" s="146" customFormat="1" ht="27.75" customHeight="1">
      <c r="A259" s="160" t="s">
        <v>582</v>
      </c>
      <c r="B259" s="239"/>
      <c r="C259" s="183" t="s">
        <v>131</v>
      </c>
      <c r="D259" s="183" t="s">
        <v>131</v>
      </c>
      <c r="E259" s="242" t="s">
        <v>54</v>
      </c>
      <c r="F259" s="243" t="s">
        <v>583</v>
      </c>
      <c r="G259" s="213">
        <v>2300</v>
      </c>
      <c r="H259" s="22"/>
      <c r="I259" s="22"/>
    </row>
    <row r="260" spans="1:9" ht="28.5">
      <c r="A260" s="160" t="s">
        <v>547</v>
      </c>
      <c r="B260" s="74"/>
      <c r="C260" s="182" t="s">
        <v>131</v>
      </c>
      <c r="D260" s="182" t="s">
        <v>131</v>
      </c>
      <c r="E260" s="114" t="s">
        <v>54</v>
      </c>
      <c r="F260" s="197" t="s">
        <v>536</v>
      </c>
      <c r="G260" s="215">
        <v>2200</v>
      </c>
      <c r="H260" s="22" t="e">
        <f>SUM(H261+H265)</f>
        <v>#REF!</v>
      </c>
      <c r="I260" s="22" t="e">
        <f>SUM(H260/G267*100)</f>
        <v>#REF!</v>
      </c>
    </row>
    <row r="261" spans="1:9" ht="15">
      <c r="A261" s="156" t="s">
        <v>67</v>
      </c>
      <c r="B261" s="74"/>
      <c r="C261" s="114" t="s">
        <v>396</v>
      </c>
      <c r="D261" s="114"/>
      <c r="E261" s="114"/>
      <c r="F261" s="196"/>
      <c r="G261" s="215">
        <f>SUM(G263)+G268</f>
        <v>5826</v>
      </c>
      <c r="H261" s="22">
        <f>SUM(H263)</f>
        <v>0</v>
      </c>
      <c r="I261" s="22">
        <f>SUM(H261/G268*100)</f>
        <v>0</v>
      </c>
    </row>
    <row r="262" spans="1:9" ht="15">
      <c r="A262" s="339" t="s">
        <v>668</v>
      </c>
      <c r="B262" s="74"/>
      <c r="C262" s="183" t="s">
        <v>396</v>
      </c>
      <c r="D262" s="183" t="s">
        <v>106</v>
      </c>
      <c r="E262" s="114"/>
      <c r="F262" s="196"/>
      <c r="G262" s="215">
        <f>SUM(G263)</f>
        <v>5280.9</v>
      </c>
      <c r="H262" s="22"/>
      <c r="I262" s="22"/>
    </row>
    <row r="263" spans="1:9" ht="15">
      <c r="A263" s="160" t="s">
        <v>68</v>
      </c>
      <c r="B263" s="235"/>
      <c r="C263" s="183" t="s">
        <v>396</v>
      </c>
      <c r="D263" s="183" t="s">
        <v>106</v>
      </c>
      <c r="E263" s="183" t="s">
        <v>584</v>
      </c>
      <c r="F263" s="201"/>
      <c r="G263" s="213">
        <f>SUM(G264)</f>
        <v>5280.9</v>
      </c>
      <c r="H263" s="22">
        <f>SUM(H264)</f>
        <v>0</v>
      </c>
      <c r="I263" s="22">
        <f>SUM(H263/G269*100)</f>
        <v>0</v>
      </c>
    </row>
    <row r="264" spans="1:9" ht="28.5">
      <c r="A264" s="160" t="s">
        <v>56</v>
      </c>
      <c r="B264" s="235"/>
      <c r="C264" s="183" t="s">
        <v>396</v>
      </c>
      <c r="D264" s="183" t="s">
        <v>106</v>
      </c>
      <c r="E264" s="183" t="s">
        <v>585</v>
      </c>
      <c r="F264" s="201"/>
      <c r="G264" s="213">
        <f>SUM(G265:G267)</f>
        <v>5280.9</v>
      </c>
      <c r="H264" s="22"/>
      <c r="I264" s="22">
        <f>SUM(H264/G270*100)</f>
        <v>0</v>
      </c>
    </row>
    <row r="265" spans="1:9" ht="28.5">
      <c r="A265" s="160" t="s">
        <v>518</v>
      </c>
      <c r="B265" s="235"/>
      <c r="C265" s="183" t="s">
        <v>396</v>
      </c>
      <c r="D265" s="183" t="s">
        <v>106</v>
      </c>
      <c r="E265" s="183" t="s">
        <v>585</v>
      </c>
      <c r="F265" s="201" t="s">
        <v>519</v>
      </c>
      <c r="G265" s="213">
        <v>4446.9</v>
      </c>
      <c r="H265" s="22" t="e">
        <f>SUM(H269+#REF!)</f>
        <v>#REF!</v>
      </c>
      <c r="I265" s="22" t="e">
        <f>SUM(H265/G271*100)</f>
        <v>#REF!</v>
      </c>
    </row>
    <row r="266" spans="1:9" ht="15">
      <c r="A266" s="160" t="s">
        <v>523</v>
      </c>
      <c r="B266" s="235"/>
      <c r="C266" s="183" t="s">
        <v>396</v>
      </c>
      <c r="D266" s="183" t="s">
        <v>106</v>
      </c>
      <c r="E266" s="183" t="s">
        <v>585</v>
      </c>
      <c r="F266" s="201" t="s">
        <v>120</v>
      </c>
      <c r="G266" s="213">
        <v>753.9</v>
      </c>
      <c r="H266" s="22"/>
      <c r="I266" s="22" t="e">
        <f>SUM(H266/#REF!*100)</f>
        <v>#REF!</v>
      </c>
    </row>
    <row r="267" spans="1:9" ht="15">
      <c r="A267" s="160" t="s">
        <v>524</v>
      </c>
      <c r="B267" s="235"/>
      <c r="C267" s="183" t="s">
        <v>396</v>
      </c>
      <c r="D267" s="183" t="s">
        <v>106</v>
      </c>
      <c r="E267" s="183" t="s">
        <v>585</v>
      </c>
      <c r="F267" s="201" t="s">
        <v>177</v>
      </c>
      <c r="G267" s="213">
        <v>80.1</v>
      </c>
      <c r="H267" s="148"/>
      <c r="I267" s="22" t="e">
        <f>SUM(H267/#REF!*100)</f>
        <v>#REF!</v>
      </c>
    </row>
    <row r="268" spans="1:9" ht="15">
      <c r="A268" s="160" t="s">
        <v>69</v>
      </c>
      <c r="B268" s="235"/>
      <c r="C268" s="183" t="s">
        <v>396</v>
      </c>
      <c r="D268" s="183" t="s">
        <v>131</v>
      </c>
      <c r="E268" s="246"/>
      <c r="F268" s="201"/>
      <c r="G268" s="213">
        <f>G270</f>
        <v>545.1</v>
      </c>
      <c r="H268" s="22"/>
      <c r="I268" s="22" t="e">
        <f>SUM(H268/#REF!*100)</f>
        <v>#REF!</v>
      </c>
    </row>
    <row r="269" spans="1:9" ht="15">
      <c r="A269" s="160" t="s">
        <v>574</v>
      </c>
      <c r="B269" s="235"/>
      <c r="C269" s="183" t="s">
        <v>396</v>
      </c>
      <c r="D269" s="183" t="s">
        <v>131</v>
      </c>
      <c r="E269" s="242" t="s">
        <v>129</v>
      </c>
      <c r="F269" s="201"/>
      <c r="G269" s="213">
        <f>SUM(G270)</f>
        <v>545.1</v>
      </c>
      <c r="H269" s="22">
        <f>SUM(H270:H271)</f>
        <v>0</v>
      </c>
      <c r="I269" s="22" t="e">
        <f>SUM(H269/#REF!*100)</f>
        <v>#REF!</v>
      </c>
    </row>
    <row r="270" spans="1:9" ht="15.75">
      <c r="A270" s="160" t="s">
        <v>672</v>
      </c>
      <c r="B270" s="238"/>
      <c r="C270" s="183" t="s">
        <v>396</v>
      </c>
      <c r="D270" s="183" t="s">
        <v>131</v>
      </c>
      <c r="E270" s="183" t="s">
        <v>70</v>
      </c>
      <c r="F270" s="201"/>
      <c r="G270" s="213">
        <f>G271</f>
        <v>545.1</v>
      </c>
      <c r="H270" s="22"/>
      <c r="I270" s="22" t="e">
        <f>SUM(H270/#REF!*100)</f>
        <v>#REF!</v>
      </c>
    </row>
    <row r="271" spans="1:9" ht="15">
      <c r="A271" s="160" t="s">
        <v>523</v>
      </c>
      <c r="B271" s="235"/>
      <c r="C271" s="183" t="s">
        <v>396</v>
      </c>
      <c r="D271" s="183" t="s">
        <v>131</v>
      </c>
      <c r="E271" s="183" t="s">
        <v>70</v>
      </c>
      <c r="F271" s="201" t="s">
        <v>120</v>
      </c>
      <c r="G271" s="213">
        <v>545.1</v>
      </c>
      <c r="H271" s="22"/>
      <c r="I271" s="22"/>
    </row>
    <row r="272" spans="1:9" ht="15">
      <c r="A272" s="160" t="s">
        <v>116</v>
      </c>
      <c r="B272" s="235"/>
      <c r="C272" s="183" t="s">
        <v>117</v>
      </c>
      <c r="D272" s="183"/>
      <c r="E272" s="183"/>
      <c r="F272" s="201"/>
      <c r="G272" s="213">
        <f>G273</f>
        <v>700</v>
      </c>
      <c r="H272" s="22">
        <f>SUM(H273)</f>
        <v>0</v>
      </c>
      <c r="I272" s="22" t="e">
        <f>SUM(H272/#REF!*100)</f>
        <v>#REF!</v>
      </c>
    </row>
    <row r="273" spans="1:9" ht="15">
      <c r="A273" s="160" t="s">
        <v>234</v>
      </c>
      <c r="B273" s="235"/>
      <c r="C273" s="183" t="s">
        <v>117</v>
      </c>
      <c r="D273" s="183" t="s">
        <v>304</v>
      </c>
      <c r="E273" s="183"/>
      <c r="F273" s="201"/>
      <c r="G273" s="213">
        <f>G275</f>
        <v>700</v>
      </c>
      <c r="H273" s="22"/>
      <c r="I273" s="22" t="e">
        <f>SUM(H273/#REF!*100)</f>
        <v>#REF!</v>
      </c>
    </row>
    <row r="274" spans="1:9" ht="15">
      <c r="A274" s="160" t="s">
        <v>574</v>
      </c>
      <c r="B274" s="235"/>
      <c r="C274" s="183" t="s">
        <v>117</v>
      </c>
      <c r="D274" s="183" t="s">
        <v>304</v>
      </c>
      <c r="E274" s="242" t="s">
        <v>129</v>
      </c>
      <c r="F274" s="201"/>
      <c r="G274" s="213">
        <f>SUM(G275)</f>
        <v>700</v>
      </c>
      <c r="H274" s="22"/>
      <c r="I274" s="22"/>
    </row>
    <row r="275" spans="1:9" ht="28.5">
      <c r="A275" s="163" t="s">
        <v>1011</v>
      </c>
      <c r="B275" s="235"/>
      <c r="C275" s="183" t="s">
        <v>117</v>
      </c>
      <c r="D275" s="183" t="s">
        <v>304</v>
      </c>
      <c r="E275" s="183" t="s">
        <v>54</v>
      </c>
      <c r="F275" s="201"/>
      <c r="G275" s="213">
        <f>G276</f>
        <v>700</v>
      </c>
      <c r="H275" s="22"/>
      <c r="I275" s="22"/>
    </row>
    <row r="276" spans="1:9" s="133" customFormat="1" ht="28.5">
      <c r="A276" s="160" t="s">
        <v>589</v>
      </c>
      <c r="B276" s="235"/>
      <c r="C276" s="183" t="s">
        <v>117</v>
      </c>
      <c r="D276" s="183" t="s">
        <v>304</v>
      </c>
      <c r="E276" s="183" t="s">
        <v>586</v>
      </c>
      <c r="F276" s="201" t="s">
        <v>583</v>
      </c>
      <c r="G276" s="213">
        <f>300+400</f>
        <v>700</v>
      </c>
      <c r="H276" s="22" t="e">
        <v>#REF!</v>
      </c>
      <c r="I276" s="22" t="e">
        <v>#REF!</v>
      </c>
    </row>
    <row r="277" spans="1:9" ht="15">
      <c r="A277" s="156" t="s">
        <v>189</v>
      </c>
      <c r="B277" s="74"/>
      <c r="C277" s="114" t="s">
        <v>5</v>
      </c>
      <c r="D277" s="114"/>
      <c r="E277" s="114"/>
      <c r="F277" s="196"/>
      <c r="G277" s="215">
        <f>SUM(G287)+G278</f>
        <v>49068.1</v>
      </c>
      <c r="H277" s="22" t="e">
        <f>SUM(#REF!)</f>
        <v>#REF!</v>
      </c>
      <c r="I277" s="22" t="e">
        <f>SUM(H277/G289*100)</f>
        <v>#REF!</v>
      </c>
    </row>
    <row r="278" spans="1:9" ht="15">
      <c r="A278" s="156" t="s">
        <v>25</v>
      </c>
      <c r="B278" s="74"/>
      <c r="C278" s="114" t="s">
        <v>5</v>
      </c>
      <c r="D278" s="114" t="s">
        <v>106</v>
      </c>
      <c r="E278" s="114"/>
      <c r="F278" s="196"/>
      <c r="G278" s="215">
        <f>SUM(G279+G283)</f>
        <v>2263.5</v>
      </c>
      <c r="H278" s="22"/>
      <c r="I278" s="22"/>
    </row>
    <row r="279" spans="1:9" ht="15">
      <c r="A279" s="339" t="s">
        <v>3</v>
      </c>
      <c r="B279" s="360"/>
      <c r="C279" s="279" t="s">
        <v>5</v>
      </c>
      <c r="D279" s="279" t="s">
        <v>106</v>
      </c>
      <c r="E279" s="279" t="s">
        <v>4</v>
      </c>
      <c r="F279" s="361"/>
      <c r="G279" s="345">
        <f>SUM(G280)</f>
        <v>263.5</v>
      </c>
      <c r="H279" s="22"/>
      <c r="I279" s="22"/>
    </row>
    <row r="280" spans="1:9" ht="42.75">
      <c r="A280" s="341" t="s">
        <v>682</v>
      </c>
      <c r="B280" s="362"/>
      <c r="C280" s="279" t="s">
        <v>5</v>
      </c>
      <c r="D280" s="279" t="s">
        <v>106</v>
      </c>
      <c r="E280" s="279" t="s">
        <v>456</v>
      </c>
      <c r="F280" s="361"/>
      <c r="G280" s="345">
        <f>SUM(G281)</f>
        <v>263.5</v>
      </c>
      <c r="H280" s="22"/>
      <c r="I280" s="22"/>
    </row>
    <row r="281" spans="1:9" ht="28.5">
      <c r="A281" s="339" t="s">
        <v>683</v>
      </c>
      <c r="B281" s="362"/>
      <c r="C281" s="279" t="s">
        <v>5</v>
      </c>
      <c r="D281" s="279" t="s">
        <v>106</v>
      </c>
      <c r="E281" s="279" t="s">
        <v>684</v>
      </c>
      <c r="F281" s="361"/>
      <c r="G281" s="345">
        <f>SUM(G282)</f>
        <v>263.5</v>
      </c>
      <c r="H281" s="22"/>
      <c r="I281" s="22"/>
    </row>
    <row r="282" spans="1:9" ht="15">
      <c r="A282" s="342" t="s">
        <v>685</v>
      </c>
      <c r="B282" s="362"/>
      <c r="C282" s="279" t="s">
        <v>5</v>
      </c>
      <c r="D282" s="279" t="s">
        <v>106</v>
      </c>
      <c r="E282" s="279" t="s">
        <v>684</v>
      </c>
      <c r="F282" s="361" t="s">
        <v>529</v>
      </c>
      <c r="G282" s="345">
        <v>263.5</v>
      </c>
      <c r="H282" s="22"/>
      <c r="I282" s="22"/>
    </row>
    <row r="283" spans="1:9" ht="15">
      <c r="A283" s="341" t="s">
        <v>128</v>
      </c>
      <c r="B283" s="353"/>
      <c r="C283" s="279" t="s">
        <v>5</v>
      </c>
      <c r="D283" s="279" t="s">
        <v>106</v>
      </c>
      <c r="E283" s="279" t="s">
        <v>129</v>
      </c>
      <c r="F283" s="354"/>
      <c r="G283" s="347">
        <f>SUM(G284)</f>
        <v>2000</v>
      </c>
      <c r="H283" s="22"/>
      <c r="I283" s="22"/>
    </row>
    <row r="284" spans="1:9" ht="35.25" customHeight="1">
      <c r="A284" s="343" t="s">
        <v>1017</v>
      </c>
      <c r="B284" s="359"/>
      <c r="C284" s="279" t="s">
        <v>5</v>
      </c>
      <c r="D284" s="279" t="s">
        <v>106</v>
      </c>
      <c r="E284" s="285" t="s">
        <v>679</v>
      </c>
      <c r="F284" s="363"/>
      <c r="G284" s="347">
        <f>SUM(G285)</f>
        <v>2000</v>
      </c>
      <c r="H284" s="22"/>
      <c r="I284" s="22"/>
    </row>
    <row r="285" spans="1:9" ht="28.5">
      <c r="A285" s="270" t="s">
        <v>1018</v>
      </c>
      <c r="B285" s="353"/>
      <c r="C285" s="279" t="s">
        <v>5</v>
      </c>
      <c r="D285" s="279" t="s">
        <v>106</v>
      </c>
      <c r="E285" s="285" t="s">
        <v>687</v>
      </c>
      <c r="F285" s="363"/>
      <c r="G285" s="348">
        <f>SUM(G286:G286)</f>
        <v>2000</v>
      </c>
      <c r="H285" s="22"/>
      <c r="I285" s="22"/>
    </row>
    <row r="286" spans="1:9" ht="15">
      <c r="A286" s="342" t="s">
        <v>685</v>
      </c>
      <c r="B286" s="362"/>
      <c r="C286" s="279" t="s">
        <v>5</v>
      </c>
      <c r="D286" s="279" t="s">
        <v>106</v>
      </c>
      <c r="E286" s="285" t="s">
        <v>687</v>
      </c>
      <c r="F286" s="361" t="s">
        <v>529</v>
      </c>
      <c r="G286" s="345">
        <v>2000</v>
      </c>
      <c r="H286" s="22"/>
      <c r="I286" s="22"/>
    </row>
    <row r="287" spans="1:9" s="133" customFormat="1" ht="15">
      <c r="A287" s="160" t="s">
        <v>159</v>
      </c>
      <c r="B287" s="235"/>
      <c r="C287" s="183" t="s">
        <v>5</v>
      </c>
      <c r="D287" s="183" t="s">
        <v>122</v>
      </c>
      <c r="E287" s="183"/>
      <c r="F287" s="201"/>
      <c r="G287" s="213">
        <f>G289</f>
        <v>46804.6</v>
      </c>
      <c r="H287" s="22"/>
      <c r="I287" s="22">
        <f>SUM(H287/G294*100)</f>
        <v>0</v>
      </c>
    </row>
    <row r="288" spans="1:9" s="133" customFormat="1" ht="15">
      <c r="A288" s="156" t="s">
        <v>26</v>
      </c>
      <c r="B288" s="74"/>
      <c r="C288" s="183" t="s">
        <v>5</v>
      </c>
      <c r="D288" s="183" t="s">
        <v>122</v>
      </c>
      <c r="E288" s="114" t="s">
        <v>27</v>
      </c>
      <c r="F288" s="196"/>
      <c r="G288" s="213">
        <f>SUM(G289)</f>
        <v>46804.6</v>
      </c>
      <c r="H288" s="22"/>
      <c r="I288" s="22"/>
    </row>
    <row r="289" spans="1:9" ht="42.75">
      <c r="A289" s="160" t="s">
        <v>587</v>
      </c>
      <c r="B289" s="235"/>
      <c r="C289" s="183" t="s">
        <v>5</v>
      </c>
      <c r="D289" s="183" t="s">
        <v>122</v>
      </c>
      <c r="E289" s="183" t="s">
        <v>208</v>
      </c>
      <c r="F289" s="201"/>
      <c r="G289" s="213">
        <f>G294+G290</f>
        <v>46804.6</v>
      </c>
      <c r="H289" s="22">
        <f>SUM(H290)</f>
        <v>5628.5</v>
      </c>
      <c r="I289" s="22">
        <f>SUM(H289/G295*100)</f>
        <v>23.65214102617977</v>
      </c>
    </row>
    <row r="290" spans="1:9" ht="57">
      <c r="A290" s="160" t="s">
        <v>669</v>
      </c>
      <c r="B290" s="235"/>
      <c r="C290" s="183" t="s">
        <v>5</v>
      </c>
      <c r="D290" s="183" t="s">
        <v>122</v>
      </c>
      <c r="E290" s="183" t="s">
        <v>588</v>
      </c>
      <c r="F290" s="201"/>
      <c r="G290" s="213">
        <f>SUM(G291)</f>
        <v>23007.6</v>
      </c>
      <c r="H290" s="22">
        <f>SUM(H291)</f>
        <v>5628.5</v>
      </c>
      <c r="I290" s="22" t="e">
        <f>SUM(H290/#REF!*100)</f>
        <v>#REF!</v>
      </c>
    </row>
    <row r="291" spans="1:9" ht="28.5">
      <c r="A291" s="160" t="s">
        <v>589</v>
      </c>
      <c r="B291" s="235"/>
      <c r="C291" s="183" t="s">
        <v>5</v>
      </c>
      <c r="D291" s="183" t="s">
        <v>122</v>
      </c>
      <c r="E291" s="183" t="s">
        <v>588</v>
      </c>
      <c r="F291" s="201" t="s">
        <v>583</v>
      </c>
      <c r="G291" s="213">
        <v>23007.6</v>
      </c>
      <c r="H291" s="22">
        <v>5628.5</v>
      </c>
      <c r="I291" s="22" t="e">
        <f>SUM(H291/#REF!*100)</f>
        <v>#REF!</v>
      </c>
    </row>
    <row r="292" spans="1:9" s="133" customFormat="1" ht="15" hidden="1">
      <c r="A292" s="160" t="s">
        <v>65</v>
      </c>
      <c r="B292" s="235"/>
      <c r="C292" s="183" t="s">
        <v>5</v>
      </c>
      <c r="D292" s="183" t="s">
        <v>122</v>
      </c>
      <c r="E292" s="183" t="s">
        <v>588</v>
      </c>
      <c r="F292" s="201" t="s">
        <v>590</v>
      </c>
      <c r="G292" s="213"/>
      <c r="H292" s="22">
        <f>SUM(H293)</f>
        <v>0</v>
      </c>
      <c r="I292" s="22" t="e">
        <f>SUM(H292/#REF!*100)</f>
        <v>#REF!</v>
      </c>
    </row>
    <row r="293" spans="1:9" ht="28.5" hidden="1">
      <c r="A293" s="160" t="s">
        <v>591</v>
      </c>
      <c r="B293" s="235"/>
      <c r="C293" s="183" t="s">
        <v>5</v>
      </c>
      <c r="D293" s="183" t="s">
        <v>122</v>
      </c>
      <c r="E293" s="183" t="s">
        <v>588</v>
      </c>
      <c r="F293" s="201" t="s">
        <v>592</v>
      </c>
      <c r="G293" s="213"/>
      <c r="H293" s="22"/>
      <c r="I293" s="22" t="e">
        <f>SUM(H293/#REF!*100)</f>
        <v>#REF!</v>
      </c>
    </row>
    <row r="294" spans="1:9" ht="42.75">
      <c r="A294" s="160" t="s">
        <v>670</v>
      </c>
      <c r="B294" s="235"/>
      <c r="C294" s="183" t="s">
        <v>5</v>
      </c>
      <c r="D294" s="183" t="s">
        <v>122</v>
      </c>
      <c r="E294" s="183" t="s">
        <v>485</v>
      </c>
      <c r="F294" s="201"/>
      <c r="G294" s="213">
        <f>SUM(G295)</f>
        <v>23797</v>
      </c>
      <c r="H294" s="22" t="e">
        <f>SUM(H295)</f>
        <v>#REF!</v>
      </c>
      <c r="I294" s="22" t="e">
        <f>SUM(H294/#REF!*100)</f>
        <v>#REF!</v>
      </c>
    </row>
    <row r="295" spans="1:9" ht="28.5">
      <c r="A295" s="160" t="s">
        <v>589</v>
      </c>
      <c r="B295" s="235"/>
      <c r="C295" s="183" t="s">
        <v>5</v>
      </c>
      <c r="D295" s="183" t="s">
        <v>122</v>
      </c>
      <c r="E295" s="183" t="s">
        <v>485</v>
      </c>
      <c r="F295" s="201" t="s">
        <v>583</v>
      </c>
      <c r="G295" s="213">
        <v>23797</v>
      </c>
      <c r="H295" s="22" t="e">
        <f>SUM(#REF!)+#REF!</f>
        <v>#REF!</v>
      </c>
      <c r="I295" s="22" t="e">
        <f>SUM(H295/#REF!*100)</f>
        <v>#REF!</v>
      </c>
    </row>
    <row r="296" spans="1:9" ht="15" hidden="1">
      <c r="A296" s="156" t="s">
        <v>248</v>
      </c>
      <c r="B296" s="74"/>
      <c r="C296" s="182" t="s">
        <v>424</v>
      </c>
      <c r="D296" s="182"/>
      <c r="E296" s="182"/>
      <c r="F296" s="197"/>
      <c r="G296" s="216">
        <f>SUM(G297)</f>
        <v>0</v>
      </c>
      <c r="H296" s="22" t="e">
        <f>SUM(H297+H304+H315+#REF!)</f>
        <v>#REF!</v>
      </c>
      <c r="I296" s="22" t="e">
        <f>SUM(H296/G302*100)</f>
        <v>#REF!</v>
      </c>
    </row>
    <row r="297" spans="1:9" ht="15" hidden="1">
      <c r="A297" s="156" t="s">
        <v>242</v>
      </c>
      <c r="B297" s="74"/>
      <c r="C297" s="114" t="s">
        <v>424</v>
      </c>
      <c r="D297" s="114" t="s">
        <v>131</v>
      </c>
      <c r="E297" s="182"/>
      <c r="F297" s="197"/>
      <c r="G297" s="215">
        <f>SUM(G298)</f>
        <v>0</v>
      </c>
      <c r="H297" s="22">
        <f>SUM(H298)</f>
        <v>9708.8</v>
      </c>
      <c r="I297" s="22">
        <f>SUM(H297/G303*100)</f>
        <v>51.98710603253477</v>
      </c>
    </row>
    <row r="298" spans="1:9" ht="15" hidden="1">
      <c r="A298" s="162" t="s">
        <v>128</v>
      </c>
      <c r="B298" s="113"/>
      <c r="C298" s="114" t="s">
        <v>424</v>
      </c>
      <c r="D298" s="114" t="s">
        <v>131</v>
      </c>
      <c r="E298" s="182" t="s">
        <v>129</v>
      </c>
      <c r="F298" s="197"/>
      <c r="G298" s="215">
        <f>SUM(G299)</f>
        <v>0</v>
      </c>
      <c r="H298" s="22">
        <f>SUM(H299)</f>
        <v>9708.8</v>
      </c>
      <c r="I298" s="22">
        <f>SUM(H298/G304*100)</f>
        <v>51.98710603253477</v>
      </c>
    </row>
    <row r="299" spans="1:9" ht="28.5" hidden="1">
      <c r="A299" s="165" t="s">
        <v>146</v>
      </c>
      <c r="B299" s="74"/>
      <c r="C299" s="114" t="s">
        <v>424</v>
      </c>
      <c r="D299" s="114" t="s">
        <v>131</v>
      </c>
      <c r="E299" s="182" t="s">
        <v>54</v>
      </c>
      <c r="F299" s="197"/>
      <c r="G299" s="215">
        <f>SUM(G300)</f>
        <v>0</v>
      </c>
      <c r="H299" s="22">
        <f>SUM(H300+H302)</f>
        <v>9708.8</v>
      </c>
      <c r="I299" s="22">
        <f>SUM(H299/G305*100)</f>
        <v>361.3786942604034</v>
      </c>
    </row>
    <row r="300" spans="1:9" s="149" customFormat="1" ht="15" hidden="1">
      <c r="A300" s="165" t="s">
        <v>134</v>
      </c>
      <c r="B300" s="74"/>
      <c r="C300" s="114" t="s">
        <v>424</v>
      </c>
      <c r="D300" s="114" t="s">
        <v>131</v>
      </c>
      <c r="E300" s="182" t="s">
        <v>54</v>
      </c>
      <c r="F300" s="197" t="s">
        <v>135</v>
      </c>
      <c r="G300" s="215"/>
      <c r="H300" s="22">
        <v>122.5</v>
      </c>
      <c r="I300" s="22">
        <f>SUM(H300/G306*100)</f>
        <v>4.572943108854711</v>
      </c>
    </row>
    <row r="301" spans="1:9" s="149" customFormat="1" ht="21.75" customHeight="1">
      <c r="A301" s="159" t="s">
        <v>262</v>
      </c>
      <c r="B301" s="199" t="s">
        <v>263</v>
      </c>
      <c r="C301" s="187"/>
      <c r="D301" s="187"/>
      <c r="E301" s="187"/>
      <c r="F301" s="232"/>
      <c r="G301" s="222">
        <f>SUM(G302+G336+G340)+G325+G329</f>
        <v>56273.700000000004</v>
      </c>
      <c r="H301" s="22"/>
      <c r="I301" s="22"/>
    </row>
    <row r="302" spans="1:9" s="149" customFormat="1" ht="15">
      <c r="A302" s="156" t="s">
        <v>465</v>
      </c>
      <c r="B302" s="74"/>
      <c r="C302" s="114" t="s">
        <v>466</v>
      </c>
      <c r="D302" s="114"/>
      <c r="E302" s="114"/>
      <c r="F302" s="196"/>
      <c r="G302" s="215">
        <f>SUM(G303+G310+G313)</f>
        <v>26273.700000000004</v>
      </c>
      <c r="H302" s="22">
        <f>SUM(H303)</f>
        <v>9586.3</v>
      </c>
      <c r="I302" s="22">
        <f aca="true" t="shared" si="7" ref="I302:I311">SUM(H302/G308*100)</f>
        <v>59.956344441108776</v>
      </c>
    </row>
    <row r="303" spans="1:9" ht="28.5">
      <c r="A303" s="156" t="s">
        <v>395</v>
      </c>
      <c r="B303" s="74"/>
      <c r="C303" s="114" t="s">
        <v>466</v>
      </c>
      <c r="D303" s="114" t="s">
        <v>396</v>
      </c>
      <c r="E303" s="114"/>
      <c r="F303" s="196"/>
      <c r="G303" s="215">
        <f>SUM(G304)</f>
        <v>18675.4</v>
      </c>
      <c r="H303" s="22">
        <v>9586.3</v>
      </c>
      <c r="I303" s="22">
        <f t="shared" si="7"/>
        <v>59.956344441108776</v>
      </c>
    </row>
    <row r="304" spans="1:9" ht="28.5">
      <c r="A304" s="156" t="s">
        <v>99</v>
      </c>
      <c r="B304" s="74"/>
      <c r="C304" s="114" t="s">
        <v>466</v>
      </c>
      <c r="D304" s="114" t="s">
        <v>396</v>
      </c>
      <c r="E304" s="114" t="s">
        <v>100</v>
      </c>
      <c r="F304" s="196"/>
      <c r="G304" s="215">
        <f>SUM(G305)+G309</f>
        <v>18675.4</v>
      </c>
      <c r="H304" s="22" t="e">
        <f>SUM(H305)</f>
        <v>#REF!</v>
      </c>
      <c r="I304" s="22" t="e">
        <f t="shared" si="7"/>
        <v>#REF!</v>
      </c>
    </row>
    <row r="305" spans="1:9" ht="15">
      <c r="A305" s="156" t="s">
        <v>107</v>
      </c>
      <c r="B305" s="74"/>
      <c r="C305" s="114" t="s">
        <v>466</v>
      </c>
      <c r="D305" s="114" t="s">
        <v>396</v>
      </c>
      <c r="E305" s="114" t="s">
        <v>109</v>
      </c>
      <c r="F305" s="196"/>
      <c r="G305" s="215">
        <f>SUM(G306+G307)</f>
        <v>2686.6000000000004</v>
      </c>
      <c r="H305" s="22" t="e">
        <f>SUM(#REF!)</f>
        <v>#REF!</v>
      </c>
      <c r="I305" s="22" t="e">
        <f t="shared" si="7"/>
        <v>#REF!</v>
      </c>
    </row>
    <row r="306" spans="1:9" ht="28.5">
      <c r="A306" s="156" t="s">
        <v>518</v>
      </c>
      <c r="B306" s="74"/>
      <c r="C306" s="114" t="s">
        <v>108</v>
      </c>
      <c r="D306" s="114" t="s">
        <v>396</v>
      </c>
      <c r="E306" s="114" t="s">
        <v>109</v>
      </c>
      <c r="F306" s="198" t="s">
        <v>519</v>
      </c>
      <c r="G306" s="215">
        <f>2842.9-164.1</f>
        <v>2678.8</v>
      </c>
      <c r="H306" s="22" t="e">
        <f>SUM(#REF!)</f>
        <v>#REF!</v>
      </c>
      <c r="I306" s="22" t="e">
        <f t="shared" si="7"/>
        <v>#REF!</v>
      </c>
    </row>
    <row r="307" spans="1:9" s="135" customFormat="1" ht="15">
      <c r="A307" s="156" t="s">
        <v>523</v>
      </c>
      <c r="B307" s="74"/>
      <c r="C307" s="114" t="s">
        <v>466</v>
      </c>
      <c r="D307" s="114" t="s">
        <v>396</v>
      </c>
      <c r="E307" s="114" t="s">
        <v>109</v>
      </c>
      <c r="F307" s="196" t="s">
        <v>120</v>
      </c>
      <c r="G307" s="216">
        <v>7.8</v>
      </c>
      <c r="H307" s="126" t="e">
        <f>SUM(H308+#REF!+H398+#REF!)</f>
        <v>#REF!</v>
      </c>
      <c r="I307" s="22" t="e">
        <f t="shared" si="7"/>
        <v>#REF!</v>
      </c>
    </row>
    <row r="308" spans="1:9" s="146" customFormat="1" ht="28.5">
      <c r="A308" s="156" t="s">
        <v>397</v>
      </c>
      <c r="B308" s="74"/>
      <c r="C308" s="114" t="s">
        <v>108</v>
      </c>
      <c r="D308" s="114" t="s">
        <v>396</v>
      </c>
      <c r="E308" s="114" t="s">
        <v>398</v>
      </c>
      <c r="F308" s="196"/>
      <c r="G308" s="215">
        <f>SUM(G309)</f>
        <v>15988.8</v>
      </c>
      <c r="H308" s="22" t="e">
        <f>SUM(H311+H337)+H309</f>
        <v>#REF!</v>
      </c>
      <c r="I308" s="22" t="e">
        <f t="shared" si="7"/>
        <v>#REF!</v>
      </c>
    </row>
    <row r="309" spans="1:9" ht="28.5">
      <c r="A309" s="156" t="s">
        <v>518</v>
      </c>
      <c r="B309" s="74"/>
      <c r="C309" s="114" t="s">
        <v>108</v>
      </c>
      <c r="D309" s="114" t="s">
        <v>396</v>
      </c>
      <c r="E309" s="114" t="s">
        <v>398</v>
      </c>
      <c r="F309" s="198" t="s">
        <v>519</v>
      </c>
      <c r="G309" s="215">
        <v>15988.8</v>
      </c>
      <c r="H309" s="22">
        <f>SUM(H310)</f>
        <v>5048</v>
      </c>
      <c r="I309" s="22">
        <f t="shared" si="7"/>
        <v>2891.179839633448</v>
      </c>
    </row>
    <row r="310" spans="1:9" ht="15">
      <c r="A310" s="156" t="s">
        <v>412</v>
      </c>
      <c r="B310" s="74"/>
      <c r="C310" s="114" t="s">
        <v>466</v>
      </c>
      <c r="D310" s="114" t="s">
        <v>424</v>
      </c>
      <c r="E310" s="114"/>
      <c r="F310" s="196"/>
      <c r="G310" s="215">
        <f>SUM(G311)</f>
        <v>2112.2</v>
      </c>
      <c r="H310" s="22">
        <v>5048</v>
      </c>
      <c r="I310" s="22">
        <f t="shared" si="7"/>
        <v>2933.1783846600815</v>
      </c>
    </row>
    <row r="311" spans="1:9" ht="15">
      <c r="A311" s="156" t="s">
        <v>392</v>
      </c>
      <c r="B311" s="74"/>
      <c r="C311" s="114" t="s">
        <v>466</v>
      </c>
      <c r="D311" s="114" t="s">
        <v>424</v>
      </c>
      <c r="E311" s="114" t="s">
        <v>530</v>
      </c>
      <c r="F311" s="196"/>
      <c r="G311" s="215">
        <f>SUM(G312)</f>
        <v>2112.2</v>
      </c>
      <c r="H311" s="22" t="e">
        <f>SUM(H312)+#REF!+H336</f>
        <v>#REF!</v>
      </c>
      <c r="I311" s="22" t="e">
        <f t="shared" si="7"/>
        <v>#REF!</v>
      </c>
    </row>
    <row r="312" spans="1:9" ht="15">
      <c r="A312" s="156" t="s">
        <v>524</v>
      </c>
      <c r="B312" s="74"/>
      <c r="C312" s="114" t="s">
        <v>466</v>
      </c>
      <c r="D312" s="114" t="s">
        <v>424</v>
      </c>
      <c r="E312" s="114" t="s">
        <v>530</v>
      </c>
      <c r="F312" s="196" t="s">
        <v>177</v>
      </c>
      <c r="G312" s="215">
        <v>2112.2</v>
      </c>
      <c r="H312" s="22"/>
      <c r="I312" s="22"/>
    </row>
    <row r="313" spans="1:9" ht="15">
      <c r="A313" s="156" t="s">
        <v>112</v>
      </c>
      <c r="B313" s="74"/>
      <c r="C313" s="114" t="s">
        <v>466</v>
      </c>
      <c r="D313" s="114" t="s">
        <v>239</v>
      </c>
      <c r="E313" s="114"/>
      <c r="F313" s="197"/>
      <c r="G313" s="215">
        <f>SUM(G314)</f>
        <v>5486.1</v>
      </c>
      <c r="H313" s="22">
        <f>SUM(H314)</f>
        <v>0</v>
      </c>
      <c r="I313" s="22">
        <f>SUM(H313/G319*100)</f>
        <v>0</v>
      </c>
    </row>
    <row r="314" spans="1:9" ht="28.5">
      <c r="A314" s="156" t="s">
        <v>520</v>
      </c>
      <c r="B314" s="74"/>
      <c r="C314" s="114" t="s">
        <v>466</v>
      </c>
      <c r="D314" s="114" t="s">
        <v>239</v>
      </c>
      <c r="E314" s="114" t="s">
        <v>521</v>
      </c>
      <c r="F314" s="197"/>
      <c r="G314" s="216">
        <f>SUM(G315+G318+G320)</f>
        <v>5486.1</v>
      </c>
      <c r="H314" s="22"/>
      <c r="I314" s="22"/>
    </row>
    <row r="315" spans="1:9" ht="15">
      <c r="A315" s="156" t="s">
        <v>509</v>
      </c>
      <c r="B315" s="74"/>
      <c r="C315" s="114" t="s">
        <v>466</v>
      </c>
      <c r="D315" s="114" t="s">
        <v>239</v>
      </c>
      <c r="E315" s="114" t="s">
        <v>522</v>
      </c>
      <c r="F315" s="196"/>
      <c r="G315" s="216">
        <f>SUM(G316:G317)</f>
        <v>174.6</v>
      </c>
      <c r="H315" s="22" t="e">
        <f>SUM(H316+#REF!)</f>
        <v>#REF!</v>
      </c>
      <c r="I315" s="22" t="e">
        <f>SUM(H315/G321*100)</f>
        <v>#REF!</v>
      </c>
    </row>
    <row r="316" spans="1:9" ht="15">
      <c r="A316" s="156" t="s">
        <v>523</v>
      </c>
      <c r="B316" s="74"/>
      <c r="C316" s="114" t="s">
        <v>466</v>
      </c>
      <c r="D316" s="114" t="s">
        <v>239</v>
      </c>
      <c r="E316" s="114" t="s">
        <v>522</v>
      </c>
      <c r="F316" s="196" t="s">
        <v>120</v>
      </c>
      <c r="G316" s="216">
        <v>172.1</v>
      </c>
      <c r="H316" s="22" t="e">
        <f>SUM(#REF!+H321+#REF!)</f>
        <v>#REF!</v>
      </c>
      <c r="I316" s="22" t="e">
        <f>SUM(H316/G322*100)</f>
        <v>#REF!</v>
      </c>
    </row>
    <row r="317" spans="1:9" ht="15">
      <c r="A317" s="156" t="s">
        <v>524</v>
      </c>
      <c r="B317" s="74"/>
      <c r="C317" s="114" t="s">
        <v>466</v>
      </c>
      <c r="D317" s="114" t="s">
        <v>239</v>
      </c>
      <c r="E317" s="114" t="s">
        <v>522</v>
      </c>
      <c r="F317" s="196" t="s">
        <v>177</v>
      </c>
      <c r="G317" s="216">
        <v>2.5</v>
      </c>
      <c r="H317" s="22"/>
      <c r="I317" s="22"/>
    </row>
    <row r="318" spans="1:9" s="150" customFormat="1" ht="28.5">
      <c r="A318" s="156" t="s">
        <v>510</v>
      </c>
      <c r="B318" s="74"/>
      <c r="C318" s="114" t="s">
        <v>466</v>
      </c>
      <c r="D318" s="114" t="s">
        <v>239</v>
      </c>
      <c r="E318" s="114" t="s">
        <v>525</v>
      </c>
      <c r="F318" s="196"/>
      <c r="G318" s="216">
        <f>SUM(G319)</f>
        <v>200</v>
      </c>
      <c r="H318" s="22" t="e">
        <f>SUM(#REF!+H321+#REF!+#REF!+#REF!)</f>
        <v>#REF!</v>
      </c>
      <c r="I318" s="22" t="e">
        <f>SUM(H318/G336*100)</f>
        <v>#REF!</v>
      </c>
    </row>
    <row r="319" spans="1:9" ht="15">
      <c r="A319" s="156" t="s">
        <v>523</v>
      </c>
      <c r="B319" s="74"/>
      <c r="C319" s="114" t="s">
        <v>466</v>
      </c>
      <c r="D319" s="114" t="s">
        <v>239</v>
      </c>
      <c r="E319" s="114" t="s">
        <v>525</v>
      </c>
      <c r="F319" s="196" t="s">
        <v>120</v>
      </c>
      <c r="G319" s="216">
        <v>200</v>
      </c>
      <c r="H319" s="22" t="e">
        <f>SUM(#REF!)</f>
        <v>#REF!</v>
      </c>
      <c r="I319" s="22" t="e">
        <f aca="true" t="shared" si="8" ref="I319:I324">SUM(H319/G338*100)</f>
        <v>#REF!</v>
      </c>
    </row>
    <row r="320" spans="1:9" ht="28.5">
      <c r="A320" s="157" t="s">
        <v>526</v>
      </c>
      <c r="B320" s="74"/>
      <c r="C320" s="114" t="s">
        <v>466</v>
      </c>
      <c r="D320" s="114" t="s">
        <v>239</v>
      </c>
      <c r="E320" s="114" t="s">
        <v>527</v>
      </c>
      <c r="F320" s="198"/>
      <c r="G320" s="216">
        <f>SUM(G321+G322+G324)</f>
        <v>5111.5</v>
      </c>
      <c r="H320" s="22"/>
      <c r="I320" s="22" t="e">
        <f t="shared" si="8"/>
        <v>#DIV/0!</v>
      </c>
    </row>
    <row r="321" spans="1:9" ht="15">
      <c r="A321" s="156" t="s">
        <v>523</v>
      </c>
      <c r="B321" s="74"/>
      <c r="C321" s="114" t="s">
        <v>466</v>
      </c>
      <c r="D321" s="114" t="s">
        <v>239</v>
      </c>
      <c r="E321" s="114" t="s">
        <v>527</v>
      </c>
      <c r="F321" s="198" t="s">
        <v>120</v>
      </c>
      <c r="G321" s="215">
        <v>5088.7</v>
      </c>
      <c r="H321" s="22">
        <f>SUM(H322)</f>
        <v>0</v>
      </c>
      <c r="I321" s="22">
        <f t="shared" si="8"/>
        <v>0</v>
      </c>
    </row>
    <row r="322" spans="1:9" ht="15">
      <c r="A322" s="156" t="s">
        <v>524</v>
      </c>
      <c r="B322" s="74"/>
      <c r="C322" s="114" t="s">
        <v>466</v>
      </c>
      <c r="D322" s="114" t="s">
        <v>239</v>
      </c>
      <c r="E322" s="114" t="s">
        <v>527</v>
      </c>
      <c r="F322" s="198" t="s">
        <v>177</v>
      </c>
      <c r="G322" s="215">
        <f>22.8</f>
        <v>22.8</v>
      </c>
      <c r="H322" s="22">
        <f>SUM(H323)</f>
        <v>0</v>
      </c>
      <c r="I322" s="22">
        <f t="shared" si="8"/>
        <v>0</v>
      </c>
    </row>
    <row r="323" spans="1:9" ht="15" hidden="1">
      <c r="A323" s="157" t="s">
        <v>534</v>
      </c>
      <c r="B323" s="74"/>
      <c r="C323" s="114" t="s">
        <v>466</v>
      </c>
      <c r="D323" s="114" t="s">
        <v>239</v>
      </c>
      <c r="E323" s="114" t="s">
        <v>535</v>
      </c>
      <c r="F323" s="196"/>
      <c r="G323" s="215">
        <f>SUM(G324)</f>
        <v>0</v>
      </c>
      <c r="H323" s="22">
        <f>SUM(H324)</f>
        <v>0</v>
      </c>
      <c r="I323" s="22">
        <f t="shared" si="8"/>
        <v>0</v>
      </c>
    </row>
    <row r="324" spans="1:9" ht="15" hidden="1">
      <c r="A324" s="156" t="s">
        <v>524</v>
      </c>
      <c r="B324" s="74"/>
      <c r="C324" s="114" t="s">
        <v>466</v>
      </c>
      <c r="D324" s="114" t="s">
        <v>239</v>
      </c>
      <c r="E324" s="114" t="s">
        <v>535</v>
      </c>
      <c r="F324" s="196" t="s">
        <v>177</v>
      </c>
      <c r="G324" s="215"/>
      <c r="H324" s="22">
        <f>SUM(H336)</f>
        <v>0</v>
      </c>
      <c r="I324" s="22">
        <f t="shared" si="8"/>
        <v>0</v>
      </c>
    </row>
    <row r="325" spans="1:9" ht="15" hidden="1">
      <c r="A325" s="156" t="s">
        <v>121</v>
      </c>
      <c r="B325" s="74"/>
      <c r="C325" s="183" t="s">
        <v>122</v>
      </c>
      <c r="D325" s="114"/>
      <c r="E325" s="114"/>
      <c r="F325" s="196"/>
      <c r="G325" s="215">
        <f>SUM(G326)</f>
        <v>0</v>
      </c>
      <c r="H325" s="22">
        <v>50612.1</v>
      </c>
      <c r="I325" s="22" t="e">
        <f>SUM(H325/#REF!*100)</f>
        <v>#REF!</v>
      </c>
    </row>
    <row r="326" spans="1:9" ht="15" hidden="1">
      <c r="A326" s="160" t="s">
        <v>423</v>
      </c>
      <c r="B326" s="235"/>
      <c r="C326" s="183" t="s">
        <v>122</v>
      </c>
      <c r="D326" s="183" t="s">
        <v>413</v>
      </c>
      <c r="E326" s="114"/>
      <c r="F326" s="197"/>
      <c r="G326" s="215">
        <f>SUM(G327)</f>
        <v>0</v>
      </c>
      <c r="H326" s="22">
        <v>5387.8</v>
      </c>
      <c r="I326" s="22" t="e">
        <f>SUM(H326/#REF!*100)</f>
        <v>#REF!</v>
      </c>
    </row>
    <row r="327" spans="1:9" ht="15" hidden="1">
      <c r="A327" s="157" t="s">
        <v>534</v>
      </c>
      <c r="B327" s="74"/>
      <c r="C327" s="183" t="s">
        <v>122</v>
      </c>
      <c r="D327" s="183" t="s">
        <v>413</v>
      </c>
      <c r="E327" s="114" t="s">
        <v>535</v>
      </c>
      <c r="F327" s="196"/>
      <c r="G327" s="215">
        <f>SUM(G328)</f>
        <v>0</v>
      </c>
      <c r="H327" s="22"/>
      <c r="I327" s="22"/>
    </row>
    <row r="328" spans="1:9" ht="15" hidden="1">
      <c r="A328" s="156" t="s">
        <v>524</v>
      </c>
      <c r="B328" s="74"/>
      <c r="C328" s="183" t="s">
        <v>122</v>
      </c>
      <c r="D328" s="183" t="s">
        <v>413</v>
      </c>
      <c r="E328" s="114" t="s">
        <v>535</v>
      </c>
      <c r="F328" s="196" t="s">
        <v>177</v>
      </c>
      <c r="G328" s="215"/>
      <c r="H328" s="22"/>
      <c r="I328" s="22"/>
    </row>
    <row r="329" spans="1:9" ht="15" hidden="1">
      <c r="A329" s="160" t="s">
        <v>429</v>
      </c>
      <c r="B329" s="113"/>
      <c r="C329" s="182" t="s">
        <v>131</v>
      </c>
      <c r="D329" s="182"/>
      <c r="E329" s="182"/>
      <c r="F329" s="198"/>
      <c r="G329" s="220">
        <f>SUM(G330)+G333</f>
        <v>0</v>
      </c>
      <c r="H329" s="22"/>
      <c r="I329" s="22"/>
    </row>
    <row r="330" spans="1:9" ht="15" hidden="1">
      <c r="A330" s="160" t="s">
        <v>55</v>
      </c>
      <c r="B330" s="235"/>
      <c r="C330" s="183" t="s">
        <v>131</v>
      </c>
      <c r="D330" s="183" t="s">
        <v>468</v>
      </c>
      <c r="E330" s="183"/>
      <c r="F330" s="201"/>
      <c r="G330" s="213">
        <f>G331</f>
        <v>0</v>
      </c>
      <c r="H330" s="22">
        <v>9483.6</v>
      </c>
      <c r="I330" s="22" t="e">
        <f>SUM(H330/G338*100)</f>
        <v>#DIV/0!</v>
      </c>
    </row>
    <row r="331" spans="1:9" ht="15" hidden="1">
      <c r="A331" s="157" t="s">
        <v>534</v>
      </c>
      <c r="B331" s="74"/>
      <c r="C331" s="183" t="s">
        <v>131</v>
      </c>
      <c r="D331" s="183" t="s">
        <v>468</v>
      </c>
      <c r="E331" s="114" t="s">
        <v>535</v>
      </c>
      <c r="F331" s="196"/>
      <c r="G331" s="213">
        <f>G332</f>
        <v>0</v>
      </c>
      <c r="H331" s="22"/>
      <c r="I331" s="22"/>
    </row>
    <row r="332" spans="1:9" ht="15" hidden="1">
      <c r="A332" s="156" t="s">
        <v>524</v>
      </c>
      <c r="B332" s="74"/>
      <c r="C332" s="183" t="s">
        <v>131</v>
      </c>
      <c r="D332" s="183" t="s">
        <v>468</v>
      </c>
      <c r="E332" s="114" t="s">
        <v>535</v>
      </c>
      <c r="F332" s="196" t="s">
        <v>177</v>
      </c>
      <c r="G332" s="215"/>
      <c r="H332" s="22"/>
      <c r="I332" s="22"/>
    </row>
    <row r="333" spans="1:9" ht="15" hidden="1">
      <c r="A333" s="160" t="s">
        <v>64</v>
      </c>
      <c r="B333" s="239"/>
      <c r="C333" s="183" t="s">
        <v>131</v>
      </c>
      <c r="D333" s="183" t="s">
        <v>131</v>
      </c>
      <c r="E333" s="242"/>
      <c r="F333" s="243"/>
      <c r="G333" s="213">
        <f>G334</f>
        <v>0</v>
      </c>
      <c r="H333" s="22"/>
      <c r="I333" s="22"/>
    </row>
    <row r="334" spans="1:9" ht="15" hidden="1">
      <c r="A334" s="157" t="s">
        <v>534</v>
      </c>
      <c r="B334" s="74"/>
      <c r="C334" s="183" t="s">
        <v>131</v>
      </c>
      <c r="D334" s="183" t="s">
        <v>131</v>
      </c>
      <c r="E334" s="114" t="s">
        <v>535</v>
      </c>
      <c r="F334" s="196"/>
      <c r="G334" s="213">
        <f>G335</f>
        <v>0</v>
      </c>
      <c r="H334" s="22"/>
      <c r="I334" s="22"/>
    </row>
    <row r="335" spans="1:9" ht="15" hidden="1">
      <c r="A335" s="156" t="s">
        <v>524</v>
      </c>
      <c r="B335" s="74"/>
      <c r="C335" s="183" t="s">
        <v>131</v>
      </c>
      <c r="D335" s="183" t="s">
        <v>131</v>
      </c>
      <c r="E335" s="114" t="s">
        <v>535</v>
      </c>
      <c r="F335" s="196" t="s">
        <v>177</v>
      </c>
      <c r="G335" s="215"/>
      <c r="H335" s="22"/>
      <c r="I335" s="22"/>
    </row>
    <row r="336" spans="1:9" ht="15" hidden="1">
      <c r="A336" s="156" t="s">
        <v>189</v>
      </c>
      <c r="B336" s="74"/>
      <c r="C336" s="114" t="s">
        <v>5</v>
      </c>
      <c r="D336" s="114" t="s">
        <v>190</v>
      </c>
      <c r="E336" s="114"/>
      <c r="F336" s="196"/>
      <c r="G336" s="215">
        <f>SUM(G337)</f>
        <v>0</v>
      </c>
      <c r="H336" s="22">
        <f>SUM(H337)</f>
        <v>0</v>
      </c>
      <c r="I336" s="22">
        <f>SUM(H336/G344*100)</f>
        <v>0</v>
      </c>
    </row>
    <row r="337" spans="1:9" ht="15" hidden="1">
      <c r="A337" s="156" t="s">
        <v>167</v>
      </c>
      <c r="B337" s="74"/>
      <c r="C337" s="114" t="s">
        <v>5</v>
      </c>
      <c r="D337" s="114" t="s">
        <v>396</v>
      </c>
      <c r="E337" s="114"/>
      <c r="F337" s="196"/>
      <c r="G337" s="215">
        <f>SUM(G338)</f>
        <v>0</v>
      </c>
      <c r="H337" s="22"/>
      <c r="I337" s="22" t="e">
        <f>SUM(H337/#REF!*100)</f>
        <v>#REF!</v>
      </c>
    </row>
    <row r="338" spans="1:9" ht="28.5" hidden="1">
      <c r="A338" s="157" t="s">
        <v>644</v>
      </c>
      <c r="B338" s="74"/>
      <c r="C338" s="114" t="s">
        <v>5</v>
      </c>
      <c r="D338" s="114" t="s">
        <v>396</v>
      </c>
      <c r="E338" s="114" t="s">
        <v>643</v>
      </c>
      <c r="F338" s="196"/>
      <c r="G338" s="215">
        <f>SUM(G339)</f>
        <v>0</v>
      </c>
      <c r="H338" s="124" t="e">
        <f>SUM(#REF!+#REF!)+#REF!+#REF!</f>
        <v>#REF!</v>
      </c>
      <c r="I338" s="124" t="e">
        <f>SUM(H338/G345*100)</f>
        <v>#REF!</v>
      </c>
    </row>
    <row r="339" spans="1:9" ht="15" hidden="1">
      <c r="A339" s="156" t="s">
        <v>524</v>
      </c>
      <c r="B339" s="74"/>
      <c r="C339" s="114" t="s">
        <v>5</v>
      </c>
      <c r="D339" s="114" t="s">
        <v>396</v>
      </c>
      <c r="E339" s="114" t="s">
        <v>643</v>
      </c>
      <c r="F339" s="196" t="s">
        <v>177</v>
      </c>
      <c r="G339" s="215"/>
      <c r="H339" s="22" t="e">
        <f>SUM(H340)</f>
        <v>#REF!</v>
      </c>
      <c r="I339" s="22" t="e">
        <f>SUM(H339/#REF!*100)</f>
        <v>#REF!</v>
      </c>
    </row>
    <row r="340" spans="1:9" ht="15">
      <c r="A340" s="156" t="s">
        <v>407</v>
      </c>
      <c r="B340" s="74"/>
      <c r="C340" s="114" t="s">
        <v>239</v>
      </c>
      <c r="D340" s="114" t="s">
        <v>190</v>
      </c>
      <c r="E340" s="114"/>
      <c r="F340" s="196"/>
      <c r="G340" s="215">
        <f>SUM(G341)</f>
        <v>30000</v>
      </c>
      <c r="H340" s="22" t="e">
        <f>SUM(H341+H343)</f>
        <v>#REF!</v>
      </c>
      <c r="I340" s="22" t="e">
        <f>SUM(H340/#REF!*100)</f>
        <v>#REF!</v>
      </c>
    </row>
    <row r="341" spans="1:9" ht="15">
      <c r="A341" s="156" t="s">
        <v>240</v>
      </c>
      <c r="B341" s="74"/>
      <c r="C341" s="114" t="s">
        <v>239</v>
      </c>
      <c r="D341" s="114" t="s">
        <v>466</v>
      </c>
      <c r="E341" s="114"/>
      <c r="F341" s="196"/>
      <c r="G341" s="215">
        <f>SUM(G342)</f>
        <v>30000</v>
      </c>
      <c r="H341" s="22">
        <f>SUM(H342)</f>
        <v>8068.7</v>
      </c>
      <c r="I341" s="22" t="e">
        <f>SUM(H341/#REF!*100)</f>
        <v>#REF!</v>
      </c>
    </row>
    <row r="342" spans="1:9" ht="15">
      <c r="A342" s="156" t="s">
        <v>408</v>
      </c>
      <c r="B342" s="74"/>
      <c r="C342" s="114" t="s">
        <v>239</v>
      </c>
      <c r="D342" s="114" t="s">
        <v>466</v>
      </c>
      <c r="E342" s="114" t="s">
        <v>409</v>
      </c>
      <c r="F342" s="198"/>
      <c r="G342" s="215">
        <f>SUM(G344)</f>
        <v>30000</v>
      </c>
      <c r="H342" s="22">
        <v>8068.7</v>
      </c>
      <c r="I342" s="22" t="e">
        <f>SUM(H342/#REF!*100)</f>
        <v>#REF!</v>
      </c>
    </row>
    <row r="343" spans="1:9" ht="15">
      <c r="A343" s="156" t="s">
        <v>410</v>
      </c>
      <c r="B343" s="74"/>
      <c r="C343" s="114" t="s">
        <v>239</v>
      </c>
      <c r="D343" s="114" t="s">
        <v>466</v>
      </c>
      <c r="E343" s="114" t="s">
        <v>411</v>
      </c>
      <c r="F343" s="198"/>
      <c r="G343" s="215">
        <f>SUM(G344)</f>
        <v>30000</v>
      </c>
      <c r="H343" s="22" t="e">
        <f>SUM(H344)+#REF!+#REF!</f>
        <v>#REF!</v>
      </c>
      <c r="I343" s="22" t="e">
        <f>SUM(H343/#REF!*100)</f>
        <v>#REF!</v>
      </c>
    </row>
    <row r="344" spans="1:9" ht="15">
      <c r="A344" s="156" t="s">
        <v>531</v>
      </c>
      <c r="B344" s="74"/>
      <c r="C344" s="114" t="s">
        <v>239</v>
      </c>
      <c r="D344" s="114" t="s">
        <v>466</v>
      </c>
      <c r="E344" s="114" t="s">
        <v>411</v>
      </c>
      <c r="F344" s="198" t="s">
        <v>176</v>
      </c>
      <c r="G344" s="215">
        <v>30000</v>
      </c>
      <c r="H344" s="22" t="e">
        <f>SUM(H345+#REF!)</f>
        <v>#REF!</v>
      </c>
      <c r="I344" s="22" t="e">
        <f>SUM(H344/#REF!*100)</f>
        <v>#REF!</v>
      </c>
    </row>
    <row r="345" spans="1:9" ht="30">
      <c r="A345" s="159" t="s">
        <v>264</v>
      </c>
      <c r="B345" s="199" t="s">
        <v>265</v>
      </c>
      <c r="C345" s="187"/>
      <c r="D345" s="187"/>
      <c r="E345" s="187"/>
      <c r="F345" s="232"/>
      <c r="G345" s="222">
        <f>SUM(G346+G355+G383)</f>
        <v>950763.9000000001</v>
      </c>
      <c r="H345" s="22" t="e">
        <f>SUM(H346:H346+#REF!+#REF!+#REF!)+#REF!</f>
        <v>#REF!</v>
      </c>
      <c r="I345" s="22" t="e">
        <f>SUM(H345/#REF!*100)</f>
        <v>#REF!</v>
      </c>
    </row>
    <row r="346" spans="1:9" ht="15">
      <c r="A346" s="156" t="s">
        <v>121</v>
      </c>
      <c r="B346" s="74"/>
      <c r="C346" s="183" t="s">
        <v>122</v>
      </c>
      <c r="D346" s="114"/>
      <c r="E346" s="114"/>
      <c r="F346" s="196"/>
      <c r="G346" s="215">
        <f>SUM(G350+G347)</f>
        <v>6715.8</v>
      </c>
      <c r="H346" s="22">
        <v>50612.1</v>
      </c>
      <c r="I346" s="22" t="e">
        <f>SUM(H346/#REF!*100)</f>
        <v>#REF!</v>
      </c>
    </row>
    <row r="347" spans="1:9" ht="15">
      <c r="A347" s="339" t="s">
        <v>123</v>
      </c>
      <c r="B347" s="359"/>
      <c r="C347" s="280" t="s">
        <v>122</v>
      </c>
      <c r="D347" s="280" t="s">
        <v>124</v>
      </c>
      <c r="E347" s="280"/>
      <c r="F347" s="363"/>
      <c r="G347" s="215">
        <f>SUM(G348)</f>
        <v>4100</v>
      </c>
      <c r="H347" s="22"/>
      <c r="I347" s="22"/>
    </row>
    <row r="348" spans="1:9" ht="15">
      <c r="A348" s="339" t="s">
        <v>6</v>
      </c>
      <c r="B348" s="359"/>
      <c r="C348" s="280" t="s">
        <v>122</v>
      </c>
      <c r="D348" s="280" t="s">
        <v>124</v>
      </c>
      <c r="E348" s="279" t="s">
        <v>696</v>
      </c>
      <c r="F348" s="354"/>
      <c r="G348" s="215">
        <f>SUM(G349)</f>
        <v>4100</v>
      </c>
      <c r="H348" s="22"/>
      <c r="I348" s="22"/>
    </row>
    <row r="349" spans="1:9" ht="15">
      <c r="A349" s="156" t="s">
        <v>524</v>
      </c>
      <c r="B349" s="74"/>
      <c r="C349" s="280" t="s">
        <v>122</v>
      </c>
      <c r="D349" s="280" t="s">
        <v>124</v>
      </c>
      <c r="E349" s="279" t="s">
        <v>696</v>
      </c>
      <c r="F349" s="354" t="s">
        <v>177</v>
      </c>
      <c r="G349" s="215">
        <v>4100</v>
      </c>
      <c r="H349" s="22"/>
      <c r="I349" s="22"/>
    </row>
    <row r="350" spans="1:9" ht="15">
      <c r="A350" s="160" t="s">
        <v>423</v>
      </c>
      <c r="B350" s="235"/>
      <c r="C350" s="183" t="s">
        <v>122</v>
      </c>
      <c r="D350" s="183" t="s">
        <v>413</v>
      </c>
      <c r="E350" s="114"/>
      <c r="F350" s="197"/>
      <c r="G350" s="215">
        <f>SUM(G351)</f>
        <v>2615.8</v>
      </c>
      <c r="H350" s="22">
        <v>5387.8</v>
      </c>
      <c r="I350" s="22" t="e">
        <f>SUM(H350/#REF!*100)</f>
        <v>#REF!</v>
      </c>
    </row>
    <row r="351" spans="1:9" ht="15">
      <c r="A351" s="160" t="s">
        <v>425</v>
      </c>
      <c r="B351" s="74"/>
      <c r="C351" s="183" t="s">
        <v>122</v>
      </c>
      <c r="D351" s="183" t="s">
        <v>413</v>
      </c>
      <c r="E351" s="182" t="s">
        <v>426</v>
      </c>
      <c r="F351" s="197"/>
      <c r="G351" s="215">
        <f>SUM(G352)</f>
        <v>2615.8</v>
      </c>
      <c r="H351" s="22" t="e">
        <f>SUM(H352)</f>
        <v>#REF!</v>
      </c>
      <c r="I351" s="22" t="e">
        <f>SUM(H351/#REF!*100)</f>
        <v>#REF!</v>
      </c>
    </row>
    <row r="352" spans="1:9" ht="15">
      <c r="A352" s="160" t="s">
        <v>15</v>
      </c>
      <c r="B352" s="235"/>
      <c r="C352" s="183" t="s">
        <v>122</v>
      </c>
      <c r="D352" s="183" t="s">
        <v>413</v>
      </c>
      <c r="E352" s="183" t="s">
        <v>641</v>
      </c>
      <c r="F352" s="201"/>
      <c r="G352" s="213">
        <f>SUM(G353)</f>
        <v>2615.8</v>
      </c>
      <c r="H352" s="22" t="e">
        <f>SUM(H353)</f>
        <v>#REF!</v>
      </c>
      <c r="I352" s="22" t="e">
        <f>SUM(H352/#REF!*100)</f>
        <v>#REF!</v>
      </c>
    </row>
    <row r="353" spans="1:9" ht="28.5">
      <c r="A353" s="160" t="s">
        <v>206</v>
      </c>
      <c r="B353" s="235"/>
      <c r="C353" s="183" t="s">
        <v>122</v>
      </c>
      <c r="D353" s="183" t="s">
        <v>413</v>
      </c>
      <c r="E353" s="183" t="s">
        <v>642</v>
      </c>
      <c r="F353" s="201"/>
      <c r="G353" s="213">
        <f>G354</f>
        <v>2615.8</v>
      </c>
      <c r="H353" s="22" t="e">
        <f>SUM(#REF!+#REF!)</f>
        <v>#REF!</v>
      </c>
      <c r="I353" s="22" t="e">
        <f>SUM(H353/#REF!*100)</f>
        <v>#REF!</v>
      </c>
    </row>
    <row r="354" spans="1:9" ht="28.5">
      <c r="A354" s="160" t="s">
        <v>547</v>
      </c>
      <c r="B354" s="235"/>
      <c r="C354" s="183" t="s">
        <v>122</v>
      </c>
      <c r="D354" s="183" t="s">
        <v>413</v>
      </c>
      <c r="E354" s="183" t="s">
        <v>642</v>
      </c>
      <c r="F354" s="201" t="s">
        <v>536</v>
      </c>
      <c r="G354" s="213">
        <v>2615.8</v>
      </c>
      <c r="H354" s="22">
        <v>1711.3</v>
      </c>
      <c r="I354" s="22" t="e">
        <f>SUM(H354/#REF!*100)</f>
        <v>#REF!</v>
      </c>
    </row>
    <row r="355" spans="1:9" ht="15">
      <c r="A355" s="156" t="s">
        <v>116</v>
      </c>
      <c r="B355" s="74"/>
      <c r="C355" s="114" t="s">
        <v>117</v>
      </c>
      <c r="D355" s="114"/>
      <c r="E355" s="114"/>
      <c r="F355" s="196"/>
      <c r="G355" s="215">
        <f>SUM(G356+G376)</f>
        <v>62934.40000000001</v>
      </c>
      <c r="H355" s="22">
        <v>53118.9</v>
      </c>
      <c r="I355" s="22" t="e">
        <f>SUM(H355/G362*100)</f>
        <v>#DIV/0!</v>
      </c>
    </row>
    <row r="356" spans="1:9" ht="15">
      <c r="A356" s="156" t="s">
        <v>347</v>
      </c>
      <c r="B356" s="74"/>
      <c r="C356" s="182" t="s">
        <v>117</v>
      </c>
      <c r="D356" s="182" t="s">
        <v>468</v>
      </c>
      <c r="E356" s="114"/>
      <c r="F356" s="196"/>
      <c r="G356" s="215">
        <f>SUM(G357+G360+G363+G373)</f>
        <v>62934.40000000001</v>
      </c>
      <c r="H356" s="22">
        <v>27.5</v>
      </c>
      <c r="I356" s="22" t="e">
        <f>SUM(H356/G367*100)</f>
        <v>#DIV/0!</v>
      </c>
    </row>
    <row r="357" spans="1:9" ht="15" hidden="1">
      <c r="A357" s="156" t="s">
        <v>348</v>
      </c>
      <c r="B357" s="199"/>
      <c r="C357" s="182" t="s">
        <v>117</v>
      </c>
      <c r="D357" s="182" t="s">
        <v>468</v>
      </c>
      <c r="E357" s="182" t="s">
        <v>349</v>
      </c>
      <c r="F357" s="197"/>
      <c r="G357" s="215">
        <f>SUM(G358)</f>
        <v>0</v>
      </c>
      <c r="H357" s="22">
        <f>SUM(H358)</f>
        <v>25635</v>
      </c>
      <c r="I357" s="22">
        <f>SUM(H357/G368*100)</f>
        <v>40.732890120506426</v>
      </c>
    </row>
    <row r="358" spans="1:9" ht="28.5" hidden="1">
      <c r="A358" s="156" t="s">
        <v>56</v>
      </c>
      <c r="B358" s="199"/>
      <c r="C358" s="182" t="s">
        <v>117</v>
      </c>
      <c r="D358" s="182" t="s">
        <v>468</v>
      </c>
      <c r="E358" s="182" t="s">
        <v>350</v>
      </c>
      <c r="F358" s="197"/>
      <c r="G358" s="215">
        <f>SUM(G359)</f>
        <v>0</v>
      </c>
      <c r="H358" s="22">
        <v>25635</v>
      </c>
      <c r="I358" s="22">
        <f>SUM(H358/G369*100)</f>
        <v>58.86905281335972</v>
      </c>
    </row>
    <row r="359" spans="1:9" ht="15" hidden="1">
      <c r="A359" s="162" t="s">
        <v>57</v>
      </c>
      <c r="B359" s="206"/>
      <c r="C359" s="182" t="s">
        <v>117</v>
      </c>
      <c r="D359" s="182" t="s">
        <v>468</v>
      </c>
      <c r="E359" s="182" t="s">
        <v>350</v>
      </c>
      <c r="F359" s="198" t="s">
        <v>250</v>
      </c>
      <c r="G359" s="215"/>
      <c r="H359" s="22" t="e">
        <f>SUM(H360)</f>
        <v>#REF!</v>
      </c>
      <c r="I359" s="22" t="e">
        <f aca="true" t="shared" si="9" ref="I359:I366">SUM(H359/G373*100)</f>
        <v>#REF!</v>
      </c>
    </row>
    <row r="360" spans="1:9" ht="15" hidden="1">
      <c r="A360" s="156" t="s">
        <v>324</v>
      </c>
      <c r="B360" s="74"/>
      <c r="C360" s="182" t="s">
        <v>117</v>
      </c>
      <c r="D360" s="182" t="s">
        <v>468</v>
      </c>
      <c r="E360" s="182" t="s">
        <v>325</v>
      </c>
      <c r="F360" s="197"/>
      <c r="G360" s="215">
        <f>SUM(G361)</f>
        <v>0</v>
      </c>
      <c r="H360" s="22" t="e">
        <f>SUM(#REF!+H363+H365)</f>
        <v>#REF!</v>
      </c>
      <c r="I360" s="22" t="e">
        <f t="shared" si="9"/>
        <v>#REF!</v>
      </c>
    </row>
    <row r="361" spans="1:9" ht="28.5" hidden="1">
      <c r="A361" s="156" t="s">
        <v>56</v>
      </c>
      <c r="B361" s="199"/>
      <c r="C361" s="182" t="s">
        <v>117</v>
      </c>
      <c r="D361" s="182" t="s">
        <v>468</v>
      </c>
      <c r="E361" s="182" t="s">
        <v>326</v>
      </c>
      <c r="F361" s="197"/>
      <c r="G361" s="215">
        <f>SUM(G362)</f>
        <v>0</v>
      </c>
      <c r="H361" s="22">
        <v>25635</v>
      </c>
      <c r="I361" s="22" t="e">
        <f t="shared" si="9"/>
        <v>#DIV/0!</v>
      </c>
    </row>
    <row r="362" spans="1:9" ht="15" hidden="1">
      <c r="A362" s="162" t="s">
        <v>57</v>
      </c>
      <c r="B362" s="206"/>
      <c r="C362" s="182" t="s">
        <v>117</v>
      </c>
      <c r="D362" s="182" t="s">
        <v>468</v>
      </c>
      <c r="E362" s="182" t="s">
        <v>326</v>
      </c>
      <c r="F362" s="198" t="s">
        <v>250</v>
      </c>
      <c r="G362" s="215"/>
      <c r="H362" s="22">
        <f>SUM(H376+H363)</f>
        <v>0</v>
      </c>
      <c r="I362" s="22" t="e">
        <f t="shared" si="9"/>
        <v>#DIV/0!</v>
      </c>
    </row>
    <row r="363" spans="1:9" ht="15">
      <c r="A363" s="156" t="s">
        <v>327</v>
      </c>
      <c r="B363" s="74"/>
      <c r="C363" s="182" t="s">
        <v>117</v>
      </c>
      <c r="D363" s="182" t="s">
        <v>468</v>
      </c>
      <c r="E363" s="182" t="s">
        <v>328</v>
      </c>
      <c r="F363" s="196"/>
      <c r="G363" s="215">
        <f>SUM(G364)</f>
        <v>62934.40000000001</v>
      </c>
      <c r="H363" s="22">
        <f>SUM(H364)</f>
        <v>0</v>
      </c>
      <c r="I363" s="22" t="e">
        <f t="shared" si="9"/>
        <v>#DIV/0!</v>
      </c>
    </row>
    <row r="364" spans="1:9" ht="28.5">
      <c r="A364" s="156" t="s">
        <v>56</v>
      </c>
      <c r="B364" s="74"/>
      <c r="C364" s="182" t="s">
        <v>117</v>
      </c>
      <c r="D364" s="182" t="s">
        <v>468</v>
      </c>
      <c r="E364" s="182" t="s">
        <v>329</v>
      </c>
      <c r="F364" s="196"/>
      <c r="G364" s="215">
        <f>SUM(G368+G366+G365)</f>
        <v>62934.40000000001</v>
      </c>
      <c r="H364" s="22">
        <f>SUM(H365)</f>
        <v>0</v>
      </c>
      <c r="I364" s="22" t="e">
        <f t="shared" si="9"/>
        <v>#DIV/0!</v>
      </c>
    </row>
    <row r="365" spans="1:9" ht="15" hidden="1">
      <c r="A365" s="162" t="s">
        <v>57</v>
      </c>
      <c r="B365" s="74"/>
      <c r="C365" s="182" t="s">
        <v>117</v>
      </c>
      <c r="D365" s="182" t="s">
        <v>468</v>
      </c>
      <c r="E365" s="114" t="s">
        <v>329</v>
      </c>
      <c r="F365" s="197" t="s">
        <v>250</v>
      </c>
      <c r="G365" s="215"/>
      <c r="H365" s="22"/>
      <c r="I365" s="22" t="e">
        <f t="shared" si="9"/>
        <v>#DIV/0!</v>
      </c>
    </row>
    <row r="366" spans="1:9" ht="42.75" hidden="1">
      <c r="A366" s="162" t="s">
        <v>62</v>
      </c>
      <c r="B366" s="206"/>
      <c r="C366" s="182" t="s">
        <v>117</v>
      </c>
      <c r="D366" s="182" t="s">
        <v>468</v>
      </c>
      <c r="E366" s="182" t="s">
        <v>330</v>
      </c>
      <c r="F366" s="198"/>
      <c r="G366" s="215">
        <f>SUM(G367)</f>
        <v>0</v>
      </c>
      <c r="H366" s="22" t="e">
        <f>SUM(#REF!)</f>
        <v>#REF!</v>
      </c>
      <c r="I366" s="22" t="e">
        <f t="shared" si="9"/>
        <v>#REF!</v>
      </c>
    </row>
    <row r="367" spans="1:9" ht="15" hidden="1">
      <c r="A367" s="162" t="s">
        <v>57</v>
      </c>
      <c r="B367" s="206"/>
      <c r="C367" s="182" t="s">
        <v>117</v>
      </c>
      <c r="D367" s="182" t="s">
        <v>468</v>
      </c>
      <c r="E367" s="182" t="s">
        <v>330</v>
      </c>
      <c r="F367" s="198" t="s">
        <v>250</v>
      </c>
      <c r="G367" s="215"/>
      <c r="H367" s="22"/>
      <c r="I367" s="22"/>
    </row>
    <row r="368" spans="1:9" ht="57">
      <c r="A368" s="156" t="s">
        <v>486</v>
      </c>
      <c r="B368" s="74"/>
      <c r="C368" s="182" t="s">
        <v>117</v>
      </c>
      <c r="D368" s="182" t="s">
        <v>468</v>
      </c>
      <c r="E368" s="182" t="s">
        <v>333</v>
      </c>
      <c r="F368" s="196"/>
      <c r="G368" s="215">
        <f>SUM(G369:G372)</f>
        <v>62934.40000000001</v>
      </c>
      <c r="H368" s="22"/>
      <c r="I368" s="22"/>
    </row>
    <row r="369" spans="1:9" ht="28.5">
      <c r="A369" s="156" t="s">
        <v>518</v>
      </c>
      <c r="B369" s="74"/>
      <c r="C369" s="182" t="s">
        <v>117</v>
      </c>
      <c r="D369" s="182" t="s">
        <v>468</v>
      </c>
      <c r="E369" s="182" t="s">
        <v>333</v>
      </c>
      <c r="F369" s="196" t="s">
        <v>519</v>
      </c>
      <c r="G369" s="215">
        <v>43545.8</v>
      </c>
      <c r="H369" s="22" t="e">
        <f>SUM(H376+H380+#REF!+#REF!+H373)</f>
        <v>#REF!</v>
      </c>
      <c r="I369" s="22" t="e">
        <f>SUM(H369/#REF!*100)</f>
        <v>#REF!</v>
      </c>
    </row>
    <row r="370" spans="1:9" ht="15">
      <c r="A370" s="156" t="s">
        <v>523</v>
      </c>
      <c r="B370" s="74"/>
      <c r="C370" s="182" t="s">
        <v>117</v>
      </c>
      <c r="D370" s="182" t="s">
        <v>468</v>
      </c>
      <c r="E370" s="182" t="s">
        <v>333</v>
      </c>
      <c r="F370" s="196" t="s">
        <v>120</v>
      </c>
      <c r="G370" s="215">
        <v>18694.8</v>
      </c>
      <c r="H370" s="22"/>
      <c r="I370" s="22"/>
    </row>
    <row r="371" spans="1:9" ht="15">
      <c r="A371" s="156" t="s">
        <v>528</v>
      </c>
      <c r="B371" s="74"/>
      <c r="C371" s="182" t="s">
        <v>117</v>
      </c>
      <c r="D371" s="182" t="s">
        <v>468</v>
      </c>
      <c r="E371" s="182" t="s">
        <v>333</v>
      </c>
      <c r="F371" s="196" t="s">
        <v>529</v>
      </c>
      <c r="G371" s="215">
        <v>16.8</v>
      </c>
      <c r="H371" s="22"/>
      <c r="I371" s="22"/>
    </row>
    <row r="372" spans="1:9" ht="15">
      <c r="A372" s="156" t="s">
        <v>524</v>
      </c>
      <c r="B372" s="74"/>
      <c r="C372" s="182" t="s">
        <v>117</v>
      </c>
      <c r="D372" s="182" t="s">
        <v>468</v>
      </c>
      <c r="E372" s="182" t="s">
        <v>333</v>
      </c>
      <c r="F372" s="196" t="s">
        <v>177</v>
      </c>
      <c r="G372" s="215">
        <v>677</v>
      </c>
      <c r="H372" s="22"/>
      <c r="I372" s="22"/>
    </row>
    <row r="373" spans="1:9" ht="15" hidden="1">
      <c r="A373" s="156" t="s">
        <v>334</v>
      </c>
      <c r="B373" s="113"/>
      <c r="C373" s="182" t="s">
        <v>117</v>
      </c>
      <c r="D373" s="182" t="s">
        <v>468</v>
      </c>
      <c r="E373" s="182" t="s">
        <v>335</v>
      </c>
      <c r="F373" s="197"/>
      <c r="G373" s="215">
        <f>SUM(G374)</f>
        <v>0</v>
      </c>
      <c r="H373" s="22">
        <f>SUM(H374)</f>
        <v>17823.6</v>
      </c>
      <c r="I373" s="22" t="e">
        <f>SUM(H373/#REF!*100)</f>
        <v>#REF!</v>
      </c>
    </row>
    <row r="374" spans="1:9" ht="28.5" hidden="1">
      <c r="A374" s="156" t="s">
        <v>56</v>
      </c>
      <c r="B374" s="199"/>
      <c r="C374" s="182" t="s">
        <v>117</v>
      </c>
      <c r="D374" s="182" t="s">
        <v>468</v>
      </c>
      <c r="E374" s="182" t="s">
        <v>336</v>
      </c>
      <c r="F374" s="197"/>
      <c r="G374" s="215">
        <f>SUM(G375)</f>
        <v>0</v>
      </c>
      <c r="H374" s="22">
        <f>SUM(H375+H376+H378)</f>
        <v>17823.6</v>
      </c>
      <c r="I374" s="22" t="e">
        <f>SUM(H374/#REF!*100)</f>
        <v>#REF!</v>
      </c>
    </row>
    <row r="375" spans="1:9" ht="15" hidden="1">
      <c r="A375" s="162" t="s">
        <v>57</v>
      </c>
      <c r="B375" s="74"/>
      <c r="C375" s="182" t="s">
        <v>117</v>
      </c>
      <c r="D375" s="182" t="s">
        <v>468</v>
      </c>
      <c r="E375" s="182" t="s">
        <v>336</v>
      </c>
      <c r="F375" s="196" t="s">
        <v>250</v>
      </c>
      <c r="G375" s="215"/>
      <c r="H375" s="22">
        <v>17823.6</v>
      </c>
      <c r="I375" s="22" t="e">
        <f>SUM(H375/#REF!*100)</f>
        <v>#REF!</v>
      </c>
    </row>
    <row r="376" spans="1:9" ht="15" hidden="1">
      <c r="A376" s="156" t="s">
        <v>118</v>
      </c>
      <c r="B376" s="74"/>
      <c r="C376" s="114" t="s">
        <v>117</v>
      </c>
      <c r="D376" s="114" t="s">
        <v>117</v>
      </c>
      <c r="E376" s="182"/>
      <c r="F376" s="196"/>
      <c r="G376" s="215">
        <f>SUM(G377+G380)</f>
        <v>0</v>
      </c>
      <c r="H376" s="22">
        <f>SUM(H377)</f>
        <v>0</v>
      </c>
      <c r="I376" s="22" t="e">
        <f>SUM(H376/#REF!*100)</f>
        <v>#REF!</v>
      </c>
    </row>
    <row r="377" spans="1:9" ht="15" hidden="1">
      <c r="A377" s="160" t="s">
        <v>228</v>
      </c>
      <c r="B377" s="113"/>
      <c r="C377" s="182" t="s">
        <v>117</v>
      </c>
      <c r="D377" s="182" t="s">
        <v>117</v>
      </c>
      <c r="E377" s="182" t="s">
        <v>229</v>
      </c>
      <c r="F377" s="197"/>
      <c r="G377" s="215">
        <f>SUM(G378)</f>
        <v>0</v>
      </c>
      <c r="H377" s="22">
        <f>SUM(H378)</f>
        <v>0</v>
      </c>
      <c r="I377" s="22" t="e">
        <f>SUM(H377/#REF!*100)</f>
        <v>#REF!</v>
      </c>
    </row>
    <row r="378" spans="1:9" s="150" customFormat="1" ht="28.5" hidden="1">
      <c r="A378" s="156" t="s">
        <v>56</v>
      </c>
      <c r="B378" s="113"/>
      <c r="C378" s="182" t="s">
        <v>117</v>
      </c>
      <c r="D378" s="182" t="s">
        <v>117</v>
      </c>
      <c r="E378" s="182" t="s">
        <v>232</v>
      </c>
      <c r="F378" s="197"/>
      <c r="G378" s="215">
        <f>SUM(G379)</f>
        <v>0</v>
      </c>
      <c r="H378" s="22"/>
      <c r="I378" s="22" t="e">
        <f>SUM(H378/#REF!*100)</f>
        <v>#REF!</v>
      </c>
    </row>
    <row r="379" spans="1:9" s="150" customFormat="1" ht="15" hidden="1">
      <c r="A379" s="162" t="s">
        <v>57</v>
      </c>
      <c r="B379" s="113"/>
      <c r="C379" s="182" t="s">
        <v>117</v>
      </c>
      <c r="D379" s="182" t="s">
        <v>117</v>
      </c>
      <c r="E379" s="182" t="s">
        <v>232</v>
      </c>
      <c r="F379" s="197" t="s">
        <v>250</v>
      </c>
      <c r="G379" s="215"/>
      <c r="H379" s="22">
        <f>SUM(H380)</f>
        <v>119.8</v>
      </c>
      <c r="I379" s="22" t="e">
        <f>SUM(H379/#REF!*100)</f>
        <v>#REF!</v>
      </c>
    </row>
    <row r="380" spans="1:9" s="150" customFormat="1" ht="15" hidden="1">
      <c r="A380" s="162" t="s">
        <v>128</v>
      </c>
      <c r="B380" s="207"/>
      <c r="C380" s="182" t="s">
        <v>117</v>
      </c>
      <c r="D380" s="182" t="s">
        <v>117</v>
      </c>
      <c r="E380" s="182" t="s">
        <v>129</v>
      </c>
      <c r="F380" s="198"/>
      <c r="G380" s="215">
        <f>SUM(G381)</f>
        <v>0</v>
      </c>
      <c r="H380" s="22">
        <f>SUM(H381)</f>
        <v>119.8</v>
      </c>
      <c r="I380" s="22" t="e">
        <f>SUM(H380/#REF!*100)</f>
        <v>#REF!</v>
      </c>
    </row>
    <row r="381" spans="1:9" s="150" customFormat="1" ht="42.75" hidden="1">
      <c r="A381" s="165" t="s">
        <v>374</v>
      </c>
      <c r="B381" s="207"/>
      <c r="C381" s="182" t="s">
        <v>117</v>
      </c>
      <c r="D381" s="182" t="s">
        <v>117</v>
      </c>
      <c r="E381" s="182" t="s">
        <v>373</v>
      </c>
      <c r="F381" s="198"/>
      <c r="G381" s="215">
        <f>SUM(G382)</f>
        <v>0</v>
      </c>
      <c r="H381" s="22">
        <v>119.8</v>
      </c>
      <c r="I381" s="22" t="e">
        <f>SUM(H381/#REF!*100)</f>
        <v>#REF!</v>
      </c>
    </row>
    <row r="382" spans="1:9" ht="15" hidden="1">
      <c r="A382" s="162" t="s">
        <v>226</v>
      </c>
      <c r="B382" s="207"/>
      <c r="C382" s="182" t="s">
        <v>117</v>
      </c>
      <c r="D382" s="182" t="s">
        <v>117</v>
      </c>
      <c r="E382" s="182" t="s">
        <v>373</v>
      </c>
      <c r="F382" s="198" t="s">
        <v>227</v>
      </c>
      <c r="G382" s="215"/>
      <c r="H382" s="22" t="e">
        <f>SUM(#REF!+H388)</f>
        <v>#REF!</v>
      </c>
      <c r="I382" s="22" t="e">
        <f>SUM(H382/#REF!*100)</f>
        <v>#REF!</v>
      </c>
    </row>
    <row r="383" spans="1:9" ht="15">
      <c r="A383" s="156" t="s">
        <v>189</v>
      </c>
      <c r="B383" s="74"/>
      <c r="C383" s="114" t="s">
        <v>5</v>
      </c>
      <c r="D383" s="114"/>
      <c r="E383" s="114"/>
      <c r="F383" s="196"/>
      <c r="G383" s="215">
        <f>SUM(G384+G388+G402+G470+G482)</f>
        <v>881113.7000000001</v>
      </c>
      <c r="H383" s="22" t="e">
        <f>SUM(H384+H386)</f>
        <v>#REF!</v>
      </c>
      <c r="I383" s="22" t="e">
        <f>SUM(H383/G394*100)</f>
        <v>#REF!</v>
      </c>
    </row>
    <row r="384" spans="1:9" ht="15">
      <c r="A384" s="156" t="s">
        <v>191</v>
      </c>
      <c r="B384" s="74"/>
      <c r="C384" s="114" t="s">
        <v>5</v>
      </c>
      <c r="D384" s="114" t="s">
        <v>466</v>
      </c>
      <c r="E384" s="114"/>
      <c r="F384" s="196"/>
      <c r="G384" s="215">
        <f>SUM(G385)</f>
        <v>4032.6</v>
      </c>
      <c r="H384" s="22" t="e">
        <f>SUM(#REF!)</f>
        <v>#REF!</v>
      </c>
      <c r="I384" s="22" t="e">
        <f>SUM(H384/G395*100)</f>
        <v>#REF!</v>
      </c>
    </row>
    <row r="385" spans="1:9" ht="15">
      <c r="A385" s="156" t="s">
        <v>192</v>
      </c>
      <c r="B385" s="74"/>
      <c r="C385" s="114" t="s">
        <v>5</v>
      </c>
      <c r="D385" s="114" t="s">
        <v>466</v>
      </c>
      <c r="E385" s="114" t="s">
        <v>193</v>
      </c>
      <c r="F385" s="196"/>
      <c r="G385" s="215">
        <f>SUM(G386)</f>
        <v>4032.6</v>
      </c>
      <c r="H385" s="22"/>
      <c r="I385" s="22"/>
    </row>
    <row r="386" spans="1:9" ht="28.5">
      <c r="A386" s="156" t="s">
        <v>194</v>
      </c>
      <c r="B386" s="74"/>
      <c r="C386" s="114" t="s">
        <v>5</v>
      </c>
      <c r="D386" s="114" t="s">
        <v>466</v>
      </c>
      <c r="E386" s="114" t="s">
        <v>195</v>
      </c>
      <c r="F386" s="196"/>
      <c r="G386" s="215">
        <f>SUM(G387)</f>
        <v>4032.6</v>
      </c>
      <c r="H386" s="22">
        <f>SUM(H387)</f>
        <v>16618.3</v>
      </c>
      <c r="I386" s="22">
        <f>SUM(H386/G398*100)</f>
        <v>35.542528140713195</v>
      </c>
    </row>
    <row r="387" spans="1:9" ht="15">
      <c r="A387" s="156" t="s">
        <v>528</v>
      </c>
      <c r="B387" s="74"/>
      <c r="C387" s="114" t="s">
        <v>5</v>
      </c>
      <c r="D387" s="114" t="s">
        <v>466</v>
      </c>
      <c r="E387" s="114" t="s">
        <v>195</v>
      </c>
      <c r="F387" s="196" t="s">
        <v>529</v>
      </c>
      <c r="G387" s="215">
        <v>4032.6</v>
      </c>
      <c r="H387" s="22">
        <v>16618.3</v>
      </c>
      <c r="I387" s="22" t="e">
        <f>SUM(H387/#REF!*100)</f>
        <v>#REF!</v>
      </c>
    </row>
    <row r="388" spans="1:9" ht="15">
      <c r="A388" s="156" t="s">
        <v>196</v>
      </c>
      <c r="B388" s="74"/>
      <c r="C388" s="182" t="s">
        <v>5</v>
      </c>
      <c r="D388" s="182" t="s">
        <v>468</v>
      </c>
      <c r="E388" s="114"/>
      <c r="F388" s="196"/>
      <c r="G388" s="215">
        <f>SUM(G389+G394)</f>
        <v>48595.6</v>
      </c>
      <c r="H388" s="22" t="e">
        <f>SUM(H392+H452+H456+H389)</f>
        <v>#REF!</v>
      </c>
      <c r="I388" s="22" t="e">
        <f>SUM(H388/G402*100)</f>
        <v>#REF!</v>
      </c>
    </row>
    <row r="389" spans="1:9" ht="15" hidden="1">
      <c r="A389" s="166" t="s">
        <v>74</v>
      </c>
      <c r="B389" s="74"/>
      <c r="C389" s="182" t="s">
        <v>5</v>
      </c>
      <c r="D389" s="182" t="s">
        <v>468</v>
      </c>
      <c r="E389" s="182" t="s">
        <v>75</v>
      </c>
      <c r="F389" s="197"/>
      <c r="G389" s="215"/>
      <c r="H389" s="22">
        <f>SUM(H391)</f>
        <v>200</v>
      </c>
      <c r="I389" s="22" t="e">
        <f>SUM(H389/G403*100)</f>
        <v>#DIV/0!</v>
      </c>
    </row>
    <row r="390" spans="1:9" ht="28.5" hidden="1">
      <c r="A390" s="166" t="s">
        <v>17</v>
      </c>
      <c r="B390" s="74"/>
      <c r="C390" s="182" t="s">
        <v>5</v>
      </c>
      <c r="D390" s="182" t="s">
        <v>468</v>
      </c>
      <c r="E390" s="182" t="s">
        <v>18</v>
      </c>
      <c r="F390" s="197"/>
      <c r="G390" s="215">
        <f>SUM(G391+G392)</f>
        <v>0</v>
      </c>
      <c r="H390" s="22">
        <f>SUM(H391)</f>
        <v>200</v>
      </c>
      <c r="I390" s="22" t="e">
        <f>SUM(H390/G404*100)</f>
        <v>#DIV/0!</v>
      </c>
    </row>
    <row r="391" spans="1:9" ht="15" hidden="1">
      <c r="A391" s="160" t="s">
        <v>249</v>
      </c>
      <c r="B391" s="74"/>
      <c r="C391" s="182" t="s">
        <v>5</v>
      </c>
      <c r="D391" s="182" t="s">
        <v>468</v>
      </c>
      <c r="E391" s="182" t="s">
        <v>18</v>
      </c>
      <c r="F391" s="197" t="s">
        <v>250</v>
      </c>
      <c r="G391" s="215"/>
      <c r="H391" s="22">
        <v>200</v>
      </c>
      <c r="I391" s="22" t="e">
        <f>SUM(H391/G405*100)</f>
        <v>#DIV/0!</v>
      </c>
    </row>
    <row r="392" spans="1:9" ht="28.5" hidden="1">
      <c r="A392" s="166" t="s">
        <v>19</v>
      </c>
      <c r="B392" s="74"/>
      <c r="C392" s="182" t="s">
        <v>5</v>
      </c>
      <c r="D392" s="182" t="s">
        <v>468</v>
      </c>
      <c r="E392" s="182" t="s">
        <v>20</v>
      </c>
      <c r="F392" s="197"/>
      <c r="G392" s="215">
        <f>SUM(G393)</f>
        <v>0</v>
      </c>
      <c r="H392" s="22" t="e">
        <f>SUM(H393+H395+H397+H403+H405+#REF!+#REF!+#REF!+#REF!+H423+#REF!+#REF!+#REF!+#REF!+#REF!+#REF!+#REF!+#REF!+#REF!+#REF!+H400)</f>
        <v>#REF!</v>
      </c>
      <c r="I392" s="22" t="e">
        <f>SUM(H392/G406*100)</f>
        <v>#REF!</v>
      </c>
    </row>
    <row r="393" spans="1:9" ht="15" hidden="1">
      <c r="A393" s="160" t="s">
        <v>249</v>
      </c>
      <c r="B393" s="74"/>
      <c r="C393" s="182" t="s">
        <v>5</v>
      </c>
      <c r="D393" s="182" t="s">
        <v>468</v>
      </c>
      <c r="E393" s="182" t="s">
        <v>20</v>
      </c>
      <c r="F393" s="197" t="s">
        <v>250</v>
      </c>
      <c r="G393" s="215"/>
      <c r="H393" s="22">
        <f>SUM(H394:H394)</f>
        <v>0</v>
      </c>
      <c r="I393" s="22" t="e">
        <f>SUM(H393/#REF!*100)</f>
        <v>#REF!</v>
      </c>
    </row>
    <row r="394" spans="1:9" ht="15">
      <c r="A394" s="166" t="s">
        <v>74</v>
      </c>
      <c r="B394" s="74"/>
      <c r="C394" s="182" t="s">
        <v>5</v>
      </c>
      <c r="D394" s="182" t="s">
        <v>468</v>
      </c>
      <c r="E394" s="182" t="s">
        <v>21</v>
      </c>
      <c r="F394" s="197"/>
      <c r="G394" s="215">
        <f>SUM(G395+G398)</f>
        <v>48595.6</v>
      </c>
      <c r="H394" s="22"/>
      <c r="I394" s="22" t="e">
        <f>SUM(H394/#REF!*100)</f>
        <v>#REF!</v>
      </c>
    </row>
    <row r="395" spans="1:9" ht="28.5">
      <c r="A395" s="160" t="s">
        <v>56</v>
      </c>
      <c r="B395" s="74"/>
      <c r="C395" s="182" t="s">
        <v>5</v>
      </c>
      <c r="D395" s="182" t="s">
        <v>468</v>
      </c>
      <c r="E395" s="182" t="s">
        <v>22</v>
      </c>
      <c r="F395" s="197"/>
      <c r="G395" s="215">
        <f>SUM(G396:G397)</f>
        <v>1839.5</v>
      </c>
      <c r="H395" s="22">
        <f>SUM(H396:H396)</f>
        <v>0</v>
      </c>
      <c r="I395" s="22" t="e">
        <f>SUM(H395/#REF!*100)</f>
        <v>#REF!</v>
      </c>
    </row>
    <row r="396" spans="1:9" ht="28.5">
      <c r="A396" s="156" t="s">
        <v>518</v>
      </c>
      <c r="B396" s="74"/>
      <c r="C396" s="182" t="s">
        <v>5</v>
      </c>
      <c r="D396" s="182" t="s">
        <v>468</v>
      </c>
      <c r="E396" s="182" t="s">
        <v>22</v>
      </c>
      <c r="F396" s="196" t="s">
        <v>519</v>
      </c>
      <c r="G396" s="215">
        <v>531.8</v>
      </c>
      <c r="H396" s="22"/>
      <c r="I396" s="22" t="e">
        <f>SUM(H396/#REF!*100)</f>
        <v>#REF!</v>
      </c>
    </row>
    <row r="397" spans="1:9" ht="15">
      <c r="A397" s="156" t="s">
        <v>523</v>
      </c>
      <c r="B397" s="74"/>
      <c r="C397" s="182" t="s">
        <v>5</v>
      </c>
      <c r="D397" s="182" t="s">
        <v>468</v>
      </c>
      <c r="E397" s="182" t="s">
        <v>22</v>
      </c>
      <c r="F397" s="196" t="s">
        <v>120</v>
      </c>
      <c r="G397" s="215">
        <v>1307.7</v>
      </c>
      <c r="H397" s="22" t="e">
        <f>SUM(#REF!)</f>
        <v>#REF!</v>
      </c>
      <c r="I397" s="22" t="e">
        <f>SUM(H397/#REF!*100)</f>
        <v>#REF!</v>
      </c>
    </row>
    <row r="398" spans="1:9" ht="28.5">
      <c r="A398" s="160" t="s">
        <v>23</v>
      </c>
      <c r="B398" s="74"/>
      <c r="C398" s="182" t="s">
        <v>5</v>
      </c>
      <c r="D398" s="182" t="s">
        <v>468</v>
      </c>
      <c r="E398" s="182" t="s">
        <v>24</v>
      </c>
      <c r="F398" s="197"/>
      <c r="G398" s="215">
        <f>SUM(G399:G401)</f>
        <v>46756.1</v>
      </c>
      <c r="H398" s="22">
        <v>634.3</v>
      </c>
      <c r="I398" s="22" t="e">
        <f>SUM(H398/#REF!*100)</f>
        <v>#REF!</v>
      </c>
    </row>
    <row r="399" spans="1:9" ht="28.5">
      <c r="A399" s="156" t="s">
        <v>518</v>
      </c>
      <c r="B399" s="74"/>
      <c r="C399" s="182" t="s">
        <v>5</v>
      </c>
      <c r="D399" s="182" t="s">
        <v>468</v>
      </c>
      <c r="E399" s="182" t="s">
        <v>24</v>
      </c>
      <c r="F399" s="196" t="s">
        <v>519</v>
      </c>
      <c r="G399" s="215">
        <v>38706.7</v>
      </c>
      <c r="H399" s="22"/>
      <c r="I399" s="22"/>
    </row>
    <row r="400" spans="1:9" ht="15">
      <c r="A400" s="156" t="s">
        <v>523</v>
      </c>
      <c r="B400" s="74"/>
      <c r="C400" s="182" t="s">
        <v>5</v>
      </c>
      <c r="D400" s="182" t="s">
        <v>468</v>
      </c>
      <c r="E400" s="182" t="s">
        <v>24</v>
      </c>
      <c r="F400" s="196" t="s">
        <v>120</v>
      </c>
      <c r="G400" s="215">
        <v>7663.4</v>
      </c>
      <c r="H400" s="22">
        <f>SUM(H401)</f>
        <v>542.8</v>
      </c>
      <c r="I400" s="22" t="e">
        <f>SUM(H400/#REF!*100)</f>
        <v>#REF!</v>
      </c>
    </row>
    <row r="401" spans="1:9" ht="15">
      <c r="A401" s="156" t="s">
        <v>524</v>
      </c>
      <c r="B401" s="74"/>
      <c r="C401" s="182" t="s">
        <v>5</v>
      </c>
      <c r="D401" s="182" t="s">
        <v>468</v>
      </c>
      <c r="E401" s="182" t="s">
        <v>24</v>
      </c>
      <c r="F401" s="196" t="s">
        <v>177</v>
      </c>
      <c r="G401" s="215">
        <v>386</v>
      </c>
      <c r="H401" s="22">
        <v>542.8</v>
      </c>
      <c r="I401" s="22" t="e">
        <f>SUM(H401/#REF!*100)</f>
        <v>#REF!</v>
      </c>
    </row>
    <row r="402" spans="1:9" ht="15">
      <c r="A402" s="156" t="s">
        <v>25</v>
      </c>
      <c r="B402" s="74"/>
      <c r="C402" s="114" t="s">
        <v>5</v>
      </c>
      <c r="D402" s="114" t="s">
        <v>106</v>
      </c>
      <c r="E402" s="114"/>
      <c r="F402" s="196"/>
      <c r="G402" s="215">
        <f>SUM(G406+G463+G467)</f>
        <v>767716.2000000002</v>
      </c>
      <c r="H402" s="22">
        <v>542.8</v>
      </c>
      <c r="I402" s="22" t="e">
        <f>SUM(H402/#REF!*100)</f>
        <v>#REF!</v>
      </c>
    </row>
    <row r="403" spans="1:9" s="147" customFormat="1" ht="15.75" hidden="1">
      <c r="A403" s="156" t="s">
        <v>412</v>
      </c>
      <c r="B403" s="74"/>
      <c r="C403" s="114" t="s">
        <v>5</v>
      </c>
      <c r="D403" s="114" t="s">
        <v>106</v>
      </c>
      <c r="E403" s="114" t="s">
        <v>414</v>
      </c>
      <c r="F403" s="196"/>
      <c r="G403" s="215">
        <f>SUM(G405)</f>
        <v>0</v>
      </c>
      <c r="H403" s="22">
        <f>SUM(H404)</f>
        <v>1313.1</v>
      </c>
      <c r="I403" s="22" t="e">
        <f>SUM(H403/#REF!*100)</f>
        <v>#REF!</v>
      </c>
    </row>
    <row r="404" spans="1:9" s="147" customFormat="1" ht="15.75" hidden="1">
      <c r="A404" s="156" t="s">
        <v>392</v>
      </c>
      <c r="B404" s="74"/>
      <c r="C404" s="114" t="s">
        <v>5</v>
      </c>
      <c r="D404" s="114" t="s">
        <v>106</v>
      </c>
      <c r="E404" s="114" t="s">
        <v>393</v>
      </c>
      <c r="F404" s="196"/>
      <c r="G404" s="215">
        <f>SUM(G405)</f>
        <v>0</v>
      </c>
      <c r="H404" s="22">
        <v>1313.1</v>
      </c>
      <c r="I404" s="22" t="e">
        <f>SUM(H404/#REF!*100)</f>
        <v>#REF!</v>
      </c>
    </row>
    <row r="405" spans="1:9" s="147" customFormat="1" ht="15.75" hidden="1">
      <c r="A405" s="156" t="s">
        <v>300</v>
      </c>
      <c r="B405" s="113"/>
      <c r="C405" s="114" t="s">
        <v>5</v>
      </c>
      <c r="D405" s="114" t="s">
        <v>106</v>
      </c>
      <c r="E405" s="114" t="s">
        <v>393</v>
      </c>
      <c r="F405" s="197" t="s">
        <v>301</v>
      </c>
      <c r="G405" s="215"/>
      <c r="H405" s="22">
        <f>SUM(H406)</f>
        <v>6301</v>
      </c>
      <c r="I405" s="22" t="e">
        <f>SUM(H405/#REF!*100)</f>
        <v>#REF!</v>
      </c>
    </row>
    <row r="406" spans="1:9" s="147" customFormat="1" ht="15.75">
      <c r="A406" s="156" t="s">
        <v>26</v>
      </c>
      <c r="B406" s="74"/>
      <c r="C406" s="114" t="s">
        <v>5</v>
      </c>
      <c r="D406" s="114" t="s">
        <v>106</v>
      </c>
      <c r="E406" s="114" t="s">
        <v>27</v>
      </c>
      <c r="F406" s="196"/>
      <c r="G406" s="215">
        <f>SUM(G407+G410+G413+G416+G419+G422)</f>
        <v>766467.9000000001</v>
      </c>
      <c r="H406" s="22">
        <v>6301</v>
      </c>
      <c r="I406" s="22" t="e">
        <f>SUM(H406/#REF!*100)</f>
        <v>#REF!</v>
      </c>
    </row>
    <row r="407" spans="1:9" ht="28.5">
      <c r="A407" s="156" t="s">
        <v>289</v>
      </c>
      <c r="B407" s="74"/>
      <c r="C407" s="182" t="s">
        <v>5</v>
      </c>
      <c r="D407" s="182" t="s">
        <v>106</v>
      </c>
      <c r="E407" s="182" t="s">
        <v>290</v>
      </c>
      <c r="F407" s="197"/>
      <c r="G407" s="215">
        <f>SUM(G408:G409)</f>
        <v>92012.1</v>
      </c>
      <c r="H407" s="22">
        <f>SUM(H409)</f>
        <v>8082.5</v>
      </c>
      <c r="I407" s="22">
        <f>SUM(H407/G432*100)</f>
        <v>4.735736249519542</v>
      </c>
    </row>
    <row r="408" spans="1:9" ht="15">
      <c r="A408" s="156" t="s">
        <v>523</v>
      </c>
      <c r="B408" s="74"/>
      <c r="C408" s="182" t="s">
        <v>5</v>
      </c>
      <c r="D408" s="182" t="s">
        <v>106</v>
      </c>
      <c r="E408" s="182" t="s">
        <v>290</v>
      </c>
      <c r="F408" s="197" t="s">
        <v>120</v>
      </c>
      <c r="G408" s="215">
        <v>1398.6</v>
      </c>
      <c r="H408" s="22"/>
      <c r="I408" s="22"/>
    </row>
    <row r="409" spans="1:9" ht="15">
      <c r="A409" s="156" t="s">
        <v>528</v>
      </c>
      <c r="B409" s="74"/>
      <c r="C409" s="182" t="s">
        <v>5</v>
      </c>
      <c r="D409" s="182" t="s">
        <v>106</v>
      </c>
      <c r="E409" s="182" t="s">
        <v>290</v>
      </c>
      <c r="F409" s="197" t="s">
        <v>529</v>
      </c>
      <c r="G409" s="215">
        <f>92012.1-1398.6</f>
        <v>90613.5</v>
      </c>
      <c r="H409" s="22">
        <v>8082.5</v>
      </c>
      <c r="I409" s="22">
        <f>SUM(H409/G434*100)</f>
        <v>4.900406401783002</v>
      </c>
    </row>
    <row r="410" spans="1:9" ht="15">
      <c r="A410" s="156" t="s">
        <v>288</v>
      </c>
      <c r="B410" s="74"/>
      <c r="C410" s="182" t="s">
        <v>5</v>
      </c>
      <c r="D410" s="182" t="s">
        <v>106</v>
      </c>
      <c r="E410" s="182" t="s">
        <v>594</v>
      </c>
      <c r="F410" s="197"/>
      <c r="G410" s="215">
        <f>SUM(G411:G412)</f>
        <v>158497.6</v>
      </c>
      <c r="H410" s="22">
        <f>SUM(H412)</f>
        <v>70381.4</v>
      </c>
      <c r="I410" s="22">
        <f>SUM(H410/G435*100)</f>
        <v>4581.227624812862</v>
      </c>
    </row>
    <row r="411" spans="1:9" ht="15">
      <c r="A411" s="156" t="s">
        <v>523</v>
      </c>
      <c r="B411" s="74"/>
      <c r="C411" s="182" t="s">
        <v>5</v>
      </c>
      <c r="D411" s="182" t="s">
        <v>106</v>
      </c>
      <c r="E411" s="182" t="s">
        <v>594</v>
      </c>
      <c r="F411" s="197" t="s">
        <v>120</v>
      </c>
      <c r="G411" s="215">
        <v>2139.7</v>
      </c>
      <c r="H411" s="22"/>
      <c r="I411" s="22"/>
    </row>
    <row r="412" spans="1:9" ht="15">
      <c r="A412" s="156" t="s">
        <v>528</v>
      </c>
      <c r="B412" s="113"/>
      <c r="C412" s="182" t="s">
        <v>5</v>
      </c>
      <c r="D412" s="182" t="s">
        <v>106</v>
      </c>
      <c r="E412" s="182" t="s">
        <v>594</v>
      </c>
      <c r="F412" s="197" t="s">
        <v>529</v>
      </c>
      <c r="G412" s="215">
        <v>156357.9</v>
      </c>
      <c r="H412" s="22">
        <v>70381.4</v>
      </c>
      <c r="I412" s="22">
        <f>SUM(H412/G437*100)</f>
        <v>4650.855745721271</v>
      </c>
    </row>
    <row r="413" spans="1:9" ht="42.75">
      <c r="A413" s="157" t="s">
        <v>287</v>
      </c>
      <c r="B413" s="74"/>
      <c r="C413" s="182" t="s">
        <v>5</v>
      </c>
      <c r="D413" s="182" t="s">
        <v>106</v>
      </c>
      <c r="E413" s="182" t="s">
        <v>595</v>
      </c>
      <c r="F413" s="197"/>
      <c r="G413" s="215">
        <f>SUM(G414:G415)</f>
        <v>77.10000000000001</v>
      </c>
      <c r="H413" s="22"/>
      <c r="I413" s="22"/>
    </row>
    <row r="414" spans="1:9" ht="15">
      <c r="A414" s="156" t="s">
        <v>523</v>
      </c>
      <c r="B414" s="74"/>
      <c r="C414" s="182" t="s">
        <v>5</v>
      </c>
      <c r="D414" s="182" t="s">
        <v>106</v>
      </c>
      <c r="E414" s="182" t="s">
        <v>595</v>
      </c>
      <c r="F414" s="197" t="s">
        <v>120</v>
      </c>
      <c r="G414" s="215">
        <v>1.2</v>
      </c>
      <c r="H414" s="22"/>
      <c r="I414" s="22"/>
    </row>
    <row r="415" spans="1:9" ht="15">
      <c r="A415" s="156" t="s">
        <v>528</v>
      </c>
      <c r="B415" s="74"/>
      <c r="C415" s="182" t="s">
        <v>5</v>
      </c>
      <c r="D415" s="182" t="s">
        <v>106</v>
      </c>
      <c r="E415" s="182" t="s">
        <v>595</v>
      </c>
      <c r="F415" s="197" t="s">
        <v>529</v>
      </c>
      <c r="G415" s="215">
        <v>75.9</v>
      </c>
      <c r="H415" s="22"/>
      <c r="I415" s="22"/>
    </row>
    <row r="416" spans="1:9" ht="59.25" customHeight="1">
      <c r="A416" s="247" t="s">
        <v>597</v>
      </c>
      <c r="B416" s="208"/>
      <c r="C416" s="186" t="s">
        <v>5</v>
      </c>
      <c r="D416" s="186" t="s">
        <v>106</v>
      </c>
      <c r="E416" s="186" t="s">
        <v>596</v>
      </c>
      <c r="F416" s="237"/>
      <c r="G416" s="223">
        <f>SUM(G417:G418)</f>
        <v>78774.5</v>
      </c>
      <c r="H416" s="22"/>
      <c r="I416" s="22"/>
    </row>
    <row r="417" spans="1:9" ht="21" customHeight="1">
      <c r="A417" s="156" t="s">
        <v>523</v>
      </c>
      <c r="B417" s="74"/>
      <c r="C417" s="182" t="s">
        <v>5</v>
      </c>
      <c r="D417" s="182" t="s">
        <v>106</v>
      </c>
      <c r="E417" s="186" t="s">
        <v>596</v>
      </c>
      <c r="F417" s="197" t="s">
        <v>120</v>
      </c>
      <c r="G417" s="223">
        <v>1181.6</v>
      </c>
      <c r="H417" s="22"/>
      <c r="I417" s="22"/>
    </row>
    <row r="418" spans="1:9" ht="15">
      <c r="A418" s="162" t="s">
        <v>528</v>
      </c>
      <c r="B418" s="208"/>
      <c r="C418" s="186" t="s">
        <v>5</v>
      </c>
      <c r="D418" s="186" t="s">
        <v>106</v>
      </c>
      <c r="E418" s="186" t="s">
        <v>596</v>
      </c>
      <c r="F418" s="237" t="s">
        <v>529</v>
      </c>
      <c r="G418" s="223">
        <v>77592.9</v>
      </c>
      <c r="H418" s="22"/>
      <c r="I418" s="22"/>
    </row>
    <row r="419" spans="1:9" ht="15">
      <c r="A419" s="162" t="s">
        <v>224</v>
      </c>
      <c r="B419" s="208"/>
      <c r="C419" s="186" t="s">
        <v>5</v>
      </c>
      <c r="D419" s="186" t="s">
        <v>106</v>
      </c>
      <c r="E419" s="186" t="s">
        <v>598</v>
      </c>
      <c r="F419" s="237"/>
      <c r="G419" s="223">
        <f>G420+G421</f>
        <v>3896.3</v>
      </c>
      <c r="H419" s="22">
        <f>SUM(H420)</f>
        <v>1365.8</v>
      </c>
      <c r="I419" s="22">
        <f>SUM(H419/G443*100)</f>
        <v>1.1510294204400846</v>
      </c>
    </row>
    <row r="420" spans="1:9" ht="15">
      <c r="A420" s="162" t="s">
        <v>528</v>
      </c>
      <c r="B420" s="208"/>
      <c r="C420" s="186" t="s">
        <v>5</v>
      </c>
      <c r="D420" s="186" t="s">
        <v>106</v>
      </c>
      <c r="E420" s="186" t="s">
        <v>598</v>
      </c>
      <c r="F420" s="237" t="s">
        <v>529</v>
      </c>
      <c r="G420" s="223">
        <v>2096.3</v>
      </c>
      <c r="H420" s="22">
        <v>1365.8</v>
      </c>
      <c r="I420" s="22">
        <f>SUM(H420/G444*100)</f>
        <v>135.3215099573962</v>
      </c>
    </row>
    <row r="421" spans="1:9" ht="28.5">
      <c r="A421" s="162" t="s">
        <v>615</v>
      </c>
      <c r="B421" s="208"/>
      <c r="C421" s="186" t="s">
        <v>5</v>
      </c>
      <c r="D421" s="186" t="s">
        <v>106</v>
      </c>
      <c r="E421" s="186" t="s">
        <v>598</v>
      </c>
      <c r="F421" s="237" t="s">
        <v>536</v>
      </c>
      <c r="G421" s="223">
        <v>1800</v>
      </c>
      <c r="H421" s="22">
        <f>SUM(H422)</f>
        <v>1324.9</v>
      </c>
      <c r="I421" s="22">
        <f>SUM(H421/G446*100)</f>
        <v>140.84192622515147</v>
      </c>
    </row>
    <row r="422" spans="1:9" ht="15">
      <c r="A422" s="162" t="s">
        <v>292</v>
      </c>
      <c r="B422" s="208"/>
      <c r="C422" s="186" t="s">
        <v>5</v>
      </c>
      <c r="D422" s="186" t="s">
        <v>106</v>
      </c>
      <c r="E422" s="186" t="s">
        <v>600</v>
      </c>
      <c r="F422" s="237"/>
      <c r="G422" s="223">
        <f>G423+G426+G429+G432+G435+G438+G441+G444+G447+G450+G453+G456+G460</f>
        <v>433210.30000000005</v>
      </c>
      <c r="H422" s="22">
        <v>1324.9</v>
      </c>
      <c r="I422" s="22">
        <f>SUM(H422/G447*100)</f>
        <v>544.330320460148</v>
      </c>
    </row>
    <row r="423" spans="1:9" ht="42.75">
      <c r="A423" s="162" t="s">
        <v>487</v>
      </c>
      <c r="B423" s="208"/>
      <c r="C423" s="186" t="s">
        <v>5</v>
      </c>
      <c r="D423" s="186" t="s">
        <v>106</v>
      </c>
      <c r="E423" s="186" t="s">
        <v>601</v>
      </c>
      <c r="F423" s="237"/>
      <c r="G423" s="223">
        <f>SUM(G424:G425)</f>
        <v>545.8000000000001</v>
      </c>
      <c r="H423" s="22">
        <f>SUM(H425)</f>
        <v>0</v>
      </c>
      <c r="I423" s="22">
        <f>SUM(H423/G449*100)</f>
        <v>0</v>
      </c>
    </row>
    <row r="424" spans="1:9" ht="15">
      <c r="A424" s="156" t="s">
        <v>523</v>
      </c>
      <c r="B424" s="74"/>
      <c r="C424" s="182" t="s">
        <v>5</v>
      </c>
      <c r="D424" s="182" t="s">
        <v>106</v>
      </c>
      <c r="E424" s="186" t="s">
        <v>601</v>
      </c>
      <c r="F424" s="197" t="s">
        <v>120</v>
      </c>
      <c r="G424" s="223">
        <v>8.2</v>
      </c>
      <c r="H424" s="22"/>
      <c r="I424" s="22"/>
    </row>
    <row r="425" spans="1:9" ht="15">
      <c r="A425" s="162" t="s">
        <v>528</v>
      </c>
      <c r="B425" s="208"/>
      <c r="C425" s="186" t="s">
        <v>5</v>
      </c>
      <c r="D425" s="186" t="s">
        <v>106</v>
      </c>
      <c r="E425" s="186" t="s">
        <v>601</v>
      </c>
      <c r="F425" s="237" t="s">
        <v>529</v>
      </c>
      <c r="G425" s="223">
        <v>537.6</v>
      </c>
      <c r="H425" s="22"/>
      <c r="I425" s="22">
        <f>SUM(H425/G450*100)</f>
        <v>0</v>
      </c>
    </row>
    <row r="426" spans="1:9" ht="28.5">
      <c r="A426" s="170" t="s">
        <v>488</v>
      </c>
      <c r="B426" s="208"/>
      <c r="C426" s="186" t="s">
        <v>5</v>
      </c>
      <c r="D426" s="186" t="s">
        <v>106</v>
      </c>
      <c r="E426" s="186" t="s">
        <v>602</v>
      </c>
      <c r="F426" s="237"/>
      <c r="G426" s="223">
        <f>SUM(G427:G428)</f>
        <v>56634.2</v>
      </c>
      <c r="H426" s="22">
        <f>SUM(H428)</f>
        <v>5141.4</v>
      </c>
      <c r="I426" s="22">
        <f>SUM(H426/G452*100)</f>
        <v>79.50454629801446</v>
      </c>
    </row>
    <row r="427" spans="1:9" ht="15">
      <c r="A427" s="156" t="s">
        <v>523</v>
      </c>
      <c r="B427" s="74"/>
      <c r="C427" s="182" t="s">
        <v>5</v>
      </c>
      <c r="D427" s="182" t="s">
        <v>106</v>
      </c>
      <c r="E427" s="186" t="s">
        <v>602</v>
      </c>
      <c r="F427" s="197" t="s">
        <v>120</v>
      </c>
      <c r="G427" s="223">
        <v>872.2</v>
      </c>
      <c r="H427" s="22"/>
      <c r="I427" s="22"/>
    </row>
    <row r="428" spans="1:9" ht="15">
      <c r="A428" s="162" t="s">
        <v>528</v>
      </c>
      <c r="B428" s="208"/>
      <c r="C428" s="186" t="s">
        <v>5</v>
      </c>
      <c r="D428" s="186" t="s">
        <v>106</v>
      </c>
      <c r="E428" s="186" t="s">
        <v>602</v>
      </c>
      <c r="F428" s="237" t="s">
        <v>529</v>
      </c>
      <c r="G428" s="223">
        <v>55762</v>
      </c>
      <c r="H428" s="22">
        <v>5141.4</v>
      </c>
      <c r="I428" s="22">
        <f>SUM(H428/G453*100)</f>
        <v>95.97177630105278</v>
      </c>
    </row>
    <row r="429" spans="1:9" ht="57">
      <c r="A429" s="248" t="s">
        <v>489</v>
      </c>
      <c r="B429" s="208"/>
      <c r="C429" s="186" t="s">
        <v>5</v>
      </c>
      <c r="D429" s="186" t="s">
        <v>106</v>
      </c>
      <c r="E429" s="186" t="s">
        <v>603</v>
      </c>
      <c r="F429" s="237"/>
      <c r="G429" s="223">
        <f>SUM(G430:G431)</f>
        <v>53650.8</v>
      </c>
      <c r="H429" s="22"/>
      <c r="I429" s="22"/>
    </row>
    <row r="430" spans="1:9" ht="15">
      <c r="A430" s="156" t="s">
        <v>523</v>
      </c>
      <c r="B430" s="74"/>
      <c r="C430" s="182" t="s">
        <v>5</v>
      </c>
      <c r="D430" s="182" t="s">
        <v>106</v>
      </c>
      <c r="E430" s="186" t="s">
        <v>603</v>
      </c>
      <c r="F430" s="197" t="s">
        <v>120</v>
      </c>
      <c r="G430" s="223">
        <v>794</v>
      </c>
      <c r="H430" s="22"/>
      <c r="I430" s="22"/>
    </row>
    <row r="431" spans="1:9" ht="15">
      <c r="A431" s="162" t="s">
        <v>528</v>
      </c>
      <c r="B431" s="208"/>
      <c r="C431" s="186" t="s">
        <v>5</v>
      </c>
      <c r="D431" s="186" t="s">
        <v>106</v>
      </c>
      <c r="E431" s="186" t="s">
        <v>603</v>
      </c>
      <c r="F431" s="237" t="s">
        <v>529</v>
      </c>
      <c r="G431" s="223">
        <v>52856.8</v>
      </c>
      <c r="H431" s="22"/>
      <c r="I431" s="22"/>
    </row>
    <row r="432" spans="1:9" ht="71.25">
      <c r="A432" s="248" t="s">
        <v>604</v>
      </c>
      <c r="B432" s="208"/>
      <c r="C432" s="186" t="s">
        <v>5</v>
      </c>
      <c r="D432" s="186" t="s">
        <v>106</v>
      </c>
      <c r="E432" s="186" t="s">
        <v>605</v>
      </c>
      <c r="F432" s="237"/>
      <c r="G432" s="223">
        <f>SUM(G433:G434)</f>
        <v>170670.4</v>
      </c>
      <c r="H432" s="22"/>
      <c r="I432" s="22"/>
    </row>
    <row r="433" spans="1:9" ht="15">
      <c r="A433" s="156" t="s">
        <v>523</v>
      </c>
      <c r="B433" s="208"/>
      <c r="C433" s="186" t="s">
        <v>5</v>
      </c>
      <c r="D433" s="186" t="s">
        <v>106</v>
      </c>
      <c r="E433" s="186" t="s">
        <v>605</v>
      </c>
      <c r="F433" s="237" t="s">
        <v>120</v>
      </c>
      <c r="G433" s="223">
        <v>5735.1</v>
      </c>
      <c r="H433" s="22"/>
      <c r="I433" s="22"/>
    </row>
    <row r="434" spans="1:9" ht="15">
      <c r="A434" s="162" t="s">
        <v>528</v>
      </c>
      <c r="B434" s="208"/>
      <c r="C434" s="186" t="s">
        <v>5</v>
      </c>
      <c r="D434" s="186" t="s">
        <v>106</v>
      </c>
      <c r="E434" s="186" t="s">
        <v>605</v>
      </c>
      <c r="F434" s="237" t="s">
        <v>529</v>
      </c>
      <c r="G434" s="223">
        <v>164935.3</v>
      </c>
      <c r="H434" s="22"/>
      <c r="I434" s="22"/>
    </row>
    <row r="435" spans="1:9" ht="71.25">
      <c r="A435" s="170" t="s">
        <v>490</v>
      </c>
      <c r="B435" s="208"/>
      <c r="C435" s="186" t="s">
        <v>5</v>
      </c>
      <c r="D435" s="186" t="s">
        <v>106</v>
      </c>
      <c r="E435" s="186" t="s">
        <v>606</v>
      </c>
      <c r="F435" s="237"/>
      <c r="G435" s="223">
        <f>SUM(G436:G437)</f>
        <v>1536.3</v>
      </c>
      <c r="H435" s="22"/>
      <c r="I435" s="22"/>
    </row>
    <row r="436" spans="1:9" ht="15">
      <c r="A436" s="156" t="s">
        <v>523</v>
      </c>
      <c r="B436" s="208"/>
      <c r="C436" s="186" t="s">
        <v>5</v>
      </c>
      <c r="D436" s="186" t="s">
        <v>106</v>
      </c>
      <c r="E436" s="186" t="s">
        <v>606</v>
      </c>
      <c r="F436" s="237" t="s">
        <v>120</v>
      </c>
      <c r="G436" s="223">
        <v>23</v>
      </c>
      <c r="H436" s="22"/>
      <c r="I436" s="22"/>
    </row>
    <row r="437" spans="1:9" ht="15">
      <c r="A437" s="162" t="s">
        <v>528</v>
      </c>
      <c r="B437" s="208"/>
      <c r="C437" s="186" t="s">
        <v>5</v>
      </c>
      <c r="D437" s="186" t="s">
        <v>106</v>
      </c>
      <c r="E437" s="186" t="s">
        <v>606</v>
      </c>
      <c r="F437" s="237" t="s">
        <v>529</v>
      </c>
      <c r="G437" s="223">
        <v>1513.3</v>
      </c>
      <c r="H437" s="22"/>
      <c r="I437" s="22"/>
    </row>
    <row r="438" spans="1:9" ht="85.5">
      <c r="A438" s="170" t="s">
        <v>491</v>
      </c>
      <c r="B438" s="208"/>
      <c r="C438" s="186" t="s">
        <v>5</v>
      </c>
      <c r="D438" s="186" t="s">
        <v>106</v>
      </c>
      <c r="E438" s="186" t="s">
        <v>607</v>
      </c>
      <c r="F438" s="237"/>
      <c r="G438" s="223">
        <f>SUM(G439:G440)</f>
        <v>9822.300000000001</v>
      </c>
      <c r="H438" s="22"/>
      <c r="I438" s="22"/>
    </row>
    <row r="439" spans="1:9" ht="15">
      <c r="A439" s="156" t="s">
        <v>523</v>
      </c>
      <c r="B439" s="208"/>
      <c r="C439" s="186" t="s">
        <v>5</v>
      </c>
      <c r="D439" s="186" t="s">
        <v>106</v>
      </c>
      <c r="E439" s="186" t="s">
        <v>607</v>
      </c>
      <c r="F439" s="237" t="s">
        <v>120</v>
      </c>
      <c r="G439" s="223">
        <v>324.1</v>
      </c>
      <c r="H439" s="22"/>
      <c r="I439" s="22"/>
    </row>
    <row r="440" spans="1:9" ht="15">
      <c r="A440" s="162" t="s">
        <v>528</v>
      </c>
      <c r="B440" s="208"/>
      <c r="C440" s="186" t="s">
        <v>5</v>
      </c>
      <c r="D440" s="186" t="s">
        <v>106</v>
      </c>
      <c r="E440" s="186" t="s">
        <v>607</v>
      </c>
      <c r="F440" s="237" t="s">
        <v>529</v>
      </c>
      <c r="G440" s="223">
        <v>9498.2</v>
      </c>
      <c r="H440" s="22"/>
      <c r="I440" s="22"/>
    </row>
    <row r="441" spans="1:9" ht="42.75">
      <c r="A441" s="162" t="s">
        <v>492</v>
      </c>
      <c r="B441" s="208"/>
      <c r="C441" s="186" t="s">
        <v>5</v>
      </c>
      <c r="D441" s="186" t="s">
        <v>106</v>
      </c>
      <c r="E441" s="186" t="s">
        <v>608</v>
      </c>
      <c r="F441" s="237"/>
      <c r="G441" s="223">
        <f>SUM(G442:G443)</f>
        <v>120441.6</v>
      </c>
      <c r="H441" s="22"/>
      <c r="I441" s="22"/>
    </row>
    <row r="442" spans="1:9" ht="15">
      <c r="A442" s="156" t="s">
        <v>523</v>
      </c>
      <c r="B442" s="208"/>
      <c r="C442" s="186" t="s">
        <v>5</v>
      </c>
      <c r="D442" s="186" t="s">
        <v>106</v>
      </c>
      <c r="E442" s="186" t="s">
        <v>608</v>
      </c>
      <c r="F442" s="237" t="s">
        <v>120</v>
      </c>
      <c r="G442" s="223">
        <v>1782.6</v>
      </c>
      <c r="H442" s="22"/>
      <c r="I442" s="22"/>
    </row>
    <row r="443" spans="1:9" ht="15">
      <c r="A443" s="162" t="s">
        <v>528</v>
      </c>
      <c r="B443" s="208"/>
      <c r="C443" s="186" t="s">
        <v>5</v>
      </c>
      <c r="D443" s="186" t="s">
        <v>106</v>
      </c>
      <c r="E443" s="186" t="s">
        <v>608</v>
      </c>
      <c r="F443" s="237" t="s">
        <v>529</v>
      </c>
      <c r="G443" s="223">
        <v>118659</v>
      </c>
      <c r="H443" s="22"/>
      <c r="I443" s="22"/>
    </row>
    <row r="444" spans="1:9" ht="71.25">
      <c r="A444" s="162" t="s">
        <v>493</v>
      </c>
      <c r="B444" s="208"/>
      <c r="C444" s="186" t="s">
        <v>5</v>
      </c>
      <c r="D444" s="186" t="s">
        <v>106</v>
      </c>
      <c r="E444" s="186" t="s">
        <v>609</v>
      </c>
      <c r="F444" s="237"/>
      <c r="G444" s="223">
        <f>SUM(G445:G446)</f>
        <v>1009.3000000000001</v>
      </c>
      <c r="H444" s="22"/>
      <c r="I444" s="22"/>
    </row>
    <row r="445" spans="1:9" ht="15">
      <c r="A445" s="156" t="s">
        <v>523</v>
      </c>
      <c r="B445" s="208"/>
      <c r="C445" s="186" t="s">
        <v>5</v>
      </c>
      <c r="D445" s="186" t="s">
        <v>106</v>
      </c>
      <c r="E445" s="186" t="s">
        <v>609</v>
      </c>
      <c r="F445" s="237" t="s">
        <v>120</v>
      </c>
      <c r="G445" s="223">
        <v>68.6</v>
      </c>
      <c r="H445" s="22"/>
      <c r="I445" s="22"/>
    </row>
    <row r="446" spans="1:9" ht="15">
      <c r="A446" s="162" t="s">
        <v>528</v>
      </c>
      <c r="B446" s="208"/>
      <c r="C446" s="186" t="s">
        <v>5</v>
      </c>
      <c r="D446" s="186" t="s">
        <v>106</v>
      </c>
      <c r="E446" s="186" t="s">
        <v>609</v>
      </c>
      <c r="F446" s="237" t="s">
        <v>529</v>
      </c>
      <c r="G446" s="223">
        <v>940.7</v>
      </c>
      <c r="H446" s="22"/>
      <c r="I446" s="22"/>
    </row>
    <row r="447" spans="1:9" ht="57">
      <c r="A447" s="162" t="s">
        <v>610</v>
      </c>
      <c r="B447" s="208"/>
      <c r="C447" s="186" t="s">
        <v>5</v>
      </c>
      <c r="D447" s="186" t="s">
        <v>106</v>
      </c>
      <c r="E447" s="186" t="s">
        <v>611</v>
      </c>
      <c r="F447" s="237"/>
      <c r="G447" s="223">
        <f>SUM(G448:G449)</f>
        <v>243.4</v>
      </c>
      <c r="H447" s="22"/>
      <c r="I447" s="22"/>
    </row>
    <row r="448" spans="1:9" ht="15">
      <c r="A448" s="156" t="s">
        <v>523</v>
      </c>
      <c r="B448" s="208"/>
      <c r="C448" s="186" t="s">
        <v>5</v>
      </c>
      <c r="D448" s="186" t="s">
        <v>106</v>
      </c>
      <c r="E448" s="186" t="s">
        <v>611</v>
      </c>
      <c r="F448" s="237" t="s">
        <v>120</v>
      </c>
      <c r="G448" s="223">
        <v>3.6</v>
      </c>
      <c r="H448" s="22"/>
      <c r="I448" s="22"/>
    </row>
    <row r="449" spans="1:9" ht="15">
      <c r="A449" s="162" t="s">
        <v>528</v>
      </c>
      <c r="B449" s="208"/>
      <c r="C449" s="186" t="s">
        <v>5</v>
      </c>
      <c r="D449" s="186" t="s">
        <v>106</v>
      </c>
      <c r="E449" s="186" t="s">
        <v>611</v>
      </c>
      <c r="F449" s="237" t="s">
        <v>529</v>
      </c>
      <c r="G449" s="223">
        <v>239.8</v>
      </c>
      <c r="H449" s="22"/>
      <c r="I449" s="22"/>
    </row>
    <row r="450" spans="1:9" ht="42.75">
      <c r="A450" s="162" t="s">
        <v>494</v>
      </c>
      <c r="B450" s="208"/>
      <c r="C450" s="186" t="s">
        <v>5</v>
      </c>
      <c r="D450" s="186" t="s">
        <v>106</v>
      </c>
      <c r="E450" s="186" t="s">
        <v>612</v>
      </c>
      <c r="F450" s="237"/>
      <c r="G450" s="223">
        <f>SUM(G451:G452)</f>
        <v>6680.6</v>
      </c>
      <c r="H450" s="22"/>
      <c r="I450" s="22"/>
    </row>
    <row r="451" spans="1:9" ht="15">
      <c r="A451" s="156" t="s">
        <v>523</v>
      </c>
      <c r="B451" s="208"/>
      <c r="C451" s="186" t="s">
        <v>5</v>
      </c>
      <c r="D451" s="186" t="s">
        <v>106</v>
      </c>
      <c r="E451" s="186" t="s">
        <v>612</v>
      </c>
      <c r="F451" s="237" t="s">
        <v>120</v>
      </c>
      <c r="G451" s="223">
        <v>213.8</v>
      </c>
      <c r="H451" s="22"/>
      <c r="I451" s="22"/>
    </row>
    <row r="452" spans="1:9" ht="15">
      <c r="A452" s="162" t="s">
        <v>528</v>
      </c>
      <c r="B452" s="208"/>
      <c r="C452" s="186" t="s">
        <v>5</v>
      </c>
      <c r="D452" s="186" t="s">
        <v>106</v>
      </c>
      <c r="E452" s="186" t="s">
        <v>612</v>
      </c>
      <c r="F452" s="237" t="s">
        <v>529</v>
      </c>
      <c r="G452" s="223">
        <v>6466.8</v>
      </c>
      <c r="H452" s="22">
        <f>SUM(H453)</f>
        <v>927.6</v>
      </c>
      <c r="I452" s="22">
        <f>SUM(H452/G473*100)</f>
        <v>14.241191371766332</v>
      </c>
    </row>
    <row r="453" spans="1:9" ht="28.5">
      <c r="A453" s="162" t="s">
        <v>495</v>
      </c>
      <c r="B453" s="208"/>
      <c r="C453" s="186" t="s">
        <v>5</v>
      </c>
      <c r="D453" s="186" t="s">
        <v>106</v>
      </c>
      <c r="E453" s="186" t="s">
        <v>613</v>
      </c>
      <c r="F453" s="237"/>
      <c r="G453" s="223">
        <f>SUM(G454:G455)</f>
        <v>5357.2</v>
      </c>
      <c r="H453" s="22">
        <f>SUM(H455:H455)</f>
        <v>927.6</v>
      </c>
      <c r="I453" s="22">
        <f>SUM(H453/G475*100)</f>
        <v>14.455803515771102</v>
      </c>
    </row>
    <row r="454" spans="1:9" ht="15">
      <c r="A454" s="156" t="s">
        <v>523</v>
      </c>
      <c r="B454" s="208"/>
      <c r="C454" s="186" t="s">
        <v>5</v>
      </c>
      <c r="D454" s="186" t="s">
        <v>106</v>
      </c>
      <c r="E454" s="186" t="s">
        <v>613</v>
      </c>
      <c r="F454" s="237" t="s">
        <v>120</v>
      </c>
      <c r="G454" s="223">
        <v>75</v>
      </c>
      <c r="H454" s="22"/>
      <c r="I454" s="22"/>
    </row>
    <row r="455" spans="1:9" ht="15">
      <c r="A455" s="162" t="s">
        <v>528</v>
      </c>
      <c r="B455" s="208"/>
      <c r="C455" s="186" t="s">
        <v>5</v>
      </c>
      <c r="D455" s="186" t="s">
        <v>106</v>
      </c>
      <c r="E455" s="186" t="s">
        <v>613</v>
      </c>
      <c r="F455" s="237" t="s">
        <v>529</v>
      </c>
      <c r="G455" s="223">
        <v>5282.2</v>
      </c>
      <c r="H455" s="22">
        <v>927.6</v>
      </c>
      <c r="I455" s="22">
        <f>SUM(H455/G476*100)</f>
        <v>17.23650958822655</v>
      </c>
    </row>
    <row r="456" spans="1:9" ht="42.75">
      <c r="A456" s="170" t="s">
        <v>496</v>
      </c>
      <c r="B456" s="208"/>
      <c r="C456" s="186" t="s">
        <v>5</v>
      </c>
      <c r="D456" s="186" t="s">
        <v>106</v>
      </c>
      <c r="E456" s="186" t="s">
        <v>614</v>
      </c>
      <c r="F456" s="237"/>
      <c r="G456" s="223">
        <f>SUM(G457:G459)</f>
        <v>1764.6999999999998</v>
      </c>
      <c r="H456" s="22">
        <f>SUM(H458)</f>
        <v>3319.1</v>
      </c>
      <c r="I456" s="22">
        <f>SUM(H456/G478*100)</f>
        <v>62.20552129992316</v>
      </c>
    </row>
    <row r="457" spans="1:9" ht="15">
      <c r="A457" s="156" t="s">
        <v>523</v>
      </c>
      <c r="B457" s="208"/>
      <c r="C457" s="186" t="s">
        <v>5</v>
      </c>
      <c r="D457" s="186" t="s">
        <v>106</v>
      </c>
      <c r="E457" s="186" t="s">
        <v>614</v>
      </c>
      <c r="F457" s="237" t="s">
        <v>120</v>
      </c>
      <c r="G457" s="223">
        <v>25.6</v>
      </c>
      <c r="H457" s="22"/>
      <c r="I457" s="22"/>
    </row>
    <row r="458" spans="1:9" ht="15">
      <c r="A458" s="162" t="s">
        <v>528</v>
      </c>
      <c r="B458" s="208"/>
      <c r="C458" s="186" t="s">
        <v>5</v>
      </c>
      <c r="D458" s="186" t="s">
        <v>106</v>
      </c>
      <c r="E458" s="186" t="s">
        <v>614</v>
      </c>
      <c r="F458" s="237" t="s">
        <v>529</v>
      </c>
      <c r="G458" s="223">
        <v>1451.5</v>
      </c>
      <c r="H458" s="22">
        <f>SUM(H459)</f>
        <v>3319.1</v>
      </c>
      <c r="I458" s="22">
        <f>SUM(H458/G479*100)</f>
        <v>17.79048701263896</v>
      </c>
    </row>
    <row r="459" spans="1:9" ht="28.5">
      <c r="A459" s="162" t="s">
        <v>615</v>
      </c>
      <c r="B459" s="208"/>
      <c r="C459" s="186" t="s">
        <v>5</v>
      </c>
      <c r="D459" s="186" t="s">
        <v>106</v>
      </c>
      <c r="E459" s="186" t="s">
        <v>614</v>
      </c>
      <c r="F459" s="237" t="s">
        <v>536</v>
      </c>
      <c r="G459" s="223">
        <v>287.6</v>
      </c>
      <c r="H459" s="22">
        <v>3319.1</v>
      </c>
      <c r="I459" s="22">
        <f>SUM(H459/G481*100)</f>
        <v>18.069914689053306</v>
      </c>
    </row>
    <row r="460" spans="1:9" s="133" customFormat="1" ht="42.75">
      <c r="A460" s="162" t="s">
        <v>497</v>
      </c>
      <c r="B460" s="208"/>
      <c r="C460" s="186" t="s">
        <v>5</v>
      </c>
      <c r="D460" s="186" t="s">
        <v>106</v>
      </c>
      <c r="E460" s="186" t="s">
        <v>616</v>
      </c>
      <c r="F460" s="237"/>
      <c r="G460" s="223">
        <f>SUM(G461:G462)</f>
        <v>4853.7</v>
      </c>
      <c r="H460" s="22">
        <f>SUM(H462)</f>
        <v>3319.1</v>
      </c>
      <c r="I460" s="22">
        <f>SUM(H460/G482*100)</f>
        <v>10.98399608175368</v>
      </c>
    </row>
    <row r="461" spans="1:9" s="133" customFormat="1" ht="15">
      <c r="A461" s="156" t="s">
        <v>523</v>
      </c>
      <c r="B461" s="208"/>
      <c r="C461" s="186" t="s">
        <v>5</v>
      </c>
      <c r="D461" s="186" t="s">
        <v>106</v>
      </c>
      <c r="E461" s="186" t="s">
        <v>616</v>
      </c>
      <c r="F461" s="237" t="s">
        <v>120</v>
      </c>
      <c r="G461" s="223">
        <v>72.8</v>
      </c>
      <c r="H461" s="22"/>
      <c r="I461" s="22"/>
    </row>
    <row r="462" spans="1:9" s="133" customFormat="1" ht="15">
      <c r="A462" s="162" t="s">
        <v>528</v>
      </c>
      <c r="B462" s="208"/>
      <c r="C462" s="186" t="s">
        <v>5</v>
      </c>
      <c r="D462" s="186" t="s">
        <v>106</v>
      </c>
      <c r="E462" s="186" t="s">
        <v>616</v>
      </c>
      <c r="F462" s="237" t="s">
        <v>529</v>
      </c>
      <c r="G462" s="223">
        <v>4780.9</v>
      </c>
      <c r="H462" s="22">
        <v>3319.1</v>
      </c>
      <c r="I462" s="22">
        <f>SUM(H462/G483*100)</f>
        <v>12.094655409270953</v>
      </c>
    </row>
    <row r="463" spans="1:9" ht="15">
      <c r="A463" s="162" t="s">
        <v>185</v>
      </c>
      <c r="B463" s="208"/>
      <c r="C463" s="186" t="s">
        <v>5</v>
      </c>
      <c r="D463" s="186" t="s">
        <v>106</v>
      </c>
      <c r="E463" s="186" t="s">
        <v>186</v>
      </c>
      <c r="F463" s="237"/>
      <c r="G463" s="223">
        <f>SUM(G464)</f>
        <v>952.9</v>
      </c>
      <c r="H463" s="22">
        <f>SUM(H464+H468)</f>
        <v>17205.399999999998</v>
      </c>
      <c r="I463" s="22">
        <f>SUM(H463/G484*100)</f>
        <v>552.3580211242735</v>
      </c>
    </row>
    <row r="464" spans="1:9" ht="15">
      <c r="A464" s="162" t="s">
        <v>187</v>
      </c>
      <c r="B464" s="208"/>
      <c r="C464" s="186" t="s">
        <v>5</v>
      </c>
      <c r="D464" s="186" t="s">
        <v>106</v>
      </c>
      <c r="E464" s="186" t="s">
        <v>188</v>
      </c>
      <c r="F464" s="237"/>
      <c r="G464" s="223">
        <f>SUM(G465:G466)</f>
        <v>952.9</v>
      </c>
      <c r="H464" s="22">
        <f>SUM(H466)</f>
        <v>0</v>
      </c>
      <c r="I464" s="22">
        <f>SUM(H464/G485*100)</f>
        <v>0</v>
      </c>
    </row>
    <row r="465" spans="1:9" ht="15">
      <c r="A465" s="156" t="s">
        <v>523</v>
      </c>
      <c r="B465" s="208"/>
      <c r="C465" s="186" t="s">
        <v>5</v>
      </c>
      <c r="D465" s="186" t="s">
        <v>106</v>
      </c>
      <c r="E465" s="186" t="s">
        <v>188</v>
      </c>
      <c r="F465" s="237" t="s">
        <v>120</v>
      </c>
      <c r="G465" s="223">
        <v>248.9</v>
      </c>
      <c r="H465" s="22"/>
      <c r="I465" s="22"/>
    </row>
    <row r="466" spans="1:9" ht="15">
      <c r="A466" s="162" t="s">
        <v>528</v>
      </c>
      <c r="B466" s="208"/>
      <c r="C466" s="186" t="s">
        <v>5</v>
      </c>
      <c r="D466" s="186" t="s">
        <v>106</v>
      </c>
      <c r="E466" s="186" t="s">
        <v>188</v>
      </c>
      <c r="F466" s="237" t="s">
        <v>529</v>
      </c>
      <c r="G466" s="223">
        <v>704</v>
      </c>
      <c r="H466" s="22">
        <f>SUM(H467)</f>
        <v>0</v>
      </c>
      <c r="I466" s="22">
        <f>SUM(H466/G486*100)</f>
        <v>0</v>
      </c>
    </row>
    <row r="467" spans="1:9" ht="15">
      <c r="A467" s="162" t="s">
        <v>617</v>
      </c>
      <c r="B467" s="208"/>
      <c r="C467" s="186" t="s">
        <v>5</v>
      </c>
      <c r="D467" s="186" t="s">
        <v>106</v>
      </c>
      <c r="E467" s="186" t="s">
        <v>129</v>
      </c>
      <c r="F467" s="237"/>
      <c r="G467" s="223">
        <f>G468</f>
        <v>295.4</v>
      </c>
      <c r="H467" s="22"/>
      <c r="I467" s="22">
        <f>SUM(H467/G487*100)</f>
        <v>0</v>
      </c>
    </row>
    <row r="468" spans="1:9" ht="42.75">
      <c r="A468" s="162" t="s">
        <v>618</v>
      </c>
      <c r="B468" s="208"/>
      <c r="C468" s="186" t="s">
        <v>5</v>
      </c>
      <c r="D468" s="186" t="s">
        <v>106</v>
      </c>
      <c r="E468" s="186" t="s">
        <v>619</v>
      </c>
      <c r="F468" s="237"/>
      <c r="G468" s="223">
        <f>G469</f>
        <v>295.4</v>
      </c>
      <c r="H468" s="22">
        <f>SUM(H469)</f>
        <v>17205.399999999998</v>
      </c>
      <c r="I468" s="22">
        <f>SUM(H468/G488*100)</f>
        <v>477.6093715300909</v>
      </c>
    </row>
    <row r="469" spans="1:9" ht="15">
      <c r="A469" s="162" t="s">
        <v>528</v>
      </c>
      <c r="B469" s="208"/>
      <c r="C469" s="186" t="s">
        <v>5</v>
      </c>
      <c r="D469" s="186" t="s">
        <v>106</v>
      </c>
      <c r="E469" s="186" t="s">
        <v>619</v>
      </c>
      <c r="F469" s="237" t="s">
        <v>529</v>
      </c>
      <c r="G469" s="223">
        <v>295.4</v>
      </c>
      <c r="H469" s="22">
        <f>SUM(H475)+H476+H481+H470+H472</f>
        <v>17205.399999999998</v>
      </c>
      <c r="I469" s="22">
        <f>SUM(H469/G489*100)</f>
        <v>2832.630885742509</v>
      </c>
    </row>
    <row r="470" spans="1:9" ht="15">
      <c r="A470" s="170" t="s">
        <v>159</v>
      </c>
      <c r="B470" s="208"/>
      <c r="C470" s="186" t="s">
        <v>5</v>
      </c>
      <c r="D470" s="186" t="s">
        <v>122</v>
      </c>
      <c r="E470" s="186"/>
      <c r="F470" s="237"/>
      <c r="G470" s="223">
        <f>SUM(G471)</f>
        <v>30551.699999999997</v>
      </c>
      <c r="H470" s="22">
        <f>SUM(H471)</f>
        <v>241.8</v>
      </c>
      <c r="I470" s="22">
        <f>SUM(H470/G491*100)</f>
        <v>1.6592442135745116</v>
      </c>
    </row>
    <row r="471" spans="1:9" ht="15">
      <c r="A471" s="162" t="s">
        <v>160</v>
      </c>
      <c r="B471" s="208"/>
      <c r="C471" s="186" t="s">
        <v>5</v>
      </c>
      <c r="D471" s="186" t="s">
        <v>122</v>
      </c>
      <c r="E471" s="186" t="s">
        <v>225</v>
      </c>
      <c r="F471" s="237"/>
      <c r="G471" s="223">
        <f>SUM(G472)</f>
        <v>30551.699999999997</v>
      </c>
      <c r="H471" s="22">
        <v>241.8</v>
      </c>
      <c r="I471" s="22">
        <f>SUM(H471/G492*100)</f>
        <v>1.6592442135745116</v>
      </c>
    </row>
    <row r="472" spans="1:9" ht="28.5">
      <c r="A472" s="162" t="s">
        <v>498</v>
      </c>
      <c r="B472" s="208"/>
      <c r="C472" s="186" t="s">
        <v>5</v>
      </c>
      <c r="D472" s="186" t="s">
        <v>122</v>
      </c>
      <c r="E472" s="186" t="s">
        <v>163</v>
      </c>
      <c r="F472" s="237"/>
      <c r="G472" s="223">
        <f>SUM(G479+G473+G476)</f>
        <v>30551.699999999997</v>
      </c>
      <c r="H472" s="22">
        <f>SUM(H473)</f>
        <v>252</v>
      </c>
      <c r="I472" s="22">
        <f>SUM(H472/G493*100)</f>
        <v>4.563811869532933</v>
      </c>
    </row>
    <row r="473" spans="1:9" ht="15">
      <c r="A473" s="162" t="s">
        <v>164</v>
      </c>
      <c r="B473" s="208"/>
      <c r="C473" s="186" t="s">
        <v>5</v>
      </c>
      <c r="D473" s="186" t="s">
        <v>122</v>
      </c>
      <c r="E473" s="186" t="s">
        <v>165</v>
      </c>
      <c r="F473" s="237"/>
      <c r="G473" s="223">
        <f>SUM(G474:G475)</f>
        <v>6513.5</v>
      </c>
      <c r="H473" s="22">
        <v>252</v>
      </c>
      <c r="I473" s="22">
        <f>SUM(H473/G494*100)</f>
        <v>5.0923493513316895</v>
      </c>
    </row>
    <row r="474" spans="1:9" ht="15">
      <c r="A474" s="156" t="s">
        <v>523</v>
      </c>
      <c r="B474" s="208"/>
      <c r="C474" s="186" t="s">
        <v>5</v>
      </c>
      <c r="D474" s="186" t="s">
        <v>122</v>
      </c>
      <c r="E474" s="186" t="s">
        <v>165</v>
      </c>
      <c r="F474" s="237" t="s">
        <v>120</v>
      </c>
      <c r="G474" s="223">
        <v>96.7</v>
      </c>
      <c r="H474" s="22"/>
      <c r="I474" s="22"/>
    </row>
    <row r="475" spans="1:9" ht="15">
      <c r="A475" s="162" t="s">
        <v>528</v>
      </c>
      <c r="B475" s="208"/>
      <c r="C475" s="186" t="s">
        <v>5</v>
      </c>
      <c r="D475" s="186" t="s">
        <v>122</v>
      </c>
      <c r="E475" s="186" t="s">
        <v>165</v>
      </c>
      <c r="F475" s="237" t="s">
        <v>529</v>
      </c>
      <c r="G475" s="223">
        <v>6416.8</v>
      </c>
      <c r="H475" s="22">
        <f>SUM(H479)</f>
        <v>0</v>
      </c>
      <c r="I475" s="22">
        <f>SUM(H475/G495*100)</f>
        <v>0</v>
      </c>
    </row>
    <row r="476" spans="1:9" ht="15">
      <c r="A476" s="162" t="s">
        <v>499</v>
      </c>
      <c r="B476" s="208"/>
      <c r="C476" s="186" t="s">
        <v>5</v>
      </c>
      <c r="D476" s="186" t="s">
        <v>122</v>
      </c>
      <c r="E476" s="186" t="s">
        <v>166</v>
      </c>
      <c r="F476" s="237"/>
      <c r="G476" s="223">
        <f>SUM(G477:G478)</f>
        <v>5381.599999999999</v>
      </c>
      <c r="H476" s="22">
        <f>SUM(H478)</f>
        <v>0</v>
      </c>
      <c r="I476" s="22">
        <f>SUM(H476/G496*100)</f>
        <v>0</v>
      </c>
    </row>
    <row r="477" spans="1:9" ht="15">
      <c r="A477" s="156" t="s">
        <v>523</v>
      </c>
      <c r="B477" s="208"/>
      <c r="C477" s="186" t="s">
        <v>5</v>
      </c>
      <c r="D477" s="186" t="s">
        <v>122</v>
      </c>
      <c r="E477" s="186" t="s">
        <v>166</v>
      </c>
      <c r="F477" s="237" t="s">
        <v>120</v>
      </c>
      <c r="G477" s="223">
        <v>45.9</v>
      </c>
      <c r="H477" s="22"/>
      <c r="I477" s="22"/>
    </row>
    <row r="478" spans="1:9" ht="15">
      <c r="A478" s="162" t="s">
        <v>528</v>
      </c>
      <c r="B478" s="208"/>
      <c r="C478" s="186" t="s">
        <v>5</v>
      </c>
      <c r="D478" s="186" t="s">
        <v>122</v>
      </c>
      <c r="E478" s="186" t="s">
        <v>166</v>
      </c>
      <c r="F478" s="237" t="s">
        <v>529</v>
      </c>
      <c r="G478" s="223">
        <v>5335.7</v>
      </c>
      <c r="H478" s="22"/>
      <c r="I478" s="22">
        <f>SUM(H478/G497*100)</f>
        <v>0</v>
      </c>
    </row>
    <row r="479" spans="1:9" ht="15">
      <c r="A479" s="162" t="s">
        <v>500</v>
      </c>
      <c r="B479" s="208"/>
      <c r="C479" s="186" t="s">
        <v>5</v>
      </c>
      <c r="D479" s="186" t="s">
        <v>122</v>
      </c>
      <c r="E479" s="186" t="s">
        <v>501</v>
      </c>
      <c r="F479" s="237"/>
      <c r="G479" s="223">
        <f>SUM(G480:G481)</f>
        <v>18656.6</v>
      </c>
      <c r="H479" s="22"/>
      <c r="I479" s="22">
        <f>SUM(H479/G498*100)</f>
        <v>0</v>
      </c>
    </row>
    <row r="480" spans="1:9" ht="15">
      <c r="A480" s="156" t="s">
        <v>523</v>
      </c>
      <c r="B480" s="208"/>
      <c r="C480" s="186" t="s">
        <v>5</v>
      </c>
      <c r="D480" s="186" t="s">
        <v>122</v>
      </c>
      <c r="E480" s="186" t="s">
        <v>501</v>
      </c>
      <c r="F480" s="237" t="s">
        <v>120</v>
      </c>
      <c r="G480" s="223">
        <v>288.5</v>
      </c>
      <c r="H480" s="22"/>
      <c r="I480" s="22"/>
    </row>
    <row r="481" spans="1:9" ht="15">
      <c r="A481" s="162" t="s">
        <v>528</v>
      </c>
      <c r="B481" s="208"/>
      <c r="C481" s="186" t="s">
        <v>5</v>
      </c>
      <c r="D481" s="186" t="s">
        <v>122</v>
      </c>
      <c r="E481" s="186" t="s">
        <v>501</v>
      </c>
      <c r="F481" s="237" t="s">
        <v>529</v>
      </c>
      <c r="G481" s="223">
        <v>18368.1</v>
      </c>
      <c r="H481" s="22">
        <f>SUM(H482)</f>
        <v>16711.6</v>
      </c>
      <c r="I481" s="22">
        <f aca="true" t="shared" si="10" ref="I481:I488">SUM(H481/G499*100)</f>
        <v>1486.0039125022229</v>
      </c>
    </row>
    <row r="482" spans="1:9" ht="15">
      <c r="A482" s="162" t="s">
        <v>167</v>
      </c>
      <c r="B482" s="208"/>
      <c r="C482" s="186" t="s">
        <v>5</v>
      </c>
      <c r="D482" s="186" t="s">
        <v>396</v>
      </c>
      <c r="E482" s="186"/>
      <c r="F482" s="237"/>
      <c r="G482" s="223">
        <f>G483+G496+G504</f>
        <v>30217.6</v>
      </c>
      <c r="H482" s="22">
        <v>16711.6</v>
      </c>
      <c r="I482" s="22">
        <f t="shared" si="10"/>
        <v>1486.0039125022229</v>
      </c>
    </row>
    <row r="483" spans="1:9" ht="28.5">
      <c r="A483" s="162" t="s">
        <v>99</v>
      </c>
      <c r="B483" s="208"/>
      <c r="C483" s="186" t="s">
        <v>5</v>
      </c>
      <c r="D483" s="186" t="s">
        <v>396</v>
      </c>
      <c r="E483" s="186" t="s">
        <v>100</v>
      </c>
      <c r="F483" s="237"/>
      <c r="G483" s="223">
        <f>G484+G487+G491+G493</f>
        <v>27442.7</v>
      </c>
      <c r="H483" s="22">
        <f>SUM(H484)</f>
        <v>15109.199999999999</v>
      </c>
      <c r="I483" s="22">
        <f t="shared" si="10"/>
        <v>1189.4198220892702</v>
      </c>
    </row>
    <row r="484" spans="1:9" ht="15">
      <c r="A484" s="162" t="s">
        <v>107</v>
      </c>
      <c r="B484" s="208"/>
      <c r="C484" s="186" t="s">
        <v>5</v>
      </c>
      <c r="D484" s="186" t="s">
        <v>396</v>
      </c>
      <c r="E484" s="186" t="s">
        <v>109</v>
      </c>
      <c r="F484" s="237"/>
      <c r="G484" s="223">
        <f>G485+G486</f>
        <v>3114.9</v>
      </c>
      <c r="H484" s="22">
        <f>SUM(H485)</f>
        <v>15109.199999999999</v>
      </c>
      <c r="I484" s="22" t="e">
        <f t="shared" si="10"/>
        <v>#DIV/0!</v>
      </c>
    </row>
    <row r="485" spans="1:11" ht="28.5">
      <c r="A485" s="162" t="s">
        <v>620</v>
      </c>
      <c r="B485" s="208"/>
      <c r="C485" s="186" t="s">
        <v>5</v>
      </c>
      <c r="D485" s="186" t="s">
        <v>396</v>
      </c>
      <c r="E485" s="186" t="s">
        <v>109</v>
      </c>
      <c r="F485" s="237" t="s">
        <v>519</v>
      </c>
      <c r="G485" s="223">
        <v>3102.3</v>
      </c>
      <c r="H485" s="22">
        <f>SUM(H494+H487+H489+H496+H486)</f>
        <v>15109.199999999999</v>
      </c>
      <c r="I485" s="22">
        <f t="shared" si="10"/>
        <v>1189.4198220892702</v>
      </c>
      <c r="K485" s="151"/>
    </row>
    <row r="486" spans="1:9" ht="15">
      <c r="A486" s="162" t="s">
        <v>523</v>
      </c>
      <c r="B486" s="208"/>
      <c r="C486" s="186" t="s">
        <v>5</v>
      </c>
      <c r="D486" s="186" t="s">
        <v>396</v>
      </c>
      <c r="E486" s="186" t="s">
        <v>109</v>
      </c>
      <c r="F486" s="237" t="s">
        <v>120</v>
      </c>
      <c r="G486" s="223">
        <v>12.6</v>
      </c>
      <c r="H486" s="22">
        <v>227.6</v>
      </c>
      <c r="I486" s="22">
        <f t="shared" si="10"/>
        <v>151.73333333333332</v>
      </c>
    </row>
    <row r="487" spans="1:9" ht="42.75">
      <c r="A487" s="162" t="s">
        <v>621</v>
      </c>
      <c r="B487" s="208"/>
      <c r="C487" s="186" t="s">
        <v>5</v>
      </c>
      <c r="D487" s="186" t="s">
        <v>396</v>
      </c>
      <c r="E487" s="186" t="s">
        <v>170</v>
      </c>
      <c r="F487" s="237"/>
      <c r="G487" s="223">
        <f>SUM(G488:G490)</f>
        <v>4233.2</v>
      </c>
      <c r="H487" s="22">
        <f>SUM(H488)</f>
        <v>0</v>
      </c>
      <c r="I487" s="22">
        <f t="shared" si="10"/>
        <v>0</v>
      </c>
    </row>
    <row r="488" spans="1:9" ht="28.5">
      <c r="A488" s="162" t="s">
        <v>620</v>
      </c>
      <c r="B488" s="208"/>
      <c r="C488" s="186" t="s">
        <v>5</v>
      </c>
      <c r="D488" s="186" t="s">
        <v>396</v>
      </c>
      <c r="E488" s="186" t="s">
        <v>170</v>
      </c>
      <c r="F488" s="237" t="s">
        <v>519</v>
      </c>
      <c r="G488" s="223">
        <v>3602.4</v>
      </c>
      <c r="H488" s="22"/>
      <c r="I488" s="22">
        <f t="shared" si="10"/>
        <v>0</v>
      </c>
    </row>
    <row r="489" spans="1:9" s="145" customFormat="1" ht="15">
      <c r="A489" s="162" t="s">
        <v>523</v>
      </c>
      <c r="B489" s="249"/>
      <c r="C489" s="186" t="s">
        <v>5</v>
      </c>
      <c r="D489" s="186" t="s">
        <v>396</v>
      </c>
      <c r="E489" s="186" t="s">
        <v>170</v>
      </c>
      <c r="F489" s="237" t="s">
        <v>120</v>
      </c>
      <c r="G489" s="223">
        <v>607.4</v>
      </c>
      <c r="H489" s="22">
        <f>SUM(H491)</f>
        <v>2507.7</v>
      </c>
      <c r="I489" s="22" t="e">
        <f>SUM(H489/#REF!*100)</f>
        <v>#REF!</v>
      </c>
    </row>
    <row r="490" spans="1:9" s="145" customFormat="1" ht="15">
      <c r="A490" s="156" t="s">
        <v>524</v>
      </c>
      <c r="B490" s="249"/>
      <c r="C490" s="186" t="s">
        <v>5</v>
      </c>
      <c r="D490" s="186" t="s">
        <v>396</v>
      </c>
      <c r="E490" s="186" t="s">
        <v>170</v>
      </c>
      <c r="F490" s="237" t="s">
        <v>177</v>
      </c>
      <c r="G490" s="223">
        <v>23.4</v>
      </c>
      <c r="H490" s="22"/>
      <c r="I490" s="22"/>
    </row>
    <row r="491" spans="1:9" s="145" customFormat="1" ht="28.5">
      <c r="A491" s="162" t="s">
        <v>168</v>
      </c>
      <c r="B491" s="208"/>
      <c r="C491" s="186" t="s">
        <v>5</v>
      </c>
      <c r="D491" s="186" t="s">
        <v>396</v>
      </c>
      <c r="E491" s="186" t="s">
        <v>169</v>
      </c>
      <c r="F491" s="237"/>
      <c r="G491" s="223">
        <f>SUM(G492)</f>
        <v>14572.9</v>
      </c>
      <c r="H491" s="22">
        <v>2507.7</v>
      </c>
      <c r="I491" s="22" t="e">
        <f>SUM(H491/#REF!*100)</f>
        <v>#REF!</v>
      </c>
    </row>
    <row r="492" spans="1:9" s="145" customFormat="1" ht="28.5">
      <c r="A492" s="162" t="s">
        <v>620</v>
      </c>
      <c r="B492" s="208"/>
      <c r="C492" s="186" t="s">
        <v>5</v>
      </c>
      <c r="D492" s="186" t="s">
        <v>396</v>
      </c>
      <c r="E492" s="186" t="s">
        <v>169</v>
      </c>
      <c r="F492" s="237" t="s">
        <v>519</v>
      </c>
      <c r="G492" s="223">
        <v>14572.9</v>
      </c>
      <c r="H492" s="22"/>
      <c r="I492" s="22" t="e">
        <f>SUM(H492/#REF!*100)</f>
        <v>#REF!</v>
      </c>
    </row>
    <row r="493" spans="1:9" ht="28.5">
      <c r="A493" s="162" t="s">
        <v>171</v>
      </c>
      <c r="B493" s="249"/>
      <c r="C493" s="186" t="s">
        <v>5</v>
      </c>
      <c r="D493" s="186" t="s">
        <v>396</v>
      </c>
      <c r="E493" s="186" t="s">
        <v>172</v>
      </c>
      <c r="F493" s="237"/>
      <c r="G493" s="223">
        <f>G494+G495</f>
        <v>5521.700000000001</v>
      </c>
      <c r="H493" s="22">
        <f>2956.3+101.6</f>
        <v>3057.9</v>
      </c>
      <c r="I493" s="22" t="e">
        <f>SUM(H493/#REF!*100)</f>
        <v>#REF!</v>
      </c>
    </row>
    <row r="494" spans="1:9" ht="28.5">
      <c r="A494" s="162" t="s">
        <v>620</v>
      </c>
      <c r="B494" s="208"/>
      <c r="C494" s="186" t="s">
        <v>5</v>
      </c>
      <c r="D494" s="186" t="s">
        <v>396</v>
      </c>
      <c r="E494" s="186" t="s">
        <v>172</v>
      </c>
      <c r="F494" s="237" t="s">
        <v>519</v>
      </c>
      <c r="G494" s="223">
        <v>4948.6</v>
      </c>
      <c r="H494" s="22">
        <f>SUM(H495)</f>
        <v>10267.1</v>
      </c>
      <c r="I494" s="22" t="e">
        <f>SUM(H494/#REF!*100)</f>
        <v>#REF!</v>
      </c>
    </row>
    <row r="495" spans="1:9" ht="15">
      <c r="A495" s="162" t="s">
        <v>523</v>
      </c>
      <c r="B495" s="208"/>
      <c r="C495" s="186" t="s">
        <v>5</v>
      </c>
      <c r="D495" s="186" t="s">
        <v>396</v>
      </c>
      <c r="E495" s="186" t="s">
        <v>172</v>
      </c>
      <c r="F495" s="237" t="s">
        <v>120</v>
      </c>
      <c r="G495" s="223">
        <v>573.1</v>
      </c>
      <c r="H495" s="22">
        <v>10267.1</v>
      </c>
      <c r="I495" s="22" t="e">
        <f>SUM(H495/#REF!*100)</f>
        <v>#REF!</v>
      </c>
    </row>
    <row r="496" spans="1:9" s="145" customFormat="1" ht="28.5">
      <c r="A496" s="162" t="s">
        <v>520</v>
      </c>
      <c r="B496" s="208"/>
      <c r="C496" s="186" t="s">
        <v>5</v>
      </c>
      <c r="D496" s="186" t="s">
        <v>396</v>
      </c>
      <c r="E496" s="186" t="s">
        <v>521</v>
      </c>
      <c r="F496" s="237"/>
      <c r="G496" s="223">
        <f>G497+G499+G501</f>
        <v>2624.8999999999996</v>
      </c>
      <c r="H496" s="22">
        <f>SUM(H497)</f>
        <v>2106.8</v>
      </c>
      <c r="I496" s="22" t="e">
        <f>SUM(H496/#REF!*100)</f>
        <v>#REF!</v>
      </c>
    </row>
    <row r="497" spans="1:9" ht="15">
      <c r="A497" s="162" t="s">
        <v>509</v>
      </c>
      <c r="B497" s="249"/>
      <c r="C497" s="186" t="s">
        <v>5</v>
      </c>
      <c r="D497" s="186" t="s">
        <v>396</v>
      </c>
      <c r="E497" s="186" t="s">
        <v>522</v>
      </c>
      <c r="F497" s="237"/>
      <c r="G497" s="223">
        <f>SUM(G498)</f>
        <v>230</v>
      </c>
      <c r="H497" s="22">
        <v>2106.8</v>
      </c>
      <c r="I497" s="22" t="e">
        <f>SUM(H497/#REF!*100)</f>
        <v>#REF!</v>
      </c>
    </row>
    <row r="498" spans="1:9" s="133" customFormat="1" ht="15">
      <c r="A498" s="162" t="s">
        <v>523</v>
      </c>
      <c r="B498" s="208"/>
      <c r="C498" s="186" t="s">
        <v>5</v>
      </c>
      <c r="D498" s="186" t="s">
        <v>396</v>
      </c>
      <c r="E498" s="186" t="s">
        <v>522</v>
      </c>
      <c r="F498" s="237" t="s">
        <v>120</v>
      </c>
      <c r="G498" s="223">
        <v>230</v>
      </c>
      <c r="H498" s="22"/>
      <c r="I498" s="22"/>
    </row>
    <row r="499" spans="1:9" s="133" customFormat="1" ht="28.5">
      <c r="A499" s="162" t="s">
        <v>510</v>
      </c>
      <c r="B499" s="249"/>
      <c r="C499" s="186" t="s">
        <v>5</v>
      </c>
      <c r="D499" s="186" t="s">
        <v>396</v>
      </c>
      <c r="E499" s="186" t="s">
        <v>525</v>
      </c>
      <c r="F499" s="237"/>
      <c r="G499" s="223">
        <f>SUM(G500)</f>
        <v>1124.6</v>
      </c>
      <c r="H499" s="22"/>
      <c r="I499" s="22"/>
    </row>
    <row r="500" spans="1:9" s="133" customFormat="1" ht="15">
      <c r="A500" s="162" t="s">
        <v>523</v>
      </c>
      <c r="B500" s="208"/>
      <c r="C500" s="186" t="s">
        <v>5</v>
      </c>
      <c r="D500" s="186" t="s">
        <v>396</v>
      </c>
      <c r="E500" s="186" t="s">
        <v>525</v>
      </c>
      <c r="F500" s="237" t="s">
        <v>120</v>
      </c>
      <c r="G500" s="223">
        <v>1124.6</v>
      </c>
      <c r="H500" s="22"/>
      <c r="I500" s="22"/>
    </row>
    <row r="501" spans="1:9" s="133" customFormat="1" ht="28.5">
      <c r="A501" s="162" t="s">
        <v>526</v>
      </c>
      <c r="B501" s="249"/>
      <c r="C501" s="186" t="s">
        <v>5</v>
      </c>
      <c r="D501" s="186" t="s">
        <v>396</v>
      </c>
      <c r="E501" s="186" t="s">
        <v>527</v>
      </c>
      <c r="F501" s="237"/>
      <c r="G501" s="223">
        <f>G502+G503</f>
        <v>1270.3</v>
      </c>
      <c r="H501" s="22">
        <v>1026.3</v>
      </c>
      <c r="I501" s="22" t="e">
        <f>SUM(H501/#REF!*100)</f>
        <v>#REF!</v>
      </c>
    </row>
    <row r="502" spans="1:9" s="133" customFormat="1" ht="28.5" hidden="1">
      <c r="A502" s="162" t="s">
        <v>620</v>
      </c>
      <c r="B502" s="208"/>
      <c r="C502" s="186" t="s">
        <v>5</v>
      </c>
      <c r="D502" s="186" t="s">
        <v>396</v>
      </c>
      <c r="E502" s="186" t="s">
        <v>527</v>
      </c>
      <c r="F502" s="237" t="s">
        <v>519</v>
      </c>
      <c r="G502" s="223"/>
      <c r="H502" s="22"/>
      <c r="I502" s="22"/>
    </row>
    <row r="503" spans="1:9" s="133" customFormat="1" ht="15">
      <c r="A503" s="162" t="s">
        <v>523</v>
      </c>
      <c r="B503" s="208"/>
      <c r="C503" s="186" t="s">
        <v>5</v>
      </c>
      <c r="D503" s="186" t="s">
        <v>396</v>
      </c>
      <c r="E503" s="186" t="s">
        <v>527</v>
      </c>
      <c r="F503" s="237" t="s">
        <v>120</v>
      </c>
      <c r="G503" s="223">
        <v>1270.3</v>
      </c>
      <c r="H503" s="22"/>
      <c r="I503" s="22"/>
    </row>
    <row r="504" spans="1:9" s="133" customFormat="1" ht="15">
      <c r="A504" s="162" t="s">
        <v>617</v>
      </c>
      <c r="B504" s="208"/>
      <c r="C504" s="186" t="s">
        <v>5</v>
      </c>
      <c r="D504" s="186" t="s">
        <v>396</v>
      </c>
      <c r="E504" s="186" t="s">
        <v>129</v>
      </c>
      <c r="F504" s="237"/>
      <c r="G504" s="223">
        <f>G505</f>
        <v>150</v>
      </c>
      <c r="H504" s="22"/>
      <c r="I504" s="22"/>
    </row>
    <row r="505" spans="1:9" s="133" customFormat="1" ht="71.25">
      <c r="A505" s="162" t="s">
        <v>990</v>
      </c>
      <c r="B505" s="208"/>
      <c r="C505" s="186" t="s">
        <v>5</v>
      </c>
      <c r="D505" s="186" t="s">
        <v>396</v>
      </c>
      <c r="E505" s="186" t="s">
        <v>370</v>
      </c>
      <c r="F505" s="237"/>
      <c r="G505" s="223">
        <f>G506</f>
        <v>150</v>
      </c>
      <c r="H505" s="22"/>
      <c r="I505" s="22"/>
    </row>
    <row r="506" spans="1:9" ht="28.5">
      <c r="A506" s="162" t="s">
        <v>615</v>
      </c>
      <c r="B506" s="208"/>
      <c r="C506" s="186" t="s">
        <v>5</v>
      </c>
      <c r="D506" s="186" t="s">
        <v>396</v>
      </c>
      <c r="E506" s="186" t="s">
        <v>370</v>
      </c>
      <c r="F506" s="237" t="s">
        <v>536</v>
      </c>
      <c r="G506" s="223">
        <v>150</v>
      </c>
      <c r="H506" s="22"/>
      <c r="I506" s="22"/>
    </row>
    <row r="507" spans="1:9" ht="30">
      <c r="A507" s="169" t="s">
        <v>511</v>
      </c>
      <c r="B507" s="194" t="s">
        <v>204</v>
      </c>
      <c r="C507" s="250"/>
      <c r="D507" s="250"/>
      <c r="E507" s="250"/>
      <c r="F507" s="251"/>
      <c r="G507" s="258">
        <f>SUM(G508+G514)</f>
        <v>62961.4</v>
      </c>
      <c r="H507" s="22"/>
      <c r="I507" s="22"/>
    </row>
    <row r="508" spans="1:9" ht="15">
      <c r="A508" s="156" t="s">
        <v>116</v>
      </c>
      <c r="B508" s="74"/>
      <c r="C508" s="182" t="s">
        <v>117</v>
      </c>
      <c r="D508" s="182"/>
      <c r="E508" s="182"/>
      <c r="F508" s="197"/>
      <c r="G508" s="215">
        <f>SUM(G509)</f>
        <v>55813.3</v>
      </c>
      <c r="H508" s="22"/>
      <c r="I508" s="22"/>
    </row>
    <row r="509" spans="1:9" ht="15">
      <c r="A509" s="156" t="s">
        <v>347</v>
      </c>
      <c r="B509" s="199"/>
      <c r="C509" s="182" t="s">
        <v>117</v>
      </c>
      <c r="D509" s="182" t="s">
        <v>468</v>
      </c>
      <c r="E509" s="182"/>
      <c r="F509" s="197"/>
      <c r="G509" s="215">
        <f>SUM(G510)</f>
        <v>55813.3</v>
      </c>
      <c r="H509" s="22"/>
      <c r="I509" s="22"/>
    </row>
    <row r="510" spans="1:9" ht="15">
      <c r="A510" s="156" t="s">
        <v>665</v>
      </c>
      <c r="B510" s="74"/>
      <c r="C510" s="182" t="s">
        <v>117</v>
      </c>
      <c r="D510" s="182" t="s">
        <v>468</v>
      </c>
      <c r="E510" s="182" t="s">
        <v>325</v>
      </c>
      <c r="F510" s="197"/>
      <c r="G510" s="215">
        <f>SUM(G511)</f>
        <v>55813.3</v>
      </c>
      <c r="H510" s="22"/>
      <c r="I510" s="22"/>
    </row>
    <row r="511" spans="1:9" ht="15">
      <c r="A511" s="156" t="s">
        <v>630</v>
      </c>
      <c r="B511" s="199"/>
      <c r="C511" s="182" t="s">
        <v>117</v>
      </c>
      <c r="D511" s="182" t="s">
        <v>468</v>
      </c>
      <c r="E511" s="182" t="s">
        <v>78</v>
      </c>
      <c r="F511" s="197"/>
      <c r="G511" s="215">
        <f>SUM(G512)</f>
        <v>55813.3</v>
      </c>
      <c r="H511" s="22"/>
      <c r="I511" s="22"/>
    </row>
    <row r="512" spans="1:9" ht="28.5">
      <c r="A512" s="156" t="s">
        <v>94</v>
      </c>
      <c r="B512" s="199"/>
      <c r="C512" s="182" t="s">
        <v>117</v>
      </c>
      <c r="D512" s="182" t="s">
        <v>468</v>
      </c>
      <c r="E512" s="182" t="s">
        <v>79</v>
      </c>
      <c r="F512" s="197"/>
      <c r="G512" s="215">
        <f>SUM(G513)</f>
        <v>55813.3</v>
      </c>
      <c r="H512" s="124"/>
      <c r="I512" s="22"/>
    </row>
    <row r="513" spans="1:9" ht="28.5">
      <c r="A513" s="162" t="s">
        <v>540</v>
      </c>
      <c r="B513" s="206"/>
      <c r="C513" s="182" t="s">
        <v>117</v>
      </c>
      <c r="D513" s="182" t="s">
        <v>468</v>
      </c>
      <c r="E513" s="182" t="s">
        <v>79</v>
      </c>
      <c r="F513" s="198" t="s">
        <v>536</v>
      </c>
      <c r="G513" s="215">
        <v>55813.3</v>
      </c>
      <c r="H513" s="124"/>
      <c r="I513" s="22"/>
    </row>
    <row r="514" spans="1:9" ht="15.75">
      <c r="A514" s="156" t="s">
        <v>248</v>
      </c>
      <c r="B514" s="74"/>
      <c r="C514" s="182" t="s">
        <v>424</v>
      </c>
      <c r="D514" s="182"/>
      <c r="E514" s="182"/>
      <c r="F514" s="197"/>
      <c r="G514" s="215">
        <f>SUM(G515+G535+G531)</f>
        <v>7148.1</v>
      </c>
      <c r="H514" s="124"/>
      <c r="I514" s="22"/>
    </row>
    <row r="515" spans="1:9" ht="15.75">
      <c r="A515" s="156" t="s">
        <v>241</v>
      </c>
      <c r="B515" s="74"/>
      <c r="C515" s="114" t="s">
        <v>424</v>
      </c>
      <c r="D515" s="114" t="s">
        <v>466</v>
      </c>
      <c r="E515" s="114"/>
      <c r="F515" s="196"/>
      <c r="G515" s="215">
        <f>SUM(G516,G518,G524)</f>
        <v>7148.1</v>
      </c>
      <c r="H515" s="124"/>
      <c r="I515" s="22"/>
    </row>
    <row r="516" spans="1:9" ht="15.75" hidden="1">
      <c r="A516" s="162" t="s">
        <v>392</v>
      </c>
      <c r="B516" s="74"/>
      <c r="C516" s="114" t="s">
        <v>304</v>
      </c>
      <c r="D516" s="114" t="s">
        <v>124</v>
      </c>
      <c r="E516" s="182" t="s">
        <v>393</v>
      </c>
      <c r="F516" s="197"/>
      <c r="G516" s="215">
        <f>SUM(G517)</f>
        <v>0</v>
      </c>
      <c r="H516" s="124"/>
      <c r="I516" s="22"/>
    </row>
    <row r="517" spans="1:9" ht="15.75" hidden="1">
      <c r="A517" s="156" t="s">
        <v>103</v>
      </c>
      <c r="B517" s="74"/>
      <c r="C517" s="114" t="s">
        <v>304</v>
      </c>
      <c r="D517" s="114" t="s">
        <v>124</v>
      </c>
      <c r="E517" s="182" t="s">
        <v>393</v>
      </c>
      <c r="F517" s="197" t="s">
        <v>104</v>
      </c>
      <c r="G517" s="215">
        <f>50.3-50.3</f>
        <v>0</v>
      </c>
      <c r="H517" s="124"/>
      <c r="I517" s="22"/>
    </row>
    <row r="518" spans="1:9" ht="28.5">
      <c r="A518" s="156" t="s">
        <v>512</v>
      </c>
      <c r="B518" s="74"/>
      <c r="C518" s="114" t="s">
        <v>424</v>
      </c>
      <c r="D518" s="114" t="s">
        <v>466</v>
      </c>
      <c r="E518" s="114" t="s">
        <v>513</v>
      </c>
      <c r="F518" s="197"/>
      <c r="G518" s="215">
        <f>SUM(G519)</f>
        <v>3854.3</v>
      </c>
      <c r="H518" s="124"/>
      <c r="I518" s="22"/>
    </row>
    <row r="519" spans="1:9" ht="28.5">
      <c r="A519" s="156" t="s">
        <v>56</v>
      </c>
      <c r="B519" s="74"/>
      <c r="C519" s="114" t="s">
        <v>424</v>
      </c>
      <c r="D519" s="114" t="s">
        <v>466</v>
      </c>
      <c r="E519" s="114" t="s">
        <v>514</v>
      </c>
      <c r="F519" s="197"/>
      <c r="G519" s="215">
        <f>SUM(G520)</f>
        <v>3854.3</v>
      </c>
      <c r="H519" s="124"/>
      <c r="I519" s="22"/>
    </row>
    <row r="520" spans="1:9" ht="28.5">
      <c r="A520" s="156" t="s">
        <v>666</v>
      </c>
      <c r="B520" s="74"/>
      <c r="C520" s="114" t="s">
        <v>424</v>
      </c>
      <c r="D520" s="114" t="s">
        <v>466</v>
      </c>
      <c r="E520" s="114" t="s">
        <v>593</v>
      </c>
      <c r="F520" s="197"/>
      <c r="G520" s="215">
        <f>SUM(G521:G523)</f>
        <v>3854.3</v>
      </c>
      <c r="H520" s="124"/>
      <c r="I520" s="22"/>
    </row>
    <row r="521" spans="1:9" ht="28.5">
      <c r="A521" s="156" t="s">
        <v>518</v>
      </c>
      <c r="B521" s="74"/>
      <c r="C521" s="114" t="s">
        <v>424</v>
      </c>
      <c r="D521" s="114" t="s">
        <v>466</v>
      </c>
      <c r="E521" s="114" t="s">
        <v>593</v>
      </c>
      <c r="F521" s="196" t="s">
        <v>519</v>
      </c>
      <c r="G521" s="215">
        <v>3228.9</v>
      </c>
      <c r="H521" s="22">
        <f>SUM(H522)</f>
        <v>79.5</v>
      </c>
      <c r="I521" s="22"/>
    </row>
    <row r="522" spans="1:9" ht="15">
      <c r="A522" s="156" t="s">
        <v>523</v>
      </c>
      <c r="B522" s="74"/>
      <c r="C522" s="114" t="s">
        <v>424</v>
      </c>
      <c r="D522" s="114" t="s">
        <v>466</v>
      </c>
      <c r="E522" s="114" t="s">
        <v>593</v>
      </c>
      <c r="F522" s="196" t="s">
        <v>120</v>
      </c>
      <c r="G522" s="216">
        <v>619.4</v>
      </c>
      <c r="H522" s="22">
        <v>79.5</v>
      </c>
      <c r="I522" s="22"/>
    </row>
    <row r="523" spans="1:9" ht="15">
      <c r="A523" s="156" t="s">
        <v>524</v>
      </c>
      <c r="B523" s="74"/>
      <c r="C523" s="114" t="s">
        <v>424</v>
      </c>
      <c r="D523" s="114" t="s">
        <v>466</v>
      </c>
      <c r="E523" s="114" t="s">
        <v>593</v>
      </c>
      <c r="F523" s="197" t="s">
        <v>177</v>
      </c>
      <c r="G523" s="215">
        <v>6</v>
      </c>
      <c r="H523" s="22">
        <f>SUM(H525)</f>
        <v>186.6</v>
      </c>
      <c r="I523" s="22" t="e">
        <f>SUM(H523/G544*100)</f>
        <v>#DIV/0!</v>
      </c>
    </row>
    <row r="524" spans="1:9" ht="15">
      <c r="A524" s="162" t="s">
        <v>617</v>
      </c>
      <c r="B524" s="74"/>
      <c r="C524" s="114" t="s">
        <v>424</v>
      </c>
      <c r="D524" s="114" t="s">
        <v>466</v>
      </c>
      <c r="E524" s="187" t="s">
        <v>129</v>
      </c>
      <c r="F524" s="196"/>
      <c r="G524" s="215">
        <f>SUM(G525)</f>
        <v>3293.8</v>
      </c>
      <c r="H524" s="22">
        <f>SUM(H525)</f>
        <v>186.6</v>
      </c>
      <c r="I524" s="22" t="e">
        <f>SUM(H524/G545*100)</f>
        <v>#DIV/0!</v>
      </c>
    </row>
    <row r="525" spans="1:9" ht="28.5">
      <c r="A525" s="156" t="s">
        <v>663</v>
      </c>
      <c r="B525" s="74"/>
      <c r="C525" s="114" t="s">
        <v>424</v>
      </c>
      <c r="D525" s="114" t="s">
        <v>466</v>
      </c>
      <c r="E525" s="187" t="s">
        <v>98</v>
      </c>
      <c r="F525" s="196"/>
      <c r="G525" s="215">
        <f>SUM(G526:G528)</f>
        <v>3293.8</v>
      </c>
      <c r="H525" s="22">
        <v>186.6</v>
      </c>
      <c r="I525" s="22" t="e">
        <f>SUM(H525/G546*100)</f>
        <v>#DIV/0!</v>
      </c>
    </row>
    <row r="526" spans="1:9" ht="28.5">
      <c r="A526" s="156" t="s">
        <v>518</v>
      </c>
      <c r="B526" s="74"/>
      <c r="C526" s="114" t="s">
        <v>424</v>
      </c>
      <c r="D526" s="114" t="s">
        <v>466</v>
      </c>
      <c r="E526" s="187" t="s">
        <v>98</v>
      </c>
      <c r="F526" s="196" t="s">
        <v>519</v>
      </c>
      <c r="G526" s="215">
        <v>700</v>
      </c>
      <c r="H526" s="22"/>
      <c r="I526" s="22"/>
    </row>
    <row r="527" spans="1:9" ht="15.75">
      <c r="A527" s="156" t="s">
        <v>523</v>
      </c>
      <c r="B527" s="74"/>
      <c r="C527" s="114" t="s">
        <v>424</v>
      </c>
      <c r="D527" s="114" t="s">
        <v>466</v>
      </c>
      <c r="E527" s="187" t="s">
        <v>98</v>
      </c>
      <c r="F527" s="196" t="s">
        <v>120</v>
      </c>
      <c r="G527" s="215">
        <v>1621.8</v>
      </c>
      <c r="H527" s="124" t="e">
        <f>SUM(H528)</f>
        <v>#REF!</v>
      </c>
      <c r="I527" s="124" t="e">
        <f>SUM(H527/#REF!*100)</f>
        <v>#REF!</v>
      </c>
    </row>
    <row r="528" spans="1:9" ht="28.5">
      <c r="A528" s="162" t="s">
        <v>540</v>
      </c>
      <c r="B528" s="74"/>
      <c r="C528" s="114" t="s">
        <v>424</v>
      </c>
      <c r="D528" s="114" t="s">
        <v>466</v>
      </c>
      <c r="E528" s="187" t="s">
        <v>98</v>
      </c>
      <c r="F528" s="196" t="s">
        <v>536</v>
      </c>
      <c r="G528" s="215">
        <v>972</v>
      </c>
      <c r="H528" s="22" t="e">
        <f>SUM(H529)</f>
        <v>#REF!</v>
      </c>
      <c r="I528" s="22" t="e">
        <f>SUM(H528/#REF!*100)</f>
        <v>#REF!</v>
      </c>
    </row>
    <row r="529" spans="1:9" ht="28.5" hidden="1">
      <c r="A529" s="156" t="s">
        <v>152</v>
      </c>
      <c r="B529" s="74"/>
      <c r="C529" s="114" t="s">
        <v>424</v>
      </c>
      <c r="D529" s="114" t="s">
        <v>466</v>
      </c>
      <c r="E529" s="187" t="s">
        <v>417</v>
      </c>
      <c r="F529" s="196"/>
      <c r="G529" s="215">
        <f>SUM(G530)</f>
        <v>0</v>
      </c>
      <c r="H529" s="22" t="e">
        <f>SUM(H530+#REF!)</f>
        <v>#REF!</v>
      </c>
      <c r="I529" s="22" t="e">
        <f>SUM(H529/#REF!*100)</f>
        <v>#REF!</v>
      </c>
    </row>
    <row r="530" spans="1:9" ht="15" hidden="1">
      <c r="A530" s="162" t="s">
        <v>143</v>
      </c>
      <c r="B530" s="74"/>
      <c r="C530" s="114" t="s">
        <v>424</v>
      </c>
      <c r="D530" s="114" t="s">
        <v>466</v>
      </c>
      <c r="E530" s="187" t="s">
        <v>417</v>
      </c>
      <c r="F530" s="196" t="s">
        <v>83</v>
      </c>
      <c r="G530" s="215"/>
      <c r="H530" s="22" t="e">
        <f>SUM(H531+H533+#REF!+#REF!+#REF!+#REF!)</f>
        <v>#REF!</v>
      </c>
      <c r="I530" s="22" t="e">
        <f>SUM(H530/#REF!*100)</f>
        <v>#REF!</v>
      </c>
    </row>
    <row r="531" spans="1:9" ht="15" hidden="1">
      <c r="A531" s="156" t="s">
        <v>155</v>
      </c>
      <c r="B531" s="74"/>
      <c r="C531" s="114" t="s">
        <v>424</v>
      </c>
      <c r="D531" s="114" t="s">
        <v>468</v>
      </c>
      <c r="E531" s="182"/>
      <c r="F531" s="197"/>
      <c r="G531" s="215">
        <f>SUM(G532)</f>
        <v>0</v>
      </c>
      <c r="H531" s="22">
        <f>SUM(H532)</f>
        <v>2461.2</v>
      </c>
      <c r="I531" s="22" t="e">
        <f>SUM(H531/#REF!*100)</f>
        <v>#REF!</v>
      </c>
    </row>
    <row r="532" spans="1:9" ht="15" hidden="1">
      <c r="A532" s="156" t="s">
        <v>3</v>
      </c>
      <c r="B532" s="74"/>
      <c r="C532" s="114" t="s">
        <v>424</v>
      </c>
      <c r="D532" s="114" t="s">
        <v>468</v>
      </c>
      <c r="E532" s="114" t="s">
        <v>4</v>
      </c>
      <c r="F532" s="197"/>
      <c r="G532" s="215">
        <f>SUM(G533)</f>
        <v>0</v>
      </c>
      <c r="H532" s="22">
        <v>2461.2</v>
      </c>
      <c r="I532" s="22" t="e">
        <f>SUM(H532/#REF!*100)</f>
        <v>#REF!</v>
      </c>
    </row>
    <row r="533" spans="1:9" ht="28.5" hidden="1">
      <c r="A533" s="156" t="s">
        <v>156</v>
      </c>
      <c r="B533" s="74"/>
      <c r="C533" s="114" t="s">
        <v>424</v>
      </c>
      <c r="D533" s="114" t="s">
        <v>468</v>
      </c>
      <c r="E533" s="114" t="s">
        <v>297</v>
      </c>
      <c r="F533" s="197"/>
      <c r="G533" s="215">
        <f>SUM(G534)</f>
        <v>0</v>
      </c>
      <c r="H533" s="22">
        <f>SUM(H534)</f>
        <v>25107.2</v>
      </c>
      <c r="I533" s="22" t="e">
        <f>SUM(H533/#REF!*100)</f>
        <v>#REF!</v>
      </c>
    </row>
    <row r="534" spans="1:9" ht="15" hidden="1">
      <c r="A534" s="162" t="s">
        <v>143</v>
      </c>
      <c r="B534" s="74"/>
      <c r="C534" s="114" t="s">
        <v>424</v>
      </c>
      <c r="D534" s="114" t="s">
        <v>468</v>
      </c>
      <c r="E534" s="114" t="s">
        <v>297</v>
      </c>
      <c r="F534" s="196" t="s">
        <v>83</v>
      </c>
      <c r="G534" s="215"/>
      <c r="H534" s="22">
        <v>25107.2</v>
      </c>
      <c r="I534" s="22" t="e">
        <f>SUM(H534/#REF!*100)</f>
        <v>#REF!</v>
      </c>
    </row>
    <row r="535" spans="1:9" ht="15" hidden="1">
      <c r="A535" s="156" t="s">
        <v>242</v>
      </c>
      <c r="B535" s="74"/>
      <c r="C535" s="114" t="s">
        <v>424</v>
      </c>
      <c r="D535" s="114" t="s">
        <v>131</v>
      </c>
      <c r="E535" s="182"/>
      <c r="F535" s="197"/>
      <c r="G535" s="215">
        <f>SUM(G536+G542+G544)+G539</f>
        <v>0</v>
      </c>
      <c r="H535" s="22">
        <f>SUM(H539+H614+H612)</f>
        <v>56722</v>
      </c>
      <c r="I535" s="22">
        <f>SUM(H535/G551*100)</f>
        <v>10.872202835336788</v>
      </c>
    </row>
    <row r="536" spans="1:9" ht="28.5" hidden="1">
      <c r="A536" s="156" t="s">
        <v>99</v>
      </c>
      <c r="B536" s="74"/>
      <c r="C536" s="114" t="s">
        <v>424</v>
      </c>
      <c r="D536" s="114" t="s">
        <v>131</v>
      </c>
      <c r="E536" s="114" t="s">
        <v>100</v>
      </c>
      <c r="F536" s="197"/>
      <c r="G536" s="215">
        <f>SUM(G537)</f>
        <v>0</v>
      </c>
      <c r="H536" s="22"/>
      <c r="I536" s="22"/>
    </row>
    <row r="537" spans="1:9" ht="15" hidden="1">
      <c r="A537" s="156" t="s">
        <v>107</v>
      </c>
      <c r="B537" s="74"/>
      <c r="C537" s="114" t="s">
        <v>424</v>
      </c>
      <c r="D537" s="114" t="s">
        <v>131</v>
      </c>
      <c r="E537" s="114" t="s">
        <v>109</v>
      </c>
      <c r="F537" s="197"/>
      <c r="G537" s="215">
        <f>SUM(G538)</f>
        <v>0</v>
      </c>
      <c r="H537" s="22"/>
      <c r="I537" s="22"/>
    </row>
    <row r="538" spans="1:9" ht="15" hidden="1">
      <c r="A538" s="156" t="s">
        <v>103</v>
      </c>
      <c r="B538" s="74"/>
      <c r="C538" s="114" t="s">
        <v>424</v>
      </c>
      <c r="D538" s="114" t="s">
        <v>131</v>
      </c>
      <c r="E538" s="114" t="s">
        <v>109</v>
      </c>
      <c r="F538" s="196" t="s">
        <v>104</v>
      </c>
      <c r="G538" s="215"/>
      <c r="H538" s="22"/>
      <c r="I538" s="22"/>
    </row>
    <row r="539" spans="1:9" ht="15" hidden="1">
      <c r="A539" s="162" t="s">
        <v>128</v>
      </c>
      <c r="B539" s="74"/>
      <c r="C539" s="114" t="s">
        <v>424</v>
      </c>
      <c r="D539" s="114" t="s">
        <v>131</v>
      </c>
      <c r="E539" s="187" t="s">
        <v>129</v>
      </c>
      <c r="F539" s="196"/>
      <c r="G539" s="215">
        <f>SUM(G540)</f>
        <v>0</v>
      </c>
      <c r="H539" s="22">
        <v>56722</v>
      </c>
      <c r="I539" s="22">
        <f>SUM(H539/G553*100)</f>
        <v>17.006586521855933</v>
      </c>
    </row>
    <row r="540" spans="1:9" ht="42.75" hidden="1">
      <c r="A540" s="165" t="s">
        <v>209</v>
      </c>
      <c r="B540" s="74"/>
      <c r="C540" s="114" t="s">
        <v>424</v>
      </c>
      <c r="D540" s="114" t="s">
        <v>131</v>
      </c>
      <c r="E540" s="182" t="s">
        <v>302</v>
      </c>
      <c r="F540" s="196"/>
      <c r="G540" s="215">
        <f>SUM(G541)</f>
        <v>0</v>
      </c>
      <c r="H540" s="22"/>
      <c r="I540" s="22"/>
    </row>
    <row r="541" spans="1:9" ht="15" hidden="1">
      <c r="A541" s="156" t="s">
        <v>103</v>
      </c>
      <c r="B541" s="74"/>
      <c r="C541" s="114" t="s">
        <v>424</v>
      </c>
      <c r="D541" s="114" t="s">
        <v>131</v>
      </c>
      <c r="E541" s="182" t="s">
        <v>302</v>
      </c>
      <c r="F541" s="196" t="s">
        <v>104</v>
      </c>
      <c r="G541" s="215"/>
      <c r="H541" s="22"/>
      <c r="I541" s="22"/>
    </row>
    <row r="542" spans="1:9" ht="15" hidden="1">
      <c r="A542" s="162" t="s">
        <v>392</v>
      </c>
      <c r="B542" s="74"/>
      <c r="C542" s="114" t="s">
        <v>424</v>
      </c>
      <c r="D542" s="114" t="s">
        <v>131</v>
      </c>
      <c r="E542" s="182" t="s">
        <v>393</v>
      </c>
      <c r="F542" s="197"/>
      <c r="G542" s="215">
        <f>SUM(G543)</f>
        <v>0</v>
      </c>
      <c r="H542" s="22"/>
      <c r="I542" s="22"/>
    </row>
    <row r="543" spans="1:9" ht="15" hidden="1">
      <c r="A543" s="156" t="s">
        <v>103</v>
      </c>
      <c r="B543" s="74"/>
      <c r="C543" s="114" t="s">
        <v>424</v>
      </c>
      <c r="D543" s="114" t="s">
        <v>131</v>
      </c>
      <c r="E543" s="182" t="s">
        <v>393</v>
      </c>
      <c r="F543" s="197" t="s">
        <v>104</v>
      </c>
      <c r="G543" s="215"/>
      <c r="H543" s="22"/>
      <c r="I543" s="22"/>
    </row>
    <row r="544" spans="1:9" ht="28.5" hidden="1">
      <c r="A544" s="157" t="s">
        <v>113</v>
      </c>
      <c r="B544" s="74"/>
      <c r="C544" s="114" t="s">
        <v>424</v>
      </c>
      <c r="D544" s="114" t="s">
        <v>131</v>
      </c>
      <c r="E544" s="114" t="s">
        <v>114</v>
      </c>
      <c r="F544" s="198"/>
      <c r="G544" s="215">
        <f>SUM(G546)</f>
        <v>0</v>
      </c>
      <c r="H544" s="22"/>
      <c r="I544" s="22"/>
    </row>
    <row r="545" spans="1:9" ht="15" hidden="1">
      <c r="A545" s="157" t="s">
        <v>115</v>
      </c>
      <c r="B545" s="74"/>
      <c r="C545" s="114" t="s">
        <v>424</v>
      </c>
      <c r="D545" s="114" t="s">
        <v>131</v>
      </c>
      <c r="E545" s="114" t="s">
        <v>251</v>
      </c>
      <c r="F545" s="198"/>
      <c r="G545" s="215">
        <f>SUM(G546)</f>
        <v>0</v>
      </c>
      <c r="H545" s="22"/>
      <c r="I545" s="22"/>
    </row>
    <row r="546" spans="1:9" ht="15" hidden="1">
      <c r="A546" s="156" t="s">
        <v>103</v>
      </c>
      <c r="B546" s="74"/>
      <c r="C546" s="114" t="s">
        <v>424</v>
      </c>
      <c r="D546" s="114" t="s">
        <v>131</v>
      </c>
      <c r="E546" s="114" t="s">
        <v>251</v>
      </c>
      <c r="F546" s="198" t="s">
        <v>104</v>
      </c>
      <c r="G546" s="215"/>
      <c r="H546" s="22"/>
      <c r="I546" s="22"/>
    </row>
    <row r="547" spans="1:9" ht="15">
      <c r="A547" s="159" t="s">
        <v>309</v>
      </c>
      <c r="B547" s="199" t="s">
        <v>266</v>
      </c>
      <c r="C547" s="185"/>
      <c r="D547" s="185"/>
      <c r="E547" s="185"/>
      <c r="F547" s="200"/>
      <c r="G547" s="222">
        <f>SUM(G548+G638)</f>
        <v>1572806.5</v>
      </c>
      <c r="H547" s="22"/>
      <c r="I547" s="22"/>
    </row>
    <row r="548" spans="1:9" ht="15">
      <c r="A548" s="162" t="s">
        <v>116</v>
      </c>
      <c r="B548" s="116"/>
      <c r="C548" s="175" t="s">
        <v>117</v>
      </c>
      <c r="D548" s="175"/>
      <c r="E548" s="175"/>
      <c r="F548" s="252"/>
      <c r="G548" s="220">
        <f>SUM(G549+G570+G612+G632)</f>
        <v>1536287.3</v>
      </c>
      <c r="H548" s="22"/>
      <c r="I548" s="22"/>
    </row>
    <row r="549" spans="1:9" ht="15">
      <c r="A549" s="162" t="s">
        <v>342</v>
      </c>
      <c r="B549" s="206"/>
      <c r="C549" s="175" t="s">
        <v>117</v>
      </c>
      <c r="D549" s="175" t="s">
        <v>466</v>
      </c>
      <c r="E549" s="175"/>
      <c r="F549" s="252"/>
      <c r="G549" s="220">
        <f>SUM(G550+G567)</f>
        <v>615133</v>
      </c>
      <c r="H549" s="22">
        <v>187516.5</v>
      </c>
      <c r="I549" s="22">
        <f>SUM(H549/G573*100)</f>
        <v>209.6325213722511</v>
      </c>
    </row>
    <row r="550" spans="1:9" s="133" customFormat="1" ht="15">
      <c r="A550" s="162" t="s">
        <v>343</v>
      </c>
      <c r="B550" s="206"/>
      <c r="C550" s="175" t="s">
        <v>117</v>
      </c>
      <c r="D550" s="175" t="s">
        <v>466</v>
      </c>
      <c r="E550" s="175" t="s">
        <v>344</v>
      </c>
      <c r="F550" s="252"/>
      <c r="G550" s="220">
        <f>SUM(G551+G559+G563)</f>
        <v>610933</v>
      </c>
      <c r="H550" s="22"/>
      <c r="I550" s="22"/>
    </row>
    <row r="551" spans="1:9" s="133" customFormat="1" ht="15">
      <c r="A551" s="162" t="s">
        <v>630</v>
      </c>
      <c r="B551" s="206"/>
      <c r="C551" s="175" t="s">
        <v>117</v>
      </c>
      <c r="D551" s="175" t="s">
        <v>466</v>
      </c>
      <c r="E551" s="175" t="s">
        <v>85</v>
      </c>
      <c r="F551" s="252"/>
      <c r="G551" s="220">
        <f>SUM(G554+G552+G556)</f>
        <v>521715.8</v>
      </c>
      <c r="H551" s="22">
        <v>187516.5</v>
      </c>
      <c r="I551" s="22">
        <f>SUM(H551/G580*100)</f>
        <v>70.57890309334228</v>
      </c>
    </row>
    <row r="552" spans="1:9" s="133" customFormat="1" ht="71.25">
      <c r="A552" s="162" t="s">
        <v>631</v>
      </c>
      <c r="B552" s="206"/>
      <c r="C552" s="175" t="s">
        <v>117</v>
      </c>
      <c r="D552" s="175" t="s">
        <v>466</v>
      </c>
      <c r="E552" s="175" t="s">
        <v>213</v>
      </c>
      <c r="F552" s="252"/>
      <c r="G552" s="220">
        <f>G553</f>
        <v>333529.6</v>
      </c>
      <c r="H552" s="22"/>
      <c r="I552" s="22"/>
    </row>
    <row r="553" spans="1:9" s="133" customFormat="1" ht="28.5">
      <c r="A553" s="162" t="s">
        <v>547</v>
      </c>
      <c r="B553" s="206"/>
      <c r="C553" s="175" t="s">
        <v>117</v>
      </c>
      <c r="D553" s="175" t="s">
        <v>466</v>
      </c>
      <c r="E553" s="175" t="s">
        <v>213</v>
      </c>
      <c r="F553" s="252" t="s">
        <v>536</v>
      </c>
      <c r="G553" s="220">
        <v>333529.6</v>
      </c>
      <c r="H553" s="22"/>
      <c r="I553" s="22"/>
    </row>
    <row r="554" spans="1:9" s="133" customFormat="1" ht="28.5">
      <c r="A554" s="162" t="s">
        <v>206</v>
      </c>
      <c r="B554" s="206"/>
      <c r="C554" s="175" t="s">
        <v>117</v>
      </c>
      <c r="D554" s="175" t="s">
        <v>466</v>
      </c>
      <c r="E554" s="175" t="s">
        <v>86</v>
      </c>
      <c r="F554" s="252"/>
      <c r="G554" s="220">
        <f>SUM(G555)</f>
        <v>184978.4</v>
      </c>
      <c r="H554" s="22"/>
      <c r="I554" s="22"/>
    </row>
    <row r="555" spans="1:9" ht="28.5">
      <c r="A555" s="162" t="s">
        <v>547</v>
      </c>
      <c r="B555" s="206"/>
      <c r="C555" s="175" t="s">
        <v>117</v>
      </c>
      <c r="D555" s="175" t="s">
        <v>466</v>
      </c>
      <c r="E555" s="175" t="s">
        <v>86</v>
      </c>
      <c r="F555" s="252" t="s">
        <v>536</v>
      </c>
      <c r="G555" s="220">
        <v>184978.4</v>
      </c>
      <c r="H555" s="22"/>
      <c r="I555" s="22"/>
    </row>
    <row r="556" spans="1:9" ht="15">
      <c r="A556" s="341" t="s">
        <v>158</v>
      </c>
      <c r="B556" s="364"/>
      <c r="C556" s="279" t="s">
        <v>117</v>
      </c>
      <c r="D556" s="279" t="s">
        <v>466</v>
      </c>
      <c r="E556" s="279" t="s">
        <v>698</v>
      </c>
      <c r="F556" s="354"/>
      <c r="G556" s="347">
        <f>SUM(G557)</f>
        <v>3207.8</v>
      </c>
      <c r="H556" s="22"/>
      <c r="I556" s="22"/>
    </row>
    <row r="557" spans="1:9" ht="15">
      <c r="A557" s="339" t="s">
        <v>154</v>
      </c>
      <c r="B557" s="364"/>
      <c r="C557" s="279" t="s">
        <v>117</v>
      </c>
      <c r="D557" s="279" t="s">
        <v>466</v>
      </c>
      <c r="E557" s="279" t="s">
        <v>697</v>
      </c>
      <c r="F557" s="354"/>
      <c r="G557" s="347">
        <f>SUM(G558)</f>
        <v>3207.8</v>
      </c>
      <c r="H557" s="22"/>
      <c r="I557" s="22"/>
    </row>
    <row r="558" spans="1:9" ht="28.5">
      <c r="A558" s="162" t="s">
        <v>547</v>
      </c>
      <c r="B558" s="364"/>
      <c r="C558" s="279" t="s">
        <v>117</v>
      </c>
      <c r="D558" s="279" t="s">
        <v>466</v>
      </c>
      <c r="E558" s="279" t="s">
        <v>697</v>
      </c>
      <c r="F558" s="252" t="s">
        <v>536</v>
      </c>
      <c r="G558" s="347">
        <v>3207.8</v>
      </c>
      <c r="H558" s="22"/>
      <c r="I558" s="22"/>
    </row>
    <row r="559" spans="1:9" ht="28.5">
      <c r="A559" s="162" t="s">
        <v>56</v>
      </c>
      <c r="B559" s="206"/>
      <c r="C559" s="175" t="s">
        <v>117</v>
      </c>
      <c r="D559" s="175" t="s">
        <v>466</v>
      </c>
      <c r="E559" s="175" t="s">
        <v>345</v>
      </c>
      <c r="F559" s="252"/>
      <c r="G559" s="220">
        <f>SUM(G560+G561+G562)</f>
        <v>38208.00000000001</v>
      </c>
      <c r="H559" s="22">
        <v>120.3</v>
      </c>
      <c r="I559" s="22">
        <f>SUM(H559/G585*100)</f>
        <v>0.7737379324539005</v>
      </c>
    </row>
    <row r="560" spans="1:9" ht="28.5">
      <c r="A560" s="162" t="s">
        <v>518</v>
      </c>
      <c r="B560" s="206"/>
      <c r="C560" s="175" t="s">
        <v>117</v>
      </c>
      <c r="D560" s="175" t="s">
        <v>466</v>
      </c>
      <c r="E560" s="175" t="s">
        <v>345</v>
      </c>
      <c r="F560" s="252" t="s">
        <v>519</v>
      </c>
      <c r="G560" s="220">
        <v>9732.7</v>
      </c>
      <c r="H560" s="22"/>
      <c r="I560" s="22">
        <f>SUM(H560/G588*100)</f>
        <v>0</v>
      </c>
    </row>
    <row r="561" spans="1:9" ht="15">
      <c r="A561" s="162" t="s">
        <v>523</v>
      </c>
      <c r="B561" s="116"/>
      <c r="C561" s="175" t="s">
        <v>117</v>
      </c>
      <c r="D561" s="175" t="s">
        <v>466</v>
      </c>
      <c r="E561" s="175" t="s">
        <v>345</v>
      </c>
      <c r="F561" s="252" t="s">
        <v>120</v>
      </c>
      <c r="G561" s="220">
        <v>26168.9</v>
      </c>
      <c r="H561" s="22">
        <f>SUM(H562)</f>
        <v>24134</v>
      </c>
      <c r="I561" s="22">
        <f>SUM(H561/G589*100)</f>
        <v>7.877662840339091</v>
      </c>
    </row>
    <row r="562" spans="1:9" ht="15">
      <c r="A562" s="162" t="s">
        <v>524</v>
      </c>
      <c r="B562" s="206"/>
      <c r="C562" s="175" t="s">
        <v>117</v>
      </c>
      <c r="D562" s="175" t="s">
        <v>466</v>
      </c>
      <c r="E562" s="175" t="s">
        <v>345</v>
      </c>
      <c r="F562" s="252" t="s">
        <v>177</v>
      </c>
      <c r="G562" s="220">
        <v>2306.4</v>
      </c>
      <c r="H562" s="22">
        <v>24134</v>
      </c>
      <c r="I562" s="22">
        <f>SUM(H562/G590*100)</f>
        <v>591.5631051302793</v>
      </c>
    </row>
    <row r="563" spans="1:9" ht="42.75">
      <c r="A563" s="172" t="s">
        <v>632</v>
      </c>
      <c r="B563" s="206"/>
      <c r="C563" s="175" t="s">
        <v>117</v>
      </c>
      <c r="D563" s="175" t="s">
        <v>466</v>
      </c>
      <c r="E563" s="175" t="s">
        <v>346</v>
      </c>
      <c r="F563" s="252"/>
      <c r="G563" s="220">
        <f>SUM(G564+G565)</f>
        <v>51009.200000000004</v>
      </c>
      <c r="H563" s="22"/>
      <c r="I563" s="22"/>
    </row>
    <row r="564" spans="1:9" ht="28.5">
      <c r="A564" s="162" t="s">
        <v>518</v>
      </c>
      <c r="B564" s="206"/>
      <c r="C564" s="175" t="s">
        <v>117</v>
      </c>
      <c r="D564" s="175" t="s">
        <v>466</v>
      </c>
      <c r="E564" s="175" t="s">
        <v>346</v>
      </c>
      <c r="F564" s="252" t="s">
        <v>519</v>
      </c>
      <c r="G564" s="220">
        <v>49715.8</v>
      </c>
      <c r="H564" s="22"/>
      <c r="I564" s="22"/>
    </row>
    <row r="565" spans="1:9" ht="15">
      <c r="A565" s="162" t="s">
        <v>523</v>
      </c>
      <c r="B565" s="206"/>
      <c r="C565" s="175" t="s">
        <v>117</v>
      </c>
      <c r="D565" s="175" t="s">
        <v>466</v>
      </c>
      <c r="E565" s="175" t="s">
        <v>346</v>
      </c>
      <c r="F565" s="252" t="s">
        <v>120</v>
      </c>
      <c r="G565" s="220">
        <v>1293.4</v>
      </c>
      <c r="H565" s="22">
        <v>56722</v>
      </c>
      <c r="I565" s="22" t="e">
        <f>SUM(H565/G593*100)</f>
        <v>#DIV/0!</v>
      </c>
    </row>
    <row r="566" spans="1:9" ht="15">
      <c r="A566" s="162" t="s">
        <v>617</v>
      </c>
      <c r="B566" s="207"/>
      <c r="C566" s="175" t="s">
        <v>117</v>
      </c>
      <c r="D566" s="175" t="s">
        <v>466</v>
      </c>
      <c r="E566" s="175" t="s">
        <v>129</v>
      </c>
      <c r="F566" s="252"/>
      <c r="G566" s="220">
        <f>G567</f>
        <v>4200</v>
      </c>
      <c r="H566" s="22"/>
      <c r="I566" s="22"/>
    </row>
    <row r="567" spans="1:9" ht="28.5">
      <c r="A567" s="162" t="s">
        <v>633</v>
      </c>
      <c r="B567" s="206"/>
      <c r="C567" s="175" t="s">
        <v>117</v>
      </c>
      <c r="D567" s="175" t="s">
        <v>466</v>
      </c>
      <c r="E567" s="175" t="s">
        <v>371</v>
      </c>
      <c r="F567" s="252"/>
      <c r="G567" s="220">
        <f>SUM(G568:G569)</f>
        <v>4200</v>
      </c>
      <c r="H567" s="22">
        <f>SUM(H568)</f>
        <v>1236.7</v>
      </c>
      <c r="I567" s="22">
        <f>SUM(H567/G595*100)</f>
        <v>2.836532948003395</v>
      </c>
    </row>
    <row r="568" spans="1:9" ht="15">
      <c r="A568" s="164" t="s">
        <v>528</v>
      </c>
      <c r="B568" s="254"/>
      <c r="C568" s="175" t="s">
        <v>117</v>
      </c>
      <c r="D568" s="175" t="s">
        <v>466</v>
      </c>
      <c r="E568" s="175" t="s">
        <v>371</v>
      </c>
      <c r="F568" s="252" t="s">
        <v>529</v>
      </c>
      <c r="G568" s="220">
        <v>1700</v>
      </c>
      <c r="H568" s="22">
        <v>1236.7</v>
      </c>
      <c r="I568" s="22">
        <f>SUM(H568/G596*100)</f>
        <v>2.836532948003395</v>
      </c>
    </row>
    <row r="569" spans="1:9" ht="15">
      <c r="A569" s="162" t="s">
        <v>523</v>
      </c>
      <c r="B569" s="254"/>
      <c r="C569" s="175" t="s">
        <v>117</v>
      </c>
      <c r="D569" s="175" t="s">
        <v>466</v>
      </c>
      <c r="E569" s="175" t="s">
        <v>371</v>
      </c>
      <c r="F569" s="252" t="s">
        <v>120</v>
      </c>
      <c r="G569" s="220">
        <v>2500</v>
      </c>
      <c r="H569" s="22"/>
      <c r="I569" s="22"/>
    </row>
    <row r="570" spans="1:9" ht="15">
      <c r="A570" s="162" t="s">
        <v>347</v>
      </c>
      <c r="B570" s="206"/>
      <c r="C570" s="175" t="s">
        <v>117</v>
      </c>
      <c r="D570" s="175" t="s">
        <v>468</v>
      </c>
      <c r="E570" s="175"/>
      <c r="F570" s="252"/>
      <c r="G570" s="220">
        <f>SUM(G571+G591+G600+G608)</f>
        <v>886685.8</v>
      </c>
      <c r="H570" s="22">
        <f>SUM(H572)</f>
        <v>0</v>
      </c>
      <c r="I570" s="22" t="e">
        <f>SUM(H570/#REF!*100)</f>
        <v>#REF!</v>
      </c>
    </row>
    <row r="571" spans="1:9" ht="15">
      <c r="A571" s="162" t="s">
        <v>348</v>
      </c>
      <c r="B571" s="206"/>
      <c r="C571" s="175" t="s">
        <v>117</v>
      </c>
      <c r="D571" s="175" t="s">
        <v>468</v>
      </c>
      <c r="E571" s="175" t="s">
        <v>349</v>
      </c>
      <c r="F571" s="252"/>
      <c r="G571" s="220">
        <f>G572+G582</f>
        <v>777073.5</v>
      </c>
      <c r="H571" s="22"/>
      <c r="I571" s="22" t="e">
        <f>SUM(H571/#REF!*100)</f>
        <v>#REF!</v>
      </c>
    </row>
    <row r="572" spans="1:9" ht="15">
      <c r="A572" s="162" t="s">
        <v>15</v>
      </c>
      <c r="B572" s="206"/>
      <c r="C572" s="175" t="s">
        <v>117</v>
      </c>
      <c r="D572" s="175" t="s">
        <v>468</v>
      </c>
      <c r="E572" s="175" t="s">
        <v>87</v>
      </c>
      <c r="F572" s="252"/>
      <c r="G572" s="220">
        <f>G573+G580+G575+G578</f>
        <v>361238.1</v>
      </c>
      <c r="H572" s="22"/>
      <c r="I572" s="22" t="e">
        <f>SUM(H572/#REF!*100)</f>
        <v>#REF!</v>
      </c>
    </row>
    <row r="573" spans="1:9" ht="28.5">
      <c r="A573" s="162" t="s">
        <v>206</v>
      </c>
      <c r="B573" s="206"/>
      <c r="C573" s="175" t="s">
        <v>117</v>
      </c>
      <c r="D573" s="175" t="s">
        <v>468</v>
      </c>
      <c r="E573" s="175" t="s">
        <v>88</v>
      </c>
      <c r="F573" s="252"/>
      <c r="G573" s="220">
        <f>SUM(G574)</f>
        <v>89450.1</v>
      </c>
      <c r="H573" s="22">
        <f>SUM(H574)</f>
        <v>9549.8</v>
      </c>
      <c r="I573" s="22" t="e">
        <f>SUM(H573/#REF!*100)</f>
        <v>#REF!</v>
      </c>
    </row>
    <row r="574" spans="1:9" ht="28.5">
      <c r="A574" s="162" t="s">
        <v>540</v>
      </c>
      <c r="B574" s="206"/>
      <c r="C574" s="175" t="s">
        <v>117</v>
      </c>
      <c r="D574" s="175" t="s">
        <v>468</v>
      </c>
      <c r="E574" s="175" t="s">
        <v>88</v>
      </c>
      <c r="F574" s="252" t="s">
        <v>536</v>
      </c>
      <c r="G574" s="220">
        <v>89450.1</v>
      </c>
      <c r="H574" s="22">
        <f>SUM(H580)</f>
        <v>9549.8</v>
      </c>
      <c r="I574" s="22" t="e">
        <f>SUM(H574/#REF!*100)</f>
        <v>#REF!</v>
      </c>
    </row>
    <row r="575" spans="1:9" ht="15">
      <c r="A575" s="341" t="s">
        <v>158</v>
      </c>
      <c r="B575" s="206"/>
      <c r="C575" s="279" t="s">
        <v>117</v>
      </c>
      <c r="D575" s="279" t="s">
        <v>468</v>
      </c>
      <c r="E575" s="279" t="s">
        <v>700</v>
      </c>
      <c r="F575" s="252"/>
      <c r="G575" s="220">
        <f>SUM(G576)</f>
        <v>1406.2</v>
      </c>
      <c r="H575" s="22"/>
      <c r="I575" s="22"/>
    </row>
    <row r="576" spans="1:9" ht="15">
      <c r="A576" s="339" t="s">
        <v>216</v>
      </c>
      <c r="B576" s="364"/>
      <c r="C576" s="279" t="s">
        <v>117</v>
      </c>
      <c r="D576" s="279" t="s">
        <v>468</v>
      </c>
      <c r="E576" s="279" t="s">
        <v>699</v>
      </c>
      <c r="F576" s="354"/>
      <c r="G576" s="336">
        <f>SUM(G577)</f>
        <v>1406.2</v>
      </c>
      <c r="H576" s="22"/>
      <c r="I576" s="22"/>
    </row>
    <row r="577" spans="1:9" ht="28.5">
      <c r="A577" s="162" t="s">
        <v>547</v>
      </c>
      <c r="B577" s="364"/>
      <c r="C577" s="279" t="s">
        <v>117</v>
      </c>
      <c r="D577" s="279" t="s">
        <v>468</v>
      </c>
      <c r="E577" s="279" t="s">
        <v>699</v>
      </c>
      <c r="F577" s="354" t="s">
        <v>536</v>
      </c>
      <c r="G577" s="336">
        <v>1406.2</v>
      </c>
      <c r="H577" s="22"/>
      <c r="I577" s="22"/>
    </row>
    <row r="578" spans="1:9" ht="42.75">
      <c r="A578" s="341" t="s">
        <v>987</v>
      </c>
      <c r="B578" s="360"/>
      <c r="C578" s="279" t="s">
        <v>117</v>
      </c>
      <c r="D578" s="279" t="s">
        <v>468</v>
      </c>
      <c r="E578" s="279" t="s">
        <v>989</v>
      </c>
      <c r="F578" s="354"/>
      <c r="G578" s="336">
        <f>SUM(G579)</f>
        <v>4698.3</v>
      </c>
      <c r="H578" s="22"/>
      <c r="I578" s="22"/>
    </row>
    <row r="579" spans="1:9" ht="28.5">
      <c r="A579" s="162" t="s">
        <v>547</v>
      </c>
      <c r="B579" s="364"/>
      <c r="C579" s="279" t="s">
        <v>117</v>
      </c>
      <c r="D579" s="279" t="s">
        <v>468</v>
      </c>
      <c r="E579" s="279" t="s">
        <v>989</v>
      </c>
      <c r="F579" s="354" t="s">
        <v>536</v>
      </c>
      <c r="G579" s="336">
        <v>4698.3</v>
      </c>
      <c r="H579" s="22"/>
      <c r="I579" s="22"/>
    </row>
    <row r="580" spans="1:9" ht="71.25">
      <c r="A580" s="162" t="s">
        <v>634</v>
      </c>
      <c r="B580" s="206"/>
      <c r="C580" s="175" t="s">
        <v>117</v>
      </c>
      <c r="D580" s="175" t="s">
        <v>468</v>
      </c>
      <c r="E580" s="175" t="s">
        <v>89</v>
      </c>
      <c r="F580" s="252"/>
      <c r="G580" s="220">
        <f>SUM(G581)</f>
        <v>265683.5</v>
      </c>
      <c r="H580" s="22">
        <v>9549.8</v>
      </c>
      <c r="I580" s="22" t="e">
        <f>SUM(H580/#REF!*100)</f>
        <v>#REF!</v>
      </c>
    </row>
    <row r="581" spans="1:9" ht="28.5">
      <c r="A581" s="162" t="s">
        <v>540</v>
      </c>
      <c r="B581" s="206"/>
      <c r="C581" s="175" t="s">
        <v>117</v>
      </c>
      <c r="D581" s="175" t="s">
        <v>468</v>
      </c>
      <c r="E581" s="175" t="s">
        <v>89</v>
      </c>
      <c r="F581" s="252" t="s">
        <v>536</v>
      </c>
      <c r="G581" s="220">
        <v>265683.5</v>
      </c>
      <c r="H581" s="22">
        <v>56722</v>
      </c>
      <c r="I581" s="22" t="e">
        <f>SUM(H581/#REF!*100)</f>
        <v>#REF!</v>
      </c>
    </row>
    <row r="582" spans="1:9" ht="28.5">
      <c r="A582" s="162" t="s">
        <v>56</v>
      </c>
      <c r="B582" s="206"/>
      <c r="C582" s="175" t="s">
        <v>117</v>
      </c>
      <c r="D582" s="175" t="s">
        <v>468</v>
      </c>
      <c r="E582" s="175" t="s">
        <v>350</v>
      </c>
      <c r="F582" s="252"/>
      <c r="G582" s="220">
        <f>SUM(G583+G584+G585+G588+G586)</f>
        <v>415835.4</v>
      </c>
      <c r="H582" s="22"/>
      <c r="I582" s="22"/>
    </row>
    <row r="583" spans="1:9" s="133" customFormat="1" ht="28.5">
      <c r="A583" s="162" t="s">
        <v>518</v>
      </c>
      <c r="B583" s="206"/>
      <c r="C583" s="175" t="s">
        <v>117</v>
      </c>
      <c r="D583" s="175" t="s">
        <v>468</v>
      </c>
      <c r="E583" s="175" t="s">
        <v>350</v>
      </c>
      <c r="F583" s="252" t="s">
        <v>519</v>
      </c>
      <c r="G583" s="220">
        <v>36545</v>
      </c>
      <c r="H583" s="22"/>
      <c r="I583" s="22"/>
    </row>
    <row r="584" spans="1:9" s="133" customFormat="1" ht="15">
      <c r="A584" s="162" t="s">
        <v>523</v>
      </c>
      <c r="B584" s="206"/>
      <c r="C584" s="175" t="s">
        <v>117</v>
      </c>
      <c r="D584" s="175" t="s">
        <v>468</v>
      </c>
      <c r="E584" s="175" t="s">
        <v>350</v>
      </c>
      <c r="F584" s="252" t="s">
        <v>120</v>
      </c>
      <c r="G584" s="220">
        <v>48698</v>
      </c>
      <c r="H584" s="22"/>
      <c r="I584" s="22"/>
    </row>
    <row r="585" spans="1:9" s="133" customFormat="1" ht="15">
      <c r="A585" s="162" t="s">
        <v>524</v>
      </c>
      <c r="B585" s="254"/>
      <c r="C585" s="175" t="s">
        <v>117</v>
      </c>
      <c r="D585" s="175" t="s">
        <v>468</v>
      </c>
      <c r="E585" s="175" t="s">
        <v>350</v>
      </c>
      <c r="F585" s="255">
        <v>800</v>
      </c>
      <c r="G585" s="220">
        <v>15547.9</v>
      </c>
      <c r="H585" s="22"/>
      <c r="I585" s="22"/>
    </row>
    <row r="586" spans="1:9" s="133" customFormat="1" ht="42.75">
      <c r="A586" s="341" t="s">
        <v>987</v>
      </c>
      <c r="B586" s="360"/>
      <c r="C586" s="279" t="s">
        <v>117</v>
      </c>
      <c r="D586" s="279" t="s">
        <v>468</v>
      </c>
      <c r="E586" s="279" t="s">
        <v>988</v>
      </c>
      <c r="F586" s="354"/>
      <c r="G586" s="336">
        <f>SUM(G587)</f>
        <v>4604.9</v>
      </c>
      <c r="H586" s="22"/>
      <c r="I586" s="22"/>
    </row>
    <row r="587" spans="1:9" s="133" customFormat="1" ht="15">
      <c r="A587" s="162" t="s">
        <v>523</v>
      </c>
      <c r="B587" s="254"/>
      <c r="C587" s="279" t="s">
        <v>117</v>
      </c>
      <c r="D587" s="279" t="s">
        <v>468</v>
      </c>
      <c r="E587" s="279" t="s">
        <v>988</v>
      </c>
      <c r="F587" s="255">
        <v>200</v>
      </c>
      <c r="G587" s="220">
        <v>4604.9</v>
      </c>
      <c r="H587" s="22"/>
      <c r="I587" s="22"/>
    </row>
    <row r="588" spans="1:9" s="133" customFormat="1" ht="71.25">
      <c r="A588" s="172" t="s">
        <v>634</v>
      </c>
      <c r="B588" s="206"/>
      <c r="C588" s="175" t="s">
        <v>117</v>
      </c>
      <c r="D588" s="175" t="s">
        <v>468</v>
      </c>
      <c r="E588" s="175" t="s">
        <v>323</v>
      </c>
      <c r="F588" s="252"/>
      <c r="G588" s="220">
        <f>SUM(G589+G590)</f>
        <v>310439.60000000003</v>
      </c>
      <c r="H588" s="22"/>
      <c r="I588" s="22"/>
    </row>
    <row r="589" spans="1:9" s="133" customFormat="1" ht="28.5">
      <c r="A589" s="162" t="s">
        <v>518</v>
      </c>
      <c r="B589" s="206"/>
      <c r="C589" s="175" t="s">
        <v>117</v>
      </c>
      <c r="D589" s="175" t="s">
        <v>468</v>
      </c>
      <c r="E589" s="175" t="s">
        <v>323</v>
      </c>
      <c r="F589" s="252" t="s">
        <v>519</v>
      </c>
      <c r="G589" s="220">
        <v>306359.9</v>
      </c>
      <c r="H589" s="22"/>
      <c r="I589" s="22"/>
    </row>
    <row r="590" spans="1:9" s="133" customFormat="1" ht="15">
      <c r="A590" s="162" t="s">
        <v>523</v>
      </c>
      <c r="B590" s="206"/>
      <c r="C590" s="175" t="s">
        <v>117</v>
      </c>
      <c r="D590" s="175" t="s">
        <v>468</v>
      </c>
      <c r="E590" s="175" t="s">
        <v>323</v>
      </c>
      <c r="F590" s="252" t="s">
        <v>120</v>
      </c>
      <c r="G590" s="220">
        <v>4079.7</v>
      </c>
      <c r="H590" s="22"/>
      <c r="I590" s="22"/>
    </row>
    <row r="591" spans="1:9" ht="15">
      <c r="A591" s="162" t="s">
        <v>324</v>
      </c>
      <c r="B591" s="116"/>
      <c r="C591" s="175" t="s">
        <v>117</v>
      </c>
      <c r="D591" s="175" t="s">
        <v>468</v>
      </c>
      <c r="E591" s="175" t="s">
        <v>325</v>
      </c>
      <c r="F591" s="252"/>
      <c r="G591" s="220">
        <f>SUM(G592)</f>
        <v>50570.6</v>
      </c>
      <c r="H591" s="22"/>
      <c r="I591" s="22"/>
    </row>
    <row r="592" spans="1:9" ht="15">
      <c r="A592" s="162" t="s">
        <v>630</v>
      </c>
      <c r="B592" s="206"/>
      <c r="C592" s="175" t="s">
        <v>117</v>
      </c>
      <c r="D592" s="175" t="s">
        <v>468</v>
      </c>
      <c r="E592" s="175" t="s">
        <v>78</v>
      </c>
      <c r="F592" s="252"/>
      <c r="G592" s="220">
        <f>SUM(G595)+G597</f>
        <v>50570.6</v>
      </c>
      <c r="H592" s="22"/>
      <c r="I592" s="22"/>
    </row>
    <row r="593" spans="1:9" ht="42.75" hidden="1">
      <c r="A593" s="162" t="s">
        <v>212</v>
      </c>
      <c r="B593" s="206"/>
      <c r="C593" s="175" t="s">
        <v>117</v>
      </c>
      <c r="D593" s="175" t="s">
        <v>468</v>
      </c>
      <c r="E593" s="175" t="s">
        <v>214</v>
      </c>
      <c r="F593" s="252"/>
      <c r="G593" s="220">
        <f>SUM(G594)</f>
        <v>0</v>
      </c>
      <c r="H593" s="22">
        <v>56722</v>
      </c>
      <c r="I593" s="22">
        <f>SUM(H593/G604*100)</f>
        <v>4656.978653530377</v>
      </c>
    </row>
    <row r="594" spans="1:9" ht="15" hidden="1">
      <c r="A594" s="162" t="s">
        <v>158</v>
      </c>
      <c r="B594" s="206"/>
      <c r="C594" s="175" t="s">
        <v>117</v>
      </c>
      <c r="D594" s="175" t="s">
        <v>468</v>
      </c>
      <c r="E594" s="175" t="s">
        <v>214</v>
      </c>
      <c r="F594" s="252" t="s">
        <v>83</v>
      </c>
      <c r="G594" s="220"/>
      <c r="H594" s="22"/>
      <c r="I594" s="22"/>
    </row>
    <row r="595" spans="1:9" ht="28.5">
      <c r="A595" s="162" t="s">
        <v>94</v>
      </c>
      <c r="B595" s="206"/>
      <c r="C595" s="175" t="s">
        <v>117</v>
      </c>
      <c r="D595" s="175" t="s">
        <v>468</v>
      </c>
      <c r="E595" s="175" t="s">
        <v>79</v>
      </c>
      <c r="F595" s="252"/>
      <c r="G595" s="220">
        <f>SUM(G596)</f>
        <v>43599</v>
      </c>
      <c r="H595" s="22" t="e">
        <f>SUM(#REF!+H622+H638+#REF!)+#REF!+H596</f>
        <v>#REF!</v>
      </c>
      <c r="I595" s="22" t="e">
        <f>SUM(H595/G606*100)</f>
        <v>#REF!</v>
      </c>
    </row>
    <row r="596" spans="1:9" ht="28.5">
      <c r="A596" s="162" t="s">
        <v>540</v>
      </c>
      <c r="B596" s="206"/>
      <c r="C596" s="175" t="s">
        <v>117</v>
      </c>
      <c r="D596" s="175" t="s">
        <v>468</v>
      </c>
      <c r="E596" s="175" t="s">
        <v>79</v>
      </c>
      <c r="F596" s="252" t="s">
        <v>536</v>
      </c>
      <c r="G596" s="220">
        <v>43599</v>
      </c>
      <c r="H596" s="22" t="e">
        <f>SUM(#REF!+#REF!)</f>
        <v>#REF!</v>
      </c>
      <c r="I596" s="22" t="e">
        <f>SUM(H596/#REF!*100)</f>
        <v>#REF!</v>
      </c>
    </row>
    <row r="597" spans="1:9" ht="15">
      <c r="A597" s="341" t="s">
        <v>158</v>
      </c>
      <c r="B597" s="206"/>
      <c r="C597" s="175" t="s">
        <v>117</v>
      </c>
      <c r="D597" s="175" t="s">
        <v>468</v>
      </c>
      <c r="E597" s="175" t="s">
        <v>151</v>
      </c>
      <c r="F597" s="252"/>
      <c r="G597" s="220">
        <f>SUM(G598)</f>
        <v>6971.6</v>
      </c>
      <c r="H597" s="22"/>
      <c r="I597" s="22"/>
    </row>
    <row r="598" spans="1:9" ht="15">
      <c r="A598" s="339" t="s">
        <v>216</v>
      </c>
      <c r="B598" s="206"/>
      <c r="C598" s="175" t="s">
        <v>117</v>
      </c>
      <c r="D598" s="175" t="s">
        <v>468</v>
      </c>
      <c r="E598" s="175" t="s">
        <v>221</v>
      </c>
      <c r="F598" s="252"/>
      <c r="G598" s="220">
        <f>SUM(G599)</f>
        <v>6971.6</v>
      </c>
      <c r="H598" s="22"/>
      <c r="I598" s="22"/>
    </row>
    <row r="599" spans="1:9" ht="28.5">
      <c r="A599" s="162" t="s">
        <v>547</v>
      </c>
      <c r="B599" s="206"/>
      <c r="C599" s="175" t="s">
        <v>117</v>
      </c>
      <c r="D599" s="175" t="s">
        <v>468</v>
      </c>
      <c r="E599" s="175" t="s">
        <v>221</v>
      </c>
      <c r="F599" s="252" t="s">
        <v>536</v>
      </c>
      <c r="G599" s="220">
        <v>6971.6</v>
      </c>
      <c r="H599" s="22"/>
      <c r="I599" s="22"/>
    </row>
    <row r="600" spans="1:9" ht="15">
      <c r="A600" s="162" t="s">
        <v>334</v>
      </c>
      <c r="B600" s="116"/>
      <c r="C600" s="175" t="s">
        <v>117</v>
      </c>
      <c r="D600" s="175" t="s">
        <v>468</v>
      </c>
      <c r="E600" s="175" t="s">
        <v>335</v>
      </c>
      <c r="F600" s="252"/>
      <c r="G600" s="220">
        <f>SUM(G601)</f>
        <v>52860.4</v>
      </c>
      <c r="H600" s="22"/>
      <c r="I600" s="22"/>
    </row>
    <row r="601" spans="1:9" ht="28.5">
      <c r="A601" s="162" t="s">
        <v>56</v>
      </c>
      <c r="B601" s="206"/>
      <c r="C601" s="175" t="s">
        <v>117</v>
      </c>
      <c r="D601" s="175" t="s">
        <v>468</v>
      </c>
      <c r="E601" s="175" t="s">
        <v>336</v>
      </c>
      <c r="F601" s="252"/>
      <c r="G601" s="220">
        <f>SUM(G602+G603+G604+G605)</f>
        <v>52860.4</v>
      </c>
      <c r="H601" s="22"/>
      <c r="I601" s="22"/>
    </row>
    <row r="602" spans="1:9" ht="28.5">
      <c r="A602" s="162" t="s">
        <v>518</v>
      </c>
      <c r="B602" s="206"/>
      <c r="C602" s="175" t="s">
        <v>117</v>
      </c>
      <c r="D602" s="175" t="s">
        <v>468</v>
      </c>
      <c r="E602" s="175" t="s">
        <v>635</v>
      </c>
      <c r="F602" s="252" t="s">
        <v>519</v>
      </c>
      <c r="G602" s="220">
        <v>3013.1</v>
      </c>
      <c r="H602" s="22"/>
      <c r="I602" s="22"/>
    </row>
    <row r="603" spans="1:9" ht="15">
      <c r="A603" s="162" t="s">
        <v>523</v>
      </c>
      <c r="B603" s="206"/>
      <c r="C603" s="175" t="s">
        <v>117</v>
      </c>
      <c r="D603" s="175" t="s">
        <v>468</v>
      </c>
      <c r="E603" s="175" t="s">
        <v>267</v>
      </c>
      <c r="F603" s="252" t="s">
        <v>120</v>
      </c>
      <c r="G603" s="220">
        <v>3101.9</v>
      </c>
      <c r="H603" s="22"/>
      <c r="I603" s="22"/>
    </row>
    <row r="604" spans="1:9" ht="15">
      <c r="A604" s="162" t="s">
        <v>524</v>
      </c>
      <c r="B604" s="206"/>
      <c r="C604" s="175" t="s">
        <v>117</v>
      </c>
      <c r="D604" s="175" t="s">
        <v>468</v>
      </c>
      <c r="E604" s="175" t="s">
        <v>267</v>
      </c>
      <c r="F604" s="252" t="s">
        <v>177</v>
      </c>
      <c r="G604" s="220">
        <v>1218</v>
      </c>
      <c r="H604" s="22"/>
      <c r="I604" s="22"/>
    </row>
    <row r="605" spans="1:11" ht="71.25">
      <c r="A605" s="162" t="s">
        <v>636</v>
      </c>
      <c r="B605" s="206"/>
      <c r="C605" s="175" t="s">
        <v>117</v>
      </c>
      <c r="D605" s="175" t="s">
        <v>468</v>
      </c>
      <c r="E605" s="175" t="s">
        <v>337</v>
      </c>
      <c r="F605" s="252"/>
      <c r="G605" s="220">
        <f>SUM(G606+G607)</f>
        <v>45527.4</v>
      </c>
      <c r="H605" s="22">
        <f>SUM(H606)</f>
        <v>56722</v>
      </c>
      <c r="I605" s="22">
        <f>SUM(H605/G621*100)</f>
        <v>3308.7557603686632</v>
      </c>
      <c r="K605" s="151"/>
    </row>
    <row r="606" spans="1:9" ht="28.5">
      <c r="A606" s="162" t="s">
        <v>518</v>
      </c>
      <c r="B606" s="206"/>
      <c r="C606" s="175" t="s">
        <v>117</v>
      </c>
      <c r="D606" s="175" t="s">
        <v>468</v>
      </c>
      <c r="E606" s="175" t="s">
        <v>337</v>
      </c>
      <c r="F606" s="252" t="s">
        <v>519</v>
      </c>
      <c r="G606" s="220">
        <f>33581.2+2.8</f>
        <v>33584</v>
      </c>
      <c r="H606" s="22">
        <v>56722</v>
      </c>
      <c r="I606" s="22" t="e">
        <f>SUM(H606/#REF!*100)</f>
        <v>#REF!</v>
      </c>
    </row>
    <row r="607" spans="1:9" ht="15">
      <c r="A607" s="162" t="s">
        <v>523</v>
      </c>
      <c r="B607" s="206"/>
      <c r="C607" s="175" t="s">
        <v>117</v>
      </c>
      <c r="D607" s="175" t="s">
        <v>468</v>
      </c>
      <c r="E607" s="175" t="s">
        <v>337</v>
      </c>
      <c r="F607" s="252" t="s">
        <v>120</v>
      </c>
      <c r="G607" s="220">
        <v>11943.4</v>
      </c>
      <c r="H607" s="22">
        <v>56722</v>
      </c>
      <c r="I607" s="22" t="e">
        <f>SUM(H607/#REF!*100)</f>
        <v>#REF!</v>
      </c>
    </row>
    <row r="608" spans="1:9" ht="15">
      <c r="A608" s="162" t="s">
        <v>338</v>
      </c>
      <c r="B608" s="116"/>
      <c r="C608" s="175" t="s">
        <v>117</v>
      </c>
      <c r="D608" s="175" t="s">
        <v>468</v>
      </c>
      <c r="E608" s="175" t="s">
        <v>339</v>
      </c>
      <c r="F608" s="252"/>
      <c r="G608" s="220">
        <f>G609</f>
        <v>6181.3</v>
      </c>
      <c r="H608" s="22" t="e">
        <f>SUM(H609+H617+H619+#REF!)+H621+H611+H615+#REF!</f>
        <v>#REF!</v>
      </c>
      <c r="I608" s="22" t="e">
        <f aca="true" t="shared" si="11" ref="I608:I621">SUM(H608/G622*100)</f>
        <v>#REF!</v>
      </c>
    </row>
    <row r="609" spans="1:9" ht="15">
      <c r="A609" s="162" t="s">
        <v>235</v>
      </c>
      <c r="B609" s="116"/>
      <c r="C609" s="175" t="s">
        <v>117</v>
      </c>
      <c r="D609" s="175" t="s">
        <v>468</v>
      </c>
      <c r="E609" s="175" t="s">
        <v>298</v>
      </c>
      <c r="F609" s="252"/>
      <c r="G609" s="220">
        <f>G610</f>
        <v>6181.3</v>
      </c>
      <c r="H609" s="22">
        <v>53118.9</v>
      </c>
      <c r="I609" s="22">
        <f t="shared" si="11"/>
        <v>450160.16949152545</v>
      </c>
    </row>
    <row r="610" spans="1:9" ht="57">
      <c r="A610" s="162" t="s">
        <v>637</v>
      </c>
      <c r="B610" s="116"/>
      <c r="C610" s="175" t="s">
        <v>117</v>
      </c>
      <c r="D610" s="175" t="s">
        <v>468</v>
      </c>
      <c r="E610" s="175" t="s">
        <v>293</v>
      </c>
      <c r="F610" s="252"/>
      <c r="G610" s="220">
        <f>G611</f>
        <v>6181.3</v>
      </c>
      <c r="H610" s="22">
        <f>SUM(H611)</f>
        <v>0</v>
      </c>
      <c r="I610" s="22">
        <f t="shared" si="11"/>
        <v>0</v>
      </c>
    </row>
    <row r="611" spans="1:9" ht="28.5">
      <c r="A611" s="162" t="s">
        <v>540</v>
      </c>
      <c r="B611" s="116"/>
      <c r="C611" s="175" t="s">
        <v>117</v>
      </c>
      <c r="D611" s="175" t="s">
        <v>468</v>
      </c>
      <c r="E611" s="175" t="s">
        <v>293</v>
      </c>
      <c r="F611" s="252" t="s">
        <v>536</v>
      </c>
      <c r="G611" s="220">
        <v>6181.3</v>
      </c>
      <c r="H611" s="22"/>
      <c r="I611" s="22">
        <f t="shared" si="11"/>
        <v>0</v>
      </c>
    </row>
    <row r="612" spans="1:9" ht="15">
      <c r="A612" s="162" t="s">
        <v>118</v>
      </c>
      <c r="B612" s="116"/>
      <c r="C612" s="175" t="s">
        <v>117</v>
      </c>
      <c r="D612" s="175" t="s">
        <v>117</v>
      </c>
      <c r="E612" s="175"/>
      <c r="F612" s="252"/>
      <c r="G612" s="220">
        <f>SUM(G617+G624+G613+G629)</f>
        <v>4170.799999999999</v>
      </c>
      <c r="H612" s="22"/>
      <c r="I612" s="22">
        <f t="shared" si="11"/>
        <v>0</v>
      </c>
    </row>
    <row r="613" spans="1:9" ht="15" hidden="1">
      <c r="A613" s="162" t="s">
        <v>412</v>
      </c>
      <c r="B613" s="116"/>
      <c r="C613" s="175" t="s">
        <v>117</v>
      </c>
      <c r="D613" s="175" t="s">
        <v>117</v>
      </c>
      <c r="E613" s="175" t="s">
        <v>414</v>
      </c>
      <c r="F613" s="252"/>
      <c r="G613" s="220">
        <f>SUM(G614)</f>
        <v>0</v>
      </c>
      <c r="H613" s="22"/>
      <c r="I613" s="22" t="e">
        <f t="shared" si="11"/>
        <v>#DIV/0!</v>
      </c>
    </row>
    <row r="614" spans="1:9" ht="15" hidden="1">
      <c r="A614" s="162" t="s">
        <v>392</v>
      </c>
      <c r="B614" s="116"/>
      <c r="C614" s="175" t="s">
        <v>117</v>
      </c>
      <c r="D614" s="175" t="s">
        <v>117</v>
      </c>
      <c r="E614" s="175" t="s">
        <v>393</v>
      </c>
      <c r="F614" s="252"/>
      <c r="G614" s="220">
        <f>SUM(G615+G616)</f>
        <v>0</v>
      </c>
      <c r="H614" s="22"/>
      <c r="I614" s="22">
        <f t="shared" si="11"/>
        <v>0</v>
      </c>
    </row>
    <row r="615" spans="1:9" ht="15" hidden="1">
      <c r="A615" s="162" t="s">
        <v>249</v>
      </c>
      <c r="B615" s="116"/>
      <c r="C615" s="175" t="s">
        <v>117</v>
      </c>
      <c r="D615" s="175" t="s">
        <v>117</v>
      </c>
      <c r="E615" s="175" t="s">
        <v>393</v>
      </c>
      <c r="F615" s="252" t="s">
        <v>250</v>
      </c>
      <c r="G615" s="220"/>
      <c r="H615" s="22">
        <f>SUM(H616)</f>
        <v>0</v>
      </c>
      <c r="I615" s="22">
        <f t="shared" si="11"/>
        <v>0</v>
      </c>
    </row>
    <row r="616" spans="1:9" ht="15" hidden="1">
      <c r="A616" s="162" t="s">
        <v>226</v>
      </c>
      <c r="B616" s="116"/>
      <c r="C616" s="175" t="s">
        <v>117</v>
      </c>
      <c r="D616" s="175" t="s">
        <v>117</v>
      </c>
      <c r="E616" s="175" t="s">
        <v>393</v>
      </c>
      <c r="F616" s="252" t="s">
        <v>227</v>
      </c>
      <c r="G616" s="220"/>
      <c r="H616" s="22"/>
      <c r="I616" s="22">
        <f t="shared" si="11"/>
        <v>0</v>
      </c>
    </row>
    <row r="617" spans="1:9" ht="15">
      <c r="A617" s="162" t="s">
        <v>228</v>
      </c>
      <c r="B617" s="116"/>
      <c r="C617" s="175" t="s">
        <v>117</v>
      </c>
      <c r="D617" s="175" t="s">
        <v>117</v>
      </c>
      <c r="E617" s="175" t="s">
        <v>229</v>
      </c>
      <c r="F617" s="252"/>
      <c r="G617" s="220">
        <f>SUM(G620+G618)</f>
        <v>1873.8999999999999</v>
      </c>
      <c r="H617" s="22">
        <f>SUM(H618)</f>
        <v>5014</v>
      </c>
      <c r="I617" s="22">
        <f t="shared" si="11"/>
        <v>629.1881039026226</v>
      </c>
    </row>
    <row r="618" spans="1:9" ht="28.5" hidden="1">
      <c r="A618" s="162" t="s">
        <v>260</v>
      </c>
      <c r="B618" s="116"/>
      <c r="C618" s="175" t="s">
        <v>117</v>
      </c>
      <c r="D618" s="175" t="s">
        <v>117</v>
      </c>
      <c r="E618" s="175" t="s">
        <v>215</v>
      </c>
      <c r="F618" s="252"/>
      <c r="G618" s="220"/>
      <c r="H618" s="22">
        <v>5014</v>
      </c>
      <c r="I618" s="22">
        <f t="shared" si="11"/>
        <v>16.549110988622896</v>
      </c>
    </row>
    <row r="619" spans="1:9" ht="15" hidden="1">
      <c r="A619" s="162" t="s">
        <v>57</v>
      </c>
      <c r="B619" s="116"/>
      <c r="C619" s="175" t="s">
        <v>117</v>
      </c>
      <c r="D619" s="175" t="s">
        <v>117</v>
      </c>
      <c r="E619" s="175" t="s">
        <v>215</v>
      </c>
      <c r="F619" s="252"/>
      <c r="G619" s="220"/>
      <c r="H619" s="22">
        <f>SUM(H620)</f>
        <v>0</v>
      </c>
      <c r="I619" s="22">
        <f t="shared" si="11"/>
        <v>0</v>
      </c>
    </row>
    <row r="620" spans="1:9" ht="28.5">
      <c r="A620" s="162" t="s">
        <v>56</v>
      </c>
      <c r="B620" s="116"/>
      <c r="C620" s="175" t="s">
        <v>117</v>
      </c>
      <c r="D620" s="175" t="s">
        <v>117</v>
      </c>
      <c r="E620" s="175" t="s">
        <v>232</v>
      </c>
      <c r="F620" s="252"/>
      <c r="G620" s="220">
        <f>SUM(G621+G622+G623)</f>
        <v>1873.8999999999999</v>
      </c>
      <c r="H620" s="22"/>
      <c r="I620" s="22">
        <f t="shared" si="11"/>
        <v>0</v>
      </c>
    </row>
    <row r="621" spans="1:9" ht="28.5">
      <c r="A621" s="162" t="s">
        <v>518</v>
      </c>
      <c r="B621" s="116"/>
      <c r="C621" s="175" t="s">
        <v>117</v>
      </c>
      <c r="D621" s="175" t="s">
        <v>117</v>
      </c>
      <c r="E621" s="175" t="s">
        <v>232</v>
      </c>
      <c r="F621" s="252" t="s">
        <v>519</v>
      </c>
      <c r="G621" s="220">
        <v>1714.3</v>
      </c>
      <c r="H621" s="22" t="e">
        <f>SUM(#REF!)</f>
        <v>#REF!</v>
      </c>
      <c r="I621" s="22" t="e">
        <f t="shared" si="11"/>
        <v>#REF!</v>
      </c>
    </row>
    <row r="622" spans="1:9" ht="15">
      <c r="A622" s="162" t="s">
        <v>523</v>
      </c>
      <c r="B622" s="116"/>
      <c r="C622" s="175" t="s">
        <v>117</v>
      </c>
      <c r="D622" s="175" t="s">
        <v>117</v>
      </c>
      <c r="E622" s="175" t="s">
        <v>232</v>
      </c>
      <c r="F622" s="252" t="s">
        <v>120</v>
      </c>
      <c r="G622" s="220">
        <v>147.8</v>
      </c>
      <c r="H622" s="22">
        <f>SUM(H629)</f>
        <v>39140.2</v>
      </c>
      <c r="I622" s="22">
        <f>SUM(H622/G642*100)</f>
        <v>413.9323371088338</v>
      </c>
    </row>
    <row r="623" spans="1:9" ht="15">
      <c r="A623" s="162" t="s">
        <v>524</v>
      </c>
      <c r="B623" s="116"/>
      <c r="C623" s="175" t="s">
        <v>117</v>
      </c>
      <c r="D623" s="175" t="s">
        <v>117</v>
      </c>
      <c r="E623" s="175" t="s">
        <v>232</v>
      </c>
      <c r="F623" s="252" t="s">
        <v>177</v>
      </c>
      <c r="G623" s="220">
        <v>11.8</v>
      </c>
      <c r="H623" s="22" t="e">
        <f>SUM(H627+#REF!+#REF!)</f>
        <v>#REF!</v>
      </c>
      <c r="I623" s="22" t="e">
        <f>SUM(H623/G643*100)</f>
        <v>#REF!</v>
      </c>
    </row>
    <row r="624" spans="1:9" ht="15">
      <c r="A624" s="170" t="s">
        <v>233</v>
      </c>
      <c r="B624" s="116"/>
      <c r="C624" s="175" t="s">
        <v>117</v>
      </c>
      <c r="D624" s="175" t="s">
        <v>117</v>
      </c>
      <c r="E624" s="175" t="s">
        <v>119</v>
      </c>
      <c r="F624" s="252"/>
      <c r="G624" s="220">
        <f>SUM(G625)</f>
        <v>1500</v>
      </c>
      <c r="H624" s="22"/>
      <c r="I624" s="22"/>
    </row>
    <row r="625" spans="1:9" ht="28.5">
      <c r="A625" s="170" t="s">
        <v>90</v>
      </c>
      <c r="B625" s="116"/>
      <c r="C625" s="175" t="s">
        <v>117</v>
      </c>
      <c r="D625" s="175" t="s">
        <v>117</v>
      </c>
      <c r="E625" s="175" t="s">
        <v>91</v>
      </c>
      <c r="F625" s="252"/>
      <c r="G625" s="220">
        <f>SUM(G626)</f>
        <v>1500</v>
      </c>
      <c r="H625" s="22"/>
      <c r="I625" s="22"/>
    </row>
    <row r="626" spans="1:9" ht="42.75">
      <c r="A626" s="170" t="s">
        <v>92</v>
      </c>
      <c r="B626" s="116"/>
      <c r="C626" s="175" t="s">
        <v>117</v>
      </c>
      <c r="D626" s="175" t="s">
        <v>117</v>
      </c>
      <c r="E626" s="175" t="s">
        <v>93</v>
      </c>
      <c r="F626" s="252"/>
      <c r="G626" s="220">
        <f>SUM(G627:G628)</f>
        <v>1500</v>
      </c>
      <c r="H626" s="22"/>
      <c r="I626" s="22"/>
    </row>
    <row r="627" spans="1:9" ht="15" hidden="1">
      <c r="A627" s="162" t="s">
        <v>57</v>
      </c>
      <c r="B627" s="116"/>
      <c r="C627" s="175" t="s">
        <v>117</v>
      </c>
      <c r="D627" s="175" t="s">
        <v>117</v>
      </c>
      <c r="E627" s="175" t="s">
        <v>93</v>
      </c>
      <c r="F627" s="252"/>
      <c r="G627" s="220"/>
      <c r="H627" s="22">
        <v>56722</v>
      </c>
      <c r="I627" s="22" t="e">
        <f>SUM(H627/#REF!*100)</f>
        <v>#REF!</v>
      </c>
    </row>
    <row r="628" spans="1:9" ht="15">
      <c r="A628" s="162" t="s">
        <v>523</v>
      </c>
      <c r="B628" s="116"/>
      <c r="C628" s="175" t="s">
        <v>117</v>
      </c>
      <c r="D628" s="175" t="s">
        <v>117</v>
      </c>
      <c r="E628" s="175" t="s">
        <v>93</v>
      </c>
      <c r="F628" s="252" t="s">
        <v>120</v>
      </c>
      <c r="G628" s="220">
        <v>1500</v>
      </c>
      <c r="H628" s="22"/>
      <c r="I628" s="22"/>
    </row>
    <row r="629" spans="1:9" ht="15">
      <c r="A629" s="162" t="s">
        <v>617</v>
      </c>
      <c r="B629" s="207"/>
      <c r="C629" s="175" t="s">
        <v>117</v>
      </c>
      <c r="D629" s="175" t="s">
        <v>117</v>
      </c>
      <c r="E629" s="175" t="s">
        <v>129</v>
      </c>
      <c r="F629" s="252"/>
      <c r="G629" s="220">
        <f>SUM(G630)</f>
        <v>796.9</v>
      </c>
      <c r="H629" s="22">
        <f>SUM(H630+H635+H631)</f>
        <v>39140.2</v>
      </c>
      <c r="I629" s="22" t="e">
        <f>SUM(H629/#REF!*100)</f>
        <v>#REF!</v>
      </c>
    </row>
    <row r="630" spans="1:9" ht="15">
      <c r="A630" s="253" t="s">
        <v>638</v>
      </c>
      <c r="B630" s="207"/>
      <c r="C630" s="175" t="s">
        <v>117</v>
      </c>
      <c r="D630" s="175" t="s">
        <v>117</v>
      </c>
      <c r="E630" s="175" t="s">
        <v>97</v>
      </c>
      <c r="F630" s="252"/>
      <c r="G630" s="221">
        <f>SUM(G631)</f>
        <v>796.9</v>
      </c>
      <c r="H630" s="22">
        <v>39061.6</v>
      </c>
      <c r="I630" s="22" t="e">
        <f>SUM(H630/#REF!*100)</f>
        <v>#REF!</v>
      </c>
    </row>
    <row r="631" spans="1:9" ht="15">
      <c r="A631" s="162" t="s">
        <v>523</v>
      </c>
      <c r="B631" s="207"/>
      <c r="C631" s="175" t="s">
        <v>117</v>
      </c>
      <c r="D631" s="175" t="s">
        <v>117</v>
      </c>
      <c r="E631" s="175" t="s">
        <v>97</v>
      </c>
      <c r="F631" s="252" t="s">
        <v>120</v>
      </c>
      <c r="G631" s="221">
        <v>796.9</v>
      </c>
      <c r="H631" s="22">
        <f>SUM(H632)</f>
        <v>78.6</v>
      </c>
      <c r="I631" s="22" t="e">
        <f>SUM(H631/#REF!*100)</f>
        <v>#REF!</v>
      </c>
    </row>
    <row r="632" spans="1:9" ht="15">
      <c r="A632" s="162" t="s">
        <v>234</v>
      </c>
      <c r="B632" s="116"/>
      <c r="C632" s="175" t="s">
        <v>117</v>
      </c>
      <c r="D632" s="175" t="s">
        <v>304</v>
      </c>
      <c r="E632" s="175"/>
      <c r="F632" s="252"/>
      <c r="G632" s="220">
        <f>G633</f>
        <v>30297.7</v>
      </c>
      <c r="H632" s="22">
        <v>78.6</v>
      </c>
      <c r="I632" s="22" t="e">
        <f>SUM(H632/#REF!*100)</f>
        <v>#REF!</v>
      </c>
    </row>
    <row r="633" spans="1:9" ht="42.75">
      <c r="A633" s="170" t="s">
        <v>294</v>
      </c>
      <c r="B633" s="116"/>
      <c r="C633" s="175" t="s">
        <v>117</v>
      </c>
      <c r="D633" s="175" t="s">
        <v>304</v>
      </c>
      <c r="E633" s="175" t="s">
        <v>295</v>
      </c>
      <c r="F633" s="252"/>
      <c r="G633" s="220">
        <f>SUM(G634)</f>
        <v>30297.7</v>
      </c>
      <c r="H633" s="22"/>
      <c r="I633" s="22" t="e">
        <f>SUM(H633/#REF!*100)</f>
        <v>#REF!</v>
      </c>
    </row>
    <row r="634" spans="1:9" ht="28.5">
      <c r="A634" s="162" t="s">
        <v>56</v>
      </c>
      <c r="B634" s="116"/>
      <c r="C634" s="175" t="s">
        <v>117</v>
      </c>
      <c r="D634" s="175" t="s">
        <v>304</v>
      </c>
      <c r="E634" s="175" t="s">
        <v>296</v>
      </c>
      <c r="F634" s="252"/>
      <c r="G634" s="220">
        <f>SUM(G635+G636+G637)</f>
        <v>30297.7</v>
      </c>
      <c r="H634" s="22"/>
      <c r="I634" s="22" t="e">
        <f>SUM(H634/#REF!*100)</f>
        <v>#REF!</v>
      </c>
    </row>
    <row r="635" spans="1:9" s="139" customFormat="1" ht="28.5">
      <c r="A635" s="162" t="s">
        <v>518</v>
      </c>
      <c r="B635" s="116"/>
      <c r="C635" s="175" t="s">
        <v>117</v>
      </c>
      <c r="D635" s="175" t="s">
        <v>304</v>
      </c>
      <c r="E635" s="175" t="s">
        <v>296</v>
      </c>
      <c r="F635" s="252" t="s">
        <v>519</v>
      </c>
      <c r="G635" s="220">
        <v>26775</v>
      </c>
      <c r="H635" s="22">
        <f>SUM(H637)</f>
        <v>0</v>
      </c>
      <c r="I635" s="22" t="e">
        <f>SUM(H635/#REF!*100)</f>
        <v>#REF!</v>
      </c>
    </row>
    <row r="636" spans="1:9" ht="15">
      <c r="A636" s="162" t="s">
        <v>523</v>
      </c>
      <c r="B636" s="207"/>
      <c r="C636" s="175" t="s">
        <v>117</v>
      </c>
      <c r="D636" s="175" t="s">
        <v>304</v>
      </c>
      <c r="E636" s="175" t="s">
        <v>296</v>
      </c>
      <c r="F636" s="252" t="s">
        <v>120</v>
      </c>
      <c r="G636" s="220">
        <v>3119.3</v>
      </c>
      <c r="H636" s="22"/>
      <c r="I636" s="22" t="e">
        <f>SUM(H636/#REF!*100)</f>
        <v>#REF!</v>
      </c>
    </row>
    <row r="637" spans="1:9" ht="15">
      <c r="A637" s="162" t="s">
        <v>524</v>
      </c>
      <c r="B637" s="116"/>
      <c r="C637" s="175" t="s">
        <v>117</v>
      </c>
      <c r="D637" s="175" t="s">
        <v>304</v>
      </c>
      <c r="E637" s="175" t="s">
        <v>296</v>
      </c>
      <c r="F637" s="252" t="s">
        <v>177</v>
      </c>
      <c r="G637" s="220">
        <v>403.4</v>
      </c>
      <c r="H637" s="22"/>
      <c r="I637" s="22" t="e">
        <f>SUM(H637/#REF!*100)</f>
        <v>#REF!</v>
      </c>
    </row>
    <row r="638" spans="1:9" ht="15">
      <c r="A638" s="162" t="s">
        <v>189</v>
      </c>
      <c r="B638" s="116"/>
      <c r="C638" s="175" t="s">
        <v>5</v>
      </c>
      <c r="D638" s="175"/>
      <c r="E638" s="175"/>
      <c r="F638" s="252"/>
      <c r="G638" s="220">
        <f>SUM(G643)+G639</f>
        <v>36519.2</v>
      </c>
      <c r="H638" s="22">
        <f>SUM(H639)</f>
        <v>13875.4</v>
      </c>
      <c r="I638" s="22" t="e">
        <f>SUM(H638/#REF!*100)</f>
        <v>#REF!</v>
      </c>
    </row>
    <row r="639" spans="1:9" ht="15">
      <c r="A639" s="170" t="s">
        <v>25</v>
      </c>
      <c r="B639" s="116"/>
      <c r="C639" s="175" t="s">
        <v>5</v>
      </c>
      <c r="D639" s="175" t="s">
        <v>106</v>
      </c>
      <c r="E639" s="175"/>
      <c r="F639" s="252"/>
      <c r="G639" s="220">
        <f>SUM(G640)</f>
        <v>9455.7</v>
      </c>
      <c r="H639" s="22">
        <f>SUM(H641+H643+H645)</f>
        <v>13875.4</v>
      </c>
      <c r="I639" s="22" t="e">
        <f>SUM(H639/#REF!*100)</f>
        <v>#REF!</v>
      </c>
    </row>
    <row r="640" spans="1:9" ht="15">
      <c r="A640" s="164" t="s">
        <v>26</v>
      </c>
      <c r="B640" s="116"/>
      <c r="C640" s="175" t="s">
        <v>5</v>
      </c>
      <c r="D640" s="175" t="s">
        <v>106</v>
      </c>
      <c r="E640" s="175" t="s">
        <v>27</v>
      </c>
      <c r="F640" s="252"/>
      <c r="G640" s="220">
        <f>SUM(G641)</f>
        <v>9455.7</v>
      </c>
      <c r="H640" s="22"/>
      <c r="I640" s="22" t="e">
        <f>SUM(H640/#REF!*100)</f>
        <v>#REF!</v>
      </c>
    </row>
    <row r="641" spans="1:9" ht="42.75">
      <c r="A641" s="164" t="s">
        <v>639</v>
      </c>
      <c r="B641" s="116"/>
      <c r="C641" s="175" t="s">
        <v>5</v>
      </c>
      <c r="D641" s="175" t="s">
        <v>106</v>
      </c>
      <c r="E641" s="175" t="s">
        <v>184</v>
      </c>
      <c r="F641" s="252"/>
      <c r="G641" s="220">
        <f>SUM(G642)</f>
        <v>9455.7</v>
      </c>
      <c r="H641" s="22">
        <f>SUM(H642)</f>
        <v>0</v>
      </c>
      <c r="I641" s="22" t="e">
        <f>SUM(H641/#REF!*100)</f>
        <v>#REF!</v>
      </c>
    </row>
    <row r="642" spans="1:9" ht="15">
      <c r="A642" s="164" t="s">
        <v>528</v>
      </c>
      <c r="B642" s="116"/>
      <c r="C642" s="175" t="s">
        <v>5</v>
      </c>
      <c r="D642" s="175" t="s">
        <v>106</v>
      </c>
      <c r="E642" s="175" t="s">
        <v>184</v>
      </c>
      <c r="F642" s="252" t="s">
        <v>529</v>
      </c>
      <c r="G642" s="220">
        <v>9455.7</v>
      </c>
      <c r="H642" s="22"/>
      <c r="I642" s="22" t="e">
        <f>SUM(H642/#REF!*100)</f>
        <v>#REF!</v>
      </c>
    </row>
    <row r="643" spans="1:9" ht="15">
      <c r="A643" s="170" t="s">
        <v>159</v>
      </c>
      <c r="B643" s="116"/>
      <c r="C643" s="175" t="s">
        <v>5</v>
      </c>
      <c r="D643" s="175" t="s">
        <v>122</v>
      </c>
      <c r="E643" s="175"/>
      <c r="F643" s="252"/>
      <c r="G643" s="220">
        <f>SUM(G644)</f>
        <v>27063.5</v>
      </c>
      <c r="H643" s="22">
        <f>SUM(H644)</f>
        <v>12.8</v>
      </c>
      <c r="I643" s="22" t="e">
        <f>SUM(H643/#REF!*100)</f>
        <v>#REF!</v>
      </c>
    </row>
    <row r="644" spans="1:9" ht="15">
      <c r="A644" s="164" t="s">
        <v>340</v>
      </c>
      <c r="B644" s="116"/>
      <c r="C644" s="175" t="s">
        <v>5</v>
      </c>
      <c r="D644" s="175" t="s">
        <v>122</v>
      </c>
      <c r="E644" s="175" t="s">
        <v>341</v>
      </c>
      <c r="F644" s="252"/>
      <c r="G644" s="220">
        <f>SUM(G645)</f>
        <v>27063.5</v>
      </c>
      <c r="H644" s="22">
        <v>12.8</v>
      </c>
      <c r="I644" s="22" t="e">
        <f>SUM(H644/#REF!*100)</f>
        <v>#REF!</v>
      </c>
    </row>
    <row r="645" spans="1:9" ht="42.75">
      <c r="A645" s="164" t="s">
        <v>161</v>
      </c>
      <c r="B645" s="116"/>
      <c r="C645" s="175" t="s">
        <v>5</v>
      </c>
      <c r="D645" s="175" t="s">
        <v>122</v>
      </c>
      <c r="E645" s="175" t="s">
        <v>162</v>
      </c>
      <c r="F645" s="252"/>
      <c r="G645" s="220">
        <f>SUM(G646)</f>
        <v>27063.5</v>
      </c>
      <c r="H645" s="22">
        <f>SUM(H646)</f>
        <v>13862.6</v>
      </c>
      <c r="I645" s="22" t="e">
        <f>SUM(H645/#REF!*100)</f>
        <v>#REF!</v>
      </c>
    </row>
    <row r="646" spans="1:9" ht="15">
      <c r="A646" s="164" t="s">
        <v>528</v>
      </c>
      <c r="B646" s="116"/>
      <c r="C646" s="175" t="s">
        <v>5</v>
      </c>
      <c r="D646" s="175" t="s">
        <v>122</v>
      </c>
      <c r="E646" s="175" t="s">
        <v>162</v>
      </c>
      <c r="F646" s="252" t="s">
        <v>529</v>
      </c>
      <c r="G646" s="220">
        <v>27063.5</v>
      </c>
      <c r="H646" s="22">
        <v>13862.6</v>
      </c>
      <c r="I646" s="22" t="e">
        <f>SUM(H646/#REF!*100)</f>
        <v>#REF!</v>
      </c>
    </row>
    <row r="647" spans="1:9" ht="15">
      <c r="A647" s="159" t="s">
        <v>310</v>
      </c>
      <c r="B647" s="199" t="s">
        <v>268</v>
      </c>
      <c r="C647" s="182"/>
      <c r="D647" s="182"/>
      <c r="E647" s="182"/>
      <c r="F647" s="197"/>
      <c r="G647" s="258">
        <f>SUM(G648+G677)</f>
        <v>152291.30000000002</v>
      </c>
      <c r="H647" s="22">
        <f>SUM(H648)</f>
        <v>199.3</v>
      </c>
      <c r="I647" s="22" t="e">
        <f>SUM(H647/G671*100)</f>
        <v>#DIV/0!</v>
      </c>
    </row>
    <row r="648" spans="1:9" ht="15">
      <c r="A648" s="156" t="s">
        <v>116</v>
      </c>
      <c r="B648" s="74"/>
      <c r="C648" s="182" t="s">
        <v>117</v>
      </c>
      <c r="D648" s="182"/>
      <c r="E648" s="182"/>
      <c r="F648" s="197"/>
      <c r="G648" s="215">
        <f>SUM(G649)+G664</f>
        <v>54210.9</v>
      </c>
      <c r="H648" s="22">
        <v>199.3</v>
      </c>
      <c r="I648" s="22" t="e">
        <f>SUM(H648/G672*100)</f>
        <v>#DIV/0!</v>
      </c>
    </row>
    <row r="649" spans="1:9" ht="15">
      <c r="A649" s="156" t="s">
        <v>347</v>
      </c>
      <c r="B649" s="199"/>
      <c r="C649" s="182" t="s">
        <v>117</v>
      </c>
      <c r="D649" s="182" t="s">
        <v>468</v>
      </c>
      <c r="E649" s="182"/>
      <c r="F649" s="197"/>
      <c r="G649" s="215">
        <f>SUM(G650+G661)</f>
        <v>54210.9</v>
      </c>
      <c r="H649" s="22"/>
      <c r="I649" s="22"/>
    </row>
    <row r="650" spans="1:9" ht="15">
      <c r="A650" s="156" t="s">
        <v>324</v>
      </c>
      <c r="B650" s="74"/>
      <c r="C650" s="182" t="s">
        <v>117</v>
      </c>
      <c r="D650" s="182" t="s">
        <v>468</v>
      </c>
      <c r="E650" s="182" t="s">
        <v>325</v>
      </c>
      <c r="F650" s="197"/>
      <c r="G650" s="215">
        <f>SUM(G651)</f>
        <v>54210.9</v>
      </c>
      <c r="H650" s="22" t="e">
        <f>SUM(#REF!)</f>
        <v>#REF!</v>
      </c>
      <c r="I650" s="22" t="e">
        <f>SUM(H650/G674*100)</f>
        <v>#REF!</v>
      </c>
    </row>
    <row r="651" spans="1:9" ht="15">
      <c r="A651" s="156" t="s">
        <v>15</v>
      </c>
      <c r="B651" s="199"/>
      <c r="C651" s="182" t="s">
        <v>117</v>
      </c>
      <c r="D651" s="182" t="s">
        <v>468</v>
      </c>
      <c r="E651" s="182" t="s">
        <v>78</v>
      </c>
      <c r="F651" s="197"/>
      <c r="G651" s="215">
        <f>SUM(G652)+G659+G654</f>
        <v>54210.9</v>
      </c>
      <c r="H651" s="22"/>
      <c r="I651" s="22"/>
    </row>
    <row r="652" spans="1:9" ht="28.5">
      <c r="A652" s="156" t="s">
        <v>94</v>
      </c>
      <c r="B652" s="199"/>
      <c r="C652" s="182" t="s">
        <v>117</v>
      </c>
      <c r="D652" s="182" t="s">
        <v>468</v>
      </c>
      <c r="E652" s="182" t="s">
        <v>79</v>
      </c>
      <c r="F652" s="197"/>
      <c r="G652" s="215">
        <f>SUM(G653)</f>
        <v>54160.9</v>
      </c>
      <c r="H652" s="22"/>
      <c r="I652" s="22"/>
    </row>
    <row r="653" spans="1:9" ht="28.5">
      <c r="A653" s="162" t="s">
        <v>540</v>
      </c>
      <c r="B653" s="206"/>
      <c r="C653" s="182" t="s">
        <v>117</v>
      </c>
      <c r="D653" s="182" t="s">
        <v>468</v>
      </c>
      <c r="E653" s="182" t="s">
        <v>79</v>
      </c>
      <c r="F653" s="198" t="s">
        <v>536</v>
      </c>
      <c r="G653" s="215">
        <v>54160.9</v>
      </c>
      <c r="H653" s="22" t="e">
        <f>SUM(H654+H702)</f>
        <v>#REF!</v>
      </c>
      <c r="I653" s="22" t="e">
        <f>SUM(H653/G677*100)</f>
        <v>#REF!</v>
      </c>
    </row>
    <row r="654" spans="1:9" ht="20.25" customHeight="1">
      <c r="A654" s="162" t="s">
        <v>158</v>
      </c>
      <c r="B654" s="206"/>
      <c r="C654" s="182" t="s">
        <v>117</v>
      </c>
      <c r="D654" s="182" t="s">
        <v>468</v>
      </c>
      <c r="E654" s="182" t="s">
        <v>151</v>
      </c>
      <c r="F654" s="198"/>
      <c r="G654" s="215">
        <f>SUM(G657)</f>
        <v>50</v>
      </c>
      <c r="H654" s="22" t="e">
        <f>SUM(#REF!+H678+H655+H695)</f>
        <v>#REF!</v>
      </c>
      <c r="I654" s="22" t="e">
        <f>SUM(H654/G678*100)</f>
        <v>#REF!</v>
      </c>
    </row>
    <row r="655" spans="1:9" ht="28.5" hidden="1">
      <c r="A655" s="162" t="s">
        <v>469</v>
      </c>
      <c r="B655" s="206"/>
      <c r="C655" s="182" t="s">
        <v>117</v>
      </c>
      <c r="D655" s="182" t="s">
        <v>468</v>
      </c>
      <c r="E655" s="182" t="s">
        <v>470</v>
      </c>
      <c r="F655" s="198"/>
      <c r="G655" s="215">
        <f>SUM(G656)</f>
        <v>0</v>
      </c>
      <c r="H655" s="22">
        <f>SUM(H673)</f>
        <v>14679.5</v>
      </c>
      <c r="I655" s="22">
        <f>SUM(H655/G679*100)</f>
        <v>29.395509222454287</v>
      </c>
    </row>
    <row r="656" spans="1:9" ht="15" hidden="1">
      <c r="A656" s="162" t="s">
        <v>158</v>
      </c>
      <c r="B656" s="206"/>
      <c r="C656" s="182" t="s">
        <v>117</v>
      </c>
      <c r="D656" s="182" t="s">
        <v>468</v>
      </c>
      <c r="E656" s="182" t="s">
        <v>470</v>
      </c>
      <c r="F656" s="198" t="s">
        <v>83</v>
      </c>
      <c r="G656" s="215"/>
      <c r="H656" s="22">
        <f>SUM(H657)</f>
        <v>0</v>
      </c>
      <c r="I656" s="22">
        <f>SUM(H656/G683*100)</f>
        <v>0</v>
      </c>
    </row>
    <row r="657" spans="1:9" ht="26.25" customHeight="1">
      <c r="A657" s="162" t="s">
        <v>154</v>
      </c>
      <c r="B657" s="206"/>
      <c r="C657" s="182" t="s">
        <v>117</v>
      </c>
      <c r="D657" s="182" t="s">
        <v>468</v>
      </c>
      <c r="E657" s="182" t="s">
        <v>221</v>
      </c>
      <c r="F657" s="198"/>
      <c r="G657" s="215">
        <f>SUM(G658)</f>
        <v>50</v>
      </c>
      <c r="H657" s="22"/>
      <c r="I657" s="22"/>
    </row>
    <row r="658" spans="1:9" ht="28.5">
      <c r="A658" s="162" t="s">
        <v>540</v>
      </c>
      <c r="B658" s="206"/>
      <c r="C658" s="182" t="s">
        <v>117</v>
      </c>
      <c r="D658" s="182" t="s">
        <v>468</v>
      </c>
      <c r="E658" s="182" t="s">
        <v>221</v>
      </c>
      <c r="F658" s="198" t="s">
        <v>536</v>
      </c>
      <c r="G658" s="215">
        <v>50</v>
      </c>
      <c r="H658" s="22">
        <f>SUM(H660+H706+H704)</f>
        <v>61355.8</v>
      </c>
      <c r="I658" s="22" t="e">
        <f>SUM(H658/G687*100)</f>
        <v>#DIV/0!</v>
      </c>
    </row>
    <row r="659" spans="1:9" ht="42.75" hidden="1">
      <c r="A659" s="162" t="s">
        <v>62</v>
      </c>
      <c r="B659" s="206"/>
      <c r="C659" s="182" t="s">
        <v>117</v>
      </c>
      <c r="D659" s="182" t="s">
        <v>468</v>
      </c>
      <c r="E659" s="182" t="s">
        <v>80</v>
      </c>
      <c r="F659" s="198"/>
      <c r="G659" s="215">
        <f>SUM(G660)</f>
        <v>0</v>
      </c>
      <c r="H659" s="22"/>
      <c r="I659" s="22"/>
    </row>
    <row r="660" spans="1:9" ht="15" hidden="1">
      <c r="A660" s="162" t="s">
        <v>158</v>
      </c>
      <c r="B660" s="206"/>
      <c r="C660" s="182" t="s">
        <v>117</v>
      </c>
      <c r="D660" s="182" t="s">
        <v>468</v>
      </c>
      <c r="E660" s="182" t="s">
        <v>80</v>
      </c>
      <c r="F660" s="198" t="s">
        <v>83</v>
      </c>
      <c r="G660" s="215"/>
      <c r="H660" s="22">
        <v>56722</v>
      </c>
      <c r="I660" s="22" t="e">
        <f>SUM(H660/G689*100)</f>
        <v>#DIV/0!</v>
      </c>
    </row>
    <row r="661" spans="1:9" ht="15" hidden="1">
      <c r="A661" s="162" t="s">
        <v>128</v>
      </c>
      <c r="B661" s="199"/>
      <c r="C661" s="182" t="s">
        <v>117</v>
      </c>
      <c r="D661" s="182" t="s">
        <v>468</v>
      </c>
      <c r="E661" s="182" t="s">
        <v>129</v>
      </c>
      <c r="F661" s="197"/>
      <c r="G661" s="215">
        <f>SUM(G662)+G665</f>
        <v>0</v>
      </c>
      <c r="H661" s="22"/>
      <c r="I661" s="22"/>
    </row>
    <row r="662" spans="1:9" ht="42.75" hidden="1">
      <c r="A662" s="156" t="s">
        <v>209</v>
      </c>
      <c r="B662" s="199"/>
      <c r="C662" s="182" t="s">
        <v>117</v>
      </c>
      <c r="D662" s="182" t="s">
        <v>468</v>
      </c>
      <c r="E662" s="182" t="s">
        <v>302</v>
      </c>
      <c r="F662" s="197"/>
      <c r="G662" s="215">
        <f>SUM(G663)</f>
        <v>0</v>
      </c>
      <c r="H662" s="22"/>
      <c r="I662" s="22"/>
    </row>
    <row r="663" spans="1:9" ht="15" hidden="1">
      <c r="A663" s="162" t="s">
        <v>143</v>
      </c>
      <c r="B663" s="199"/>
      <c r="C663" s="182" t="s">
        <v>117</v>
      </c>
      <c r="D663" s="182" t="s">
        <v>468</v>
      </c>
      <c r="E663" s="182" t="s">
        <v>302</v>
      </c>
      <c r="F663" s="197" t="s">
        <v>83</v>
      </c>
      <c r="G663" s="215"/>
      <c r="H663" s="22"/>
      <c r="I663" s="22"/>
    </row>
    <row r="664" spans="1:9" ht="15" hidden="1">
      <c r="A664" s="156" t="s">
        <v>118</v>
      </c>
      <c r="B664" s="74"/>
      <c r="C664" s="114" t="s">
        <v>117</v>
      </c>
      <c r="D664" s="114" t="s">
        <v>117</v>
      </c>
      <c r="E664" s="182"/>
      <c r="F664" s="198"/>
      <c r="G664" s="215">
        <f>SUM(G670+G665+G668+G674)</f>
        <v>0</v>
      </c>
      <c r="H664" s="22"/>
      <c r="I664" s="22"/>
    </row>
    <row r="665" spans="1:9" ht="15" hidden="1">
      <c r="A665" s="160" t="s">
        <v>228</v>
      </c>
      <c r="B665" s="113"/>
      <c r="C665" s="182" t="s">
        <v>117</v>
      </c>
      <c r="D665" s="182" t="s">
        <v>117</v>
      </c>
      <c r="E665" s="182" t="s">
        <v>229</v>
      </c>
      <c r="F665" s="197"/>
      <c r="G665" s="215">
        <f>SUM(G666)</f>
        <v>0</v>
      </c>
      <c r="H665" s="22"/>
      <c r="I665" s="22"/>
    </row>
    <row r="666" spans="1:9" ht="15" hidden="1">
      <c r="A666" s="160" t="s">
        <v>230</v>
      </c>
      <c r="B666" s="113"/>
      <c r="C666" s="182" t="s">
        <v>117</v>
      </c>
      <c r="D666" s="182" t="s">
        <v>117</v>
      </c>
      <c r="E666" s="182" t="s">
        <v>231</v>
      </c>
      <c r="F666" s="197"/>
      <c r="G666" s="215">
        <f>SUM(G667)</f>
        <v>0</v>
      </c>
      <c r="H666" s="22"/>
      <c r="I666" s="22"/>
    </row>
    <row r="667" spans="1:9" ht="15" hidden="1">
      <c r="A667" s="162" t="s">
        <v>249</v>
      </c>
      <c r="B667" s="113"/>
      <c r="C667" s="182" t="s">
        <v>117</v>
      </c>
      <c r="D667" s="182" t="s">
        <v>117</v>
      </c>
      <c r="E667" s="182" t="s">
        <v>231</v>
      </c>
      <c r="F667" s="197" t="s">
        <v>250</v>
      </c>
      <c r="G667" s="215"/>
      <c r="H667" s="22"/>
      <c r="I667" s="22"/>
    </row>
    <row r="668" spans="1:9" ht="15" hidden="1">
      <c r="A668" s="162" t="s">
        <v>392</v>
      </c>
      <c r="B668" s="113"/>
      <c r="C668" s="182" t="s">
        <v>117</v>
      </c>
      <c r="D668" s="182" t="s">
        <v>117</v>
      </c>
      <c r="E668" s="182" t="s">
        <v>393</v>
      </c>
      <c r="F668" s="197"/>
      <c r="G668" s="215">
        <f>SUM(G669)</f>
        <v>0</v>
      </c>
      <c r="H668" s="22"/>
      <c r="I668" s="22"/>
    </row>
    <row r="669" spans="1:9" ht="15" hidden="1">
      <c r="A669" s="162" t="s">
        <v>226</v>
      </c>
      <c r="B669" s="113"/>
      <c r="C669" s="182" t="s">
        <v>117</v>
      </c>
      <c r="D669" s="182" t="s">
        <v>117</v>
      </c>
      <c r="E669" s="182" t="s">
        <v>393</v>
      </c>
      <c r="F669" s="197" t="s">
        <v>227</v>
      </c>
      <c r="G669" s="215"/>
      <c r="H669" s="22"/>
      <c r="I669" s="22"/>
    </row>
    <row r="670" spans="1:9" ht="15" hidden="1">
      <c r="A670" s="157" t="s">
        <v>233</v>
      </c>
      <c r="B670" s="74"/>
      <c r="C670" s="114" t="s">
        <v>117</v>
      </c>
      <c r="D670" s="114" t="s">
        <v>117</v>
      </c>
      <c r="E670" s="114" t="s">
        <v>119</v>
      </c>
      <c r="F670" s="196"/>
      <c r="G670" s="215">
        <f>SUM(G671)</f>
        <v>0</v>
      </c>
      <c r="H670" s="22"/>
      <c r="I670" s="22"/>
    </row>
    <row r="671" spans="1:9" ht="42.75" hidden="1">
      <c r="A671" s="157" t="s">
        <v>92</v>
      </c>
      <c r="B671" s="74"/>
      <c r="C671" s="114" t="s">
        <v>117</v>
      </c>
      <c r="D671" s="114" t="s">
        <v>117</v>
      </c>
      <c r="E671" s="114" t="s">
        <v>93</v>
      </c>
      <c r="F671" s="196"/>
      <c r="G671" s="215">
        <f>SUM(G672)+G673</f>
        <v>0</v>
      </c>
      <c r="H671" s="22"/>
      <c r="I671" s="22"/>
    </row>
    <row r="672" spans="1:9" ht="15" hidden="1">
      <c r="A672" s="162" t="s">
        <v>249</v>
      </c>
      <c r="B672" s="74"/>
      <c r="C672" s="114" t="s">
        <v>117</v>
      </c>
      <c r="D672" s="114" t="s">
        <v>117</v>
      </c>
      <c r="E672" s="114" t="s">
        <v>93</v>
      </c>
      <c r="F672" s="196" t="s">
        <v>250</v>
      </c>
      <c r="G672" s="215"/>
      <c r="H672" s="22"/>
      <c r="I672" s="22"/>
    </row>
    <row r="673" spans="1:9" ht="15" hidden="1">
      <c r="A673" s="162" t="s">
        <v>143</v>
      </c>
      <c r="B673" s="74"/>
      <c r="C673" s="114" t="s">
        <v>117</v>
      </c>
      <c r="D673" s="114" t="s">
        <v>117</v>
      </c>
      <c r="E673" s="114" t="s">
        <v>93</v>
      </c>
      <c r="F673" s="196" t="s">
        <v>83</v>
      </c>
      <c r="G673" s="215"/>
      <c r="H673" s="22">
        <f>SUM(H674:H676)</f>
        <v>14679.5</v>
      </c>
      <c r="I673" s="22" t="e">
        <f aca="true" t="shared" si="12" ref="I673:I679">SUM(H673/G697*100)</f>
        <v>#DIV/0!</v>
      </c>
    </row>
    <row r="674" spans="1:9" ht="15" hidden="1">
      <c r="A674" s="162" t="s">
        <v>128</v>
      </c>
      <c r="B674" s="207"/>
      <c r="C674" s="182" t="s">
        <v>117</v>
      </c>
      <c r="D674" s="182" t="s">
        <v>117</v>
      </c>
      <c r="E674" s="182" t="s">
        <v>129</v>
      </c>
      <c r="F674" s="198"/>
      <c r="G674" s="215">
        <f>SUM(G675)</f>
        <v>0</v>
      </c>
      <c r="H674" s="22">
        <v>14679.5</v>
      </c>
      <c r="I674" s="22" t="e">
        <f t="shared" si="12"/>
        <v>#DIV/0!</v>
      </c>
    </row>
    <row r="675" spans="1:9" ht="42.75" hidden="1">
      <c r="A675" s="165" t="s">
        <v>374</v>
      </c>
      <c r="B675" s="207"/>
      <c r="C675" s="182" t="s">
        <v>117</v>
      </c>
      <c r="D675" s="182" t="s">
        <v>117</v>
      </c>
      <c r="E675" s="182" t="s">
        <v>373</v>
      </c>
      <c r="F675" s="198"/>
      <c r="G675" s="215">
        <f>SUM(G676)</f>
        <v>0</v>
      </c>
      <c r="H675" s="22"/>
      <c r="I675" s="22" t="e">
        <f t="shared" si="12"/>
        <v>#DIV/0!</v>
      </c>
    </row>
    <row r="676" spans="1:9" ht="15" hidden="1">
      <c r="A676" s="162" t="s">
        <v>226</v>
      </c>
      <c r="B676" s="207"/>
      <c r="C676" s="182" t="s">
        <v>117</v>
      </c>
      <c r="D676" s="182" t="s">
        <v>117</v>
      </c>
      <c r="E676" s="182" t="s">
        <v>373</v>
      </c>
      <c r="F676" s="198" t="s">
        <v>227</v>
      </c>
      <c r="G676" s="215"/>
      <c r="H676" s="22">
        <f>SUM(H677)</f>
        <v>0</v>
      </c>
      <c r="I676" s="22" t="e">
        <f t="shared" si="12"/>
        <v>#DIV/0!</v>
      </c>
    </row>
    <row r="677" spans="1:9" ht="15">
      <c r="A677" s="156" t="s">
        <v>332</v>
      </c>
      <c r="B677" s="74"/>
      <c r="C677" s="182" t="s">
        <v>124</v>
      </c>
      <c r="D677" s="182"/>
      <c r="E677" s="182"/>
      <c r="F677" s="197"/>
      <c r="G677" s="215">
        <f>SUM(G678+G728)</f>
        <v>98080.40000000001</v>
      </c>
      <c r="H677" s="22"/>
      <c r="I677" s="22" t="e">
        <f t="shared" si="12"/>
        <v>#DIV/0!</v>
      </c>
    </row>
    <row r="678" spans="1:9" ht="15">
      <c r="A678" s="156" t="s">
        <v>372</v>
      </c>
      <c r="B678" s="74"/>
      <c r="C678" s="182" t="s">
        <v>124</v>
      </c>
      <c r="D678" s="182" t="s">
        <v>466</v>
      </c>
      <c r="E678" s="182"/>
      <c r="F678" s="197"/>
      <c r="G678" s="215">
        <f>SUM(G679+G702+G713)</f>
        <v>89879.90000000001</v>
      </c>
      <c r="H678" s="22">
        <f>SUM(H679)</f>
        <v>56722</v>
      </c>
      <c r="I678" s="22">
        <f t="shared" si="12"/>
        <v>1052.7663839343716</v>
      </c>
    </row>
    <row r="679" spans="1:9" ht="28.5">
      <c r="A679" s="160" t="s">
        <v>623</v>
      </c>
      <c r="B679" s="74"/>
      <c r="C679" s="182" t="s">
        <v>124</v>
      </c>
      <c r="D679" s="182" t="s">
        <v>466</v>
      </c>
      <c r="E679" s="182" t="s">
        <v>136</v>
      </c>
      <c r="F679" s="197"/>
      <c r="G679" s="215">
        <f>SUM(G680+G683)</f>
        <v>49937.9</v>
      </c>
      <c r="H679" s="22">
        <f>SUM(H681+H721+H719)</f>
        <v>56722</v>
      </c>
      <c r="I679" s="22">
        <f t="shared" si="12"/>
        <v>1052.7663839343716</v>
      </c>
    </row>
    <row r="680" spans="1:9" ht="15">
      <c r="A680" s="156" t="s">
        <v>15</v>
      </c>
      <c r="B680" s="199"/>
      <c r="C680" s="182" t="s">
        <v>124</v>
      </c>
      <c r="D680" s="182" t="s">
        <v>466</v>
      </c>
      <c r="E680" s="182" t="s">
        <v>205</v>
      </c>
      <c r="F680" s="197"/>
      <c r="G680" s="215">
        <f>SUM(G681)</f>
        <v>31956.2</v>
      </c>
      <c r="H680" s="22"/>
      <c r="I680" s="22"/>
    </row>
    <row r="681" spans="1:9" ht="28.5">
      <c r="A681" s="156" t="s">
        <v>94</v>
      </c>
      <c r="B681" s="199"/>
      <c r="C681" s="182" t="s">
        <v>124</v>
      </c>
      <c r="D681" s="182" t="s">
        <v>466</v>
      </c>
      <c r="E681" s="182" t="s">
        <v>207</v>
      </c>
      <c r="F681" s="197"/>
      <c r="G681" s="215">
        <f>SUM(G682)</f>
        <v>31956.2</v>
      </c>
      <c r="H681" s="22">
        <v>56722</v>
      </c>
      <c r="I681" s="22">
        <f>SUM(H681/G705*100)</f>
        <v>1068.6335462235536</v>
      </c>
    </row>
    <row r="682" spans="1:9" ht="28.5">
      <c r="A682" s="162" t="s">
        <v>540</v>
      </c>
      <c r="B682" s="206"/>
      <c r="C682" s="182" t="s">
        <v>124</v>
      </c>
      <c r="D682" s="182" t="s">
        <v>466</v>
      </c>
      <c r="E682" s="182" t="s">
        <v>207</v>
      </c>
      <c r="F682" s="198" t="s">
        <v>536</v>
      </c>
      <c r="G682" s="215">
        <v>31956.2</v>
      </c>
      <c r="H682" s="22">
        <f>SUM(H683)</f>
        <v>0</v>
      </c>
      <c r="I682" s="22" t="e">
        <f>SUM(H682/#REF!*100)</f>
        <v>#REF!</v>
      </c>
    </row>
    <row r="683" spans="1:9" ht="28.5">
      <c r="A683" s="156" t="s">
        <v>56</v>
      </c>
      <c r="B683" s="206"/>
      <c r="C683" s="182" t="s">
        <v>124</v>
      </c>
      <c r="D683" s="182" t="s">
        <v>466</v>
      </c>
      <c r="E683" s="182" t="s">
        <v>137</v>
      </c>
      <c r="F683" s="198"/>
      <c r="G683" s="215">
        <f>SUM(G684:G686)</f>
        <v>17981.7</v>
      </c>
      <c r="H683" s="22"/>
      <c r="I683" s="22" t="e">
        <f>SUM(H683/#REF!*100)</f>
        <v>#REF!</v>
      </c>
    </row>
    <row r="684" spans="1:9" ht="28.5">
      <c r="A684" s="156" t="s">
        <v>518</v>
      </c>
      <c r="B684" s="74"/>
      <c r="C684" s="182" t="s">
        <v>124</v>
      </c>
      <c r="D684" s="182" t="s">
        <v>466</v>
      </c>
      <c r="E684" s="182" t="s">
        <v>137</v>
      </c>
      <c r="F684" s="196" t="s">
        <v>519</v>
      </c>
      <c r="G684" s="215">
        <v>14343.9</v>
      </c>
      <c r="H684" s="22"/>
      <c r="I684" s="22"/>
    </row>
    <row r="685" spans="1:9" ht="21" customHeight="1">
      <c r="A685" s="156" t="s">
        <v>523</v>
      </c>
      <c r="B685" s="74"/>
      <c r="C685" s="182" t="s">
        <v>124</v>
      </c>
      <c r="D685" s="182" t="s">
        <v>466</v>
      </c>
      <c r="E685" s="182" t="s">
        <v>137</v>
      </c>
      <c r="F685" s="196" t="s">
        <v>120</v>
      </c>
      <c r="G685" s="216">
        <v>3254</v>
      </c>
      <c r="H685" s="22"/>
      <c r="I685" s="22"/>
    </row>
    <row r="686" spans="1:9" ht="19.5" customHeight="1">
      <c r="A686" s="156" t="s">
        <v>524</v>
      </c>
      <c r="B686" s="74"/>
      <c r="C686" s="182" t="s">
        <v>124</v>
      </c>
      <c r="D686" s="182" t="s">
        <v>466</v>
      </c>
      <c r="E686" s="182" t="s">
        <v>137</v>
      </c>
      <c r="F686" s="197" t="s">
        <v>177</v>
      </c>
      <c r="G686" s="215">
        <v>383.8</v>
      </c>
      <c r="H686" s="22"/>
      <c r="I686" s="22"/>
    </row>
    <row r="687" spans="1:9" ht="15" hidden="1">
      <c r="A687" s="156" t="s">
        <v>95</v>
      </c>
      <c r="B687" s="199"/>
      <c r="C687" s="182" t="s">
        <v>124</v>
      </c>
      <c r="D687" s="182" t="s">
        <v>466</v>
      </c>
      <c r="E687" s="182" t="s">
        <v>205</v>
      </c>
      <c r="F687" s="197"/>
      <c r="G687" s="215">
        <f>SUM(G688+G690)</f>
        <v>0</v>
      </c>
      <c r="H687" s="22"/>
      <c r="I687" s="22"/>
    </row>
    <row r="688" spans="1:9" ht="28.5" hidden="1">
      <c r="A688" s="156" t="s">
        <v>206</v>
      </c>
      <c r="B688" s="199"/>
      <c r="C688" s="182" t="s">
        <v>124</v>
      </c>
      <c r="D688" s="182" t="s">
        <v>466</v>
      </c>
      <c r="E688" s="182" t="s">
        <v>207</v>
      </c>
      <c r="F688" s="197"/>
      <c r="G688" s="215">
        <f>SUM(G689)</f>
        <v>0</v>
      </c>
      <c r="H688" s="22">
        <f>SUM(H689+H692+H694)</f>
        <v>10268.9</v>
      </c>
      <c r="I688" s="22">
        <f>SUM(H688/G714*100)</f>
        <v>29.71832575584373</v>
      </c>
    </row>
    <row r="689" spans="1:9" ht="42.75" hidden="1">
      <c r="A689" s="162" t="s">
        <v>157</v>
      </c>
      <c r="B689" s="206"/>
      <c r="C689" s="182" t="s">
        <v>124</v>
      </c>
      <c r="D689" s="182" t="s">
        <v>466</v>
      </c>
      <c r="E689" s="182" t="s">
        <v>207</v>
      </c>
      <c r="F689" s="198" t="s">
        <v>58</v>
      </c>
      <c r="G689" s="215"/>
      <c r="H689" s="22">
        <v>8963.8</v>
      </c>
      <c r="I689" s="22">
        <f>SUM(H689/G715*100)</f>
        <v>29.617905950146707</v>
      </c>
    </row>
    <row r="690" spans="1:9" ht="15" hidden="1">
      <c r="A690" s="156" t="s">
        <v>158</v>
      </c>
      <c r="B690" s="74"/>
      <c r="C690" s="182" t="s">
        <v>124</v>
      </c>
      <c r="D690" s="182" t="s">
        <v>466</v>
      </c>
      <c r="E690" s="114" t="s">
        <v>420</v>
      </c>
      <c r="F690" s="198"/>
      <c r="G690" s="215">
        <f>SUM(G693+G695)+G691</f>
        <v>0</v>
      </c>
      <c r="H690" s="22"/>
      <c r="I690" s="22">
        <f>SUM(H690/G717*100)</f>
        <v>0</v>
      </c>
    </row>
    <row r="691" spans="1:9" ht="28.5" hidden="1">
      <c r="A691" s="156" t="s">
        <v>469</v>
      </c>
      <c r="B691" s="74"/>
      <c r="C691" s="182" t="s">
        <v>124</v>
      </c>
      <c r="D691" s="182" t="s">
        <v>466</v>
      </c>
      <c r="E691" s="114" t="s">
        <v>421</v>
      </c>
      <c r="F691" s="198"/>
      <c r="G691" s="215">
        <f>SUM(G692)</f>
        <v>0</v>
      </c>
      <c r="H691" s="22">
        <f>SUM(H692)</f>
        <v>0</v>
      </c>
      <c r="I691" s="22" t="e">
        <f>SUM(H691/#REF!*100)</f>
        <v>#REF!</v>
      </c>
    </row>
    <row r="692" spans="1:9" ht="15" hidden="1">
      <c r="A692" s="156" t="s">
        <v>158</v>
      </c>
      <c r="B692" s="74"/>
      <c r="C692" s="182" t="s">
        <v>124</v>
      </c>
      <c r="D692" s="182" t="s">
        <v>466</v>
      </c>
      <c r="E692" s="114" t="s">
        <v>421</v>
      </c>
      <c r="F692" s="198" t="s">
        <v>83</v>
      </c>
      <c r="G692" s="215"/>
      <c r="H692" s="22"/>
      <c r="I692" s="22" t="e">
        <f>SUM(H692/#REF!*100)</f>
        <v>#REF!</v>
      </c>
    </row>
    <row r="693" spans="1:9" ht="28.5" hidden="1">
      <c r="A693" s="162" t="s">
        <v>419</v>
      </c>
      <c r="B693" s="206"/>
      <c r="C693" s="182" t="s">
        <v>124</v>
      </c>
      <c r="D693" s="182" t="s">
        <v>466</v>
      </c>
      <c r="E693" s="182" t="s">
        <v>418</v>
      </c>
      <c r="F693" s="198"/>
      <c r="G693" s="215">
        <f>SUM(G694)</f>
        <v>0</v>
      </c>
      <c r="H693" s="22">
        <f>SUM(H694)</f>
        <v>1305.1</v>
      </c>
      <c r="I693" s="22" t="e">
        <f>SUM(H693/G718*100)</f>
        <v>#DIV/0!</v>
      </c>
    </row>
    <row r="694" spans="1:9" ht="15" hidden="1">
      <c r="A694" s="162" t="s">
        <v>143</v>
      </c>
      <c r="B694" s="206"/>
      <c r="C694" s="182" t="s">
        <v>124</v>
      </c>
      <c r="D694" s="182" t="s">
        <v>466</v>
      </c>
      <c r="E694" s="182" t="s">
        <v>418</v>
      </c>
      <c r="F694" s="198" t="s">
        <v>83</v>
      </c>
      <c r="G694" s="215"/>
      <c r="H694" s="22">
        <v>1305.1</v>
      </c>
      <c r="I694" s="22" t="e">
        <f>SUM(H694/G719*100)</f>
        <v>#DIV/0!</v>
      </c>
    </row>
    <row r="695" spans="1:9" ht="15" hidden="1">
      <c r="A695" s="162" t="s">
        <v>154</v>
      </c>
      <c r="B695" s="206"/>
      <c r="C695" s="182" t="s">
        <v>124</v>
      </c>
      <c r="D695" s="182" t="s">
        <v>466</v>
      </c>
      <c r="E695" s="182" t="s">
        <v>217</v>
      </c>
      <c r="F695" s="198"/>
      <c r="G695" s="215">
        <f>SUM(G696)</f>
        <v>0</v>
      </c>
      <c r="H695" s="22" t="e">
        <f>SUM(#REF!+H697)</f>
        <v>#REF!</v>
      </c>
      <c r="I695" s="22" t="e">
        <f>SUM(H695/G720*100)</f>
        <v>#REF!</v>
      </c>
    </row>
    <row r="696" spans="1:9" ht="15" hidden="1">
      <c r="A696" s="162" t="s">
        <v>143</v>
      </c>
      <c r="B696" s="206"/>
      <c r="C696" s="182" t="s">
        <v>124</v>
      </c>
      <c r="D696" s="182" t="s">
        <v>466</v>
      </c>
      <c r="E696" s="182" t="s">
        <v>217</v>
      </c>
      <c r="F696" s="198" t="s">
        <v>83</v>
      </c>
      <c r="G696" s="215"/>
      <c r="H696" s="22"/>
      <c r="I696" s="22"/>
    </row>
    <row r="697" spans="1:9" ht="28.5" hidden="1">
      <c r="A697" s="156" t="s">
        <v>56</v>
      </c>
      <c r="B697" s="113"/>
      <c r="C697" s="182" t="s">
        <v>124</v>
      </c>
      <c r="D697" s="182" t="s">
        <v>466</v>
      </c>
      <c r="E697" s="182" t="s">
        <v>137</v>
      </c>
      <c r="F697" s="197"/>
      <c r="G697" s="215">
        <f>SUM(G698:G700)</f>
        <v>0</v>
      </c>
      <c r="H697" s="22"/>
      <c r="I697" s="22" t="e">
        <f>SUM(H697/G721*100)</f>
        <v>#DIV/0!</v>
      </c>
    </row>
    <row r="698" spans="1:9" ht="15" hidden="1">
      <c r="A698" s="162" t="s">
        <v>57</v>
      </c>
      <c r="B698" s="113"/>
      <c r="C698" s="182" t="s">
        <v>124</v>
      </c>
      <c r="D698" s="182" t="s">
        <v>466</v>
      </c>
      <c r="E698" s="182" t="s">
        <v>137</v>
      </c>
      <c r="F698" s="197" t="s">
        <v>250</v>
      </c>
      <c r="G698" s="215"/>
      <c r="H698" s="22">
        <f>SUM(H699)</f>
        <v>7333.8</v>
      </c>
      <c r="I698" s="22" t="e">
        <f>SUM(H698/G724*100)</f>
        <v>#DIV/0!</v>
      </c>
    </row>
    <row r="699" spans="1:9" ht="28.5" hidden="1">
      <c r="A699" s="162" t="s">
        <v>375</v>
      </c>
      <c r="B699" s="206"/>
      <c r="C699" s="182" t="s">
        <v>124</v>
      </c>
      <c r="D699" s="182" t="s">
        <v>466</v>
      </c>
      <c r="E699" s="182" t="s">
        <v>137</v>
      </c>
      <c r="F699" s="198" t="s">
        <v>376</v>
      </c>
      <c r="G699" s="215"/>
      <c r="H699" s="22">
        <f>SUM(H701:H705)</f>
        <v>7333.8</v>
      </c>
      <c r="I699" s="22" t="e">
        <f>SUM(H699/G725*100)</f>
        <v>#DIV/0!</v>
      </c>
    </row>
    <row r="700" spans="1:9" ht="42.75" hidden="1">
      <c r="A700" s="156" t="s">
        <v>261</v>
      </c>
      <c r="B700" s="74"/>
      <c r="C700" s="182" t="s">
        <v>124</v>
      </c>
      <c r="D700" s="182" t="s">
        <v>466</v>
      </c>
      <c r="E700" s="182" t="s">
        <v>377</v>
      </c>
      <c r="F700" s="198"/>
      <c r="G700" s="215">
        <f>SUM(G701)</f>
        <v>0</v>
      </c>
      <c r="H700" s="22"/>
      <c r="I700" s="22"/>
    </row>
    <row r="701" spans="1:9" ht="5.25" customHeight="1" hidden="1">
      <c r="A701" s="162" t="s">
        <v>249</v>
      </c>
      <c r="B701" s="206"/>
      <c r="C701" s="182" t="s">
        <v>124</v>
      </c>
      <c r="D701" s="182" t="s">
        <v>466</v>
      </c>
      <c r="E701" s="182" t="s">
        <v>377</v>
      </c>
      <c r="F701" s="198" t="s">
        <v>250</v>
      </c>
      <c r="G701" s="215"/>
      <c r="H701" s="22"/>
      <c r="I701" s="22" t="e">
        <f aca="true" t="shared" si="13" ref="I701:I708">SUM(H701/G727*100)</f>
        <v>#DIV/0!</v>
      </c>
    </row>
    <row r="702" spans="1:9" ht="15">
      <c r="A702" s="156" t="s">
        <v>378</v>
      </c>
      <c r="B702" s="74"/>
      <c r="C702" s="182" t="s">
        <v>124</v>
      </c>
      <c r="D702" s="182" t="s">
        <v>466</v>
      </c>
      <c r="E702" s="182" t="s">
        <v>379</v>
      </c>
      <c r="F702" s="197"/>
      <c r="G702" s="215">
        <f>SUM(G703)</f>
        <v>5387.9</v>
      </c>
      <c r="H702" s="22">
        <f>SUM(H706+H709+H704)</f>
        <v>4633.8</v>
      </c>
      <c r="I702" s="22">
        <f t="shared" si="13"/>
        <v>56.506310590817634</v>
      </c>
    </row>
    <row r="703" spans="1:9" ht="15">
      <c r="A703" s="156" t="s">
        <v>95</v>
      </c>
      <c r="B703" s="199"/>
      <c r="C703" s="182" t="s">
        <v>124</v>
      </c>
      <c r="D703" s="182" t="s">
        <v>466</v>
      </c>
      <c r="E703" s="182" t="s">
        <v>81</v>
      </c>
      <c r="F703" s="197"/>
      <c r="G703" s="215">
        <f>SUM(G704)+G706</f>
        <v>5387.9</v>
      </c>
      <c r="H703" s="22">
        <f>SUM(H704)</f>
        <v>900</v>
      </c>
      <c r="I703" s="22" t="e">
        <f t="shared" si="13"/>
        <v>#DIV/0!</v>
      </c>
    </row>
    <row r="704" spans="1:9" ht="28.5">
      <c r="A704" s="156" t="s">
        <v>206</v>
      </c>
      <c r="B704" s="199"/>
      <c r="C704" s="182" t="s">
        <v>124</v>
      </c>
      <c r="D704" s="182" t="s">
        <v>466</v>
      </c>
      <c r="E704" s="182" t="s">
        <v>82</v>
      </c>
      <c r="F704" s="197"/>
      <c r="G704" s="215">
        <f>SUM(G705)</f>
        <v>5307.9</v>
      </c>
      <c r="H704" s="22">
        <f>SUM(H705)</f>
        <v>900</v>
      </c>
      <c r="I704" s="22" t="e">
        <f t="shared" si="13"/>
        <v>#DIV/0!</v>
      </c>
    </row>
    <row r="705" spans="1:9" ht="28.5">
      <c r="A705" s="162" t="s">
        <v>540</v>
      </c>
      <c r="B705" s="206"/>
      <c r="C705" s="182" t="s">
        <v>124</v>
      </c>
      <c r="D705" s="182" t="s">
        <v>466</v>
      </c>
      <c r="E705" s="182" t="s">
        <v>82</v>
      </c>
      <c r="F705" s="198" t="s">
        <v>536</v>
      </c>
      <c r="G705" s="215">
        <v>5307.9</v>
      </c>
      <c r="H705" s="22">
        <v>900</v>
      </c>
      <c r="I705" s="22" t="e">
        <f t="shared" si="13"/>
        <v>#DIV/0!</v>
      </c>
    </row>
    <row r="706" spans="1:9" ht="16.5" customHeight="1">
      <c r="A706" s="156" t="s">
        <v>158</v>
      </c>
      <c r="B706" s="206"/>
      <c r="C706" s="182" t="s">
        <v>124</v>
      </c>
      <c r="D706" s="182" t="s">
        <v>466</v>
      </c>
      <c r="E706" s="182" t="s">
        <v>218</v>
      </c>
      <c r="F706" s="198"/>
      <c r="G706" s="215">
        <f>SUM(G711)</f>
        <v>80</v>
      </c>
      <c r="H706" s="22">
        <f>SUM(H707)</f>
        <v>3733.8</v>
      </c>
      <c r="I706" s="22">
        <f t="shared" si="13"/>
        <v>53.33619027212343</v>
      </c>
    </row>
    <row r="707" spans="1:9" ht="28.5" hidden="1">
      <c r="A707" s="156" t="s">
        <v>469</v>
      </c>
      <c r="B707" s="206"/>
      <c r="C707" s="182" t="s">
        <v>124</v>
      </c>
      <c r="D707" s="182" t="s">
        <v>466</v>
      </c>
      <c r="E707" s="182" t="s">
        <v>471</v>
      </c>
      <c r="F707" s="198"/>
      <c r="G707" s="215">
        <f>SUM(G708)</f>
        <v>0</v>
      </c>
      <c r="H707" s="22">
        <f>SUM(H708)</f>
        <v>3733.8</v>
      </c>
      <c r="I707" s="22">
        <f t="shared" si="13"/>
        <v>53.33619027212343</v>
      </c>
    </row>
    <row r="708" spans="1:9" ht="15" hidden="1">
      <c r="A708" s="156" t="s">
        <v>158</v>
      </c>
      <c r="B708" s="206"/>
      <c r="C708" s="182" t="s">
        <v>124</v>
      </c>
      <c r="D708" s="182" t="s">
        <v>466</v>
      </c>
      <c r="E708" s="182" t="s">
        <v>471</v>
      </c>
      <c r="F708" s="198" t="s">
        <v>536</v>
      </c>
      <c r="G708" s="215"/>
      <c r="H708" s="22">
        <v>3733.8</v>
      </c>
      <c r="I708" s="22">
        <f t="shared" si="13"/>
        <v>58.9141171087303</v>
      </c>
    </row>
    <row r="709" spans="1:9" ht="28.5" hidden="1">
      <c r="A709" s="162" t="s">
        <v>419</v>
      </c>
      <c r="B709" s="206"/>
      <c r="C709" s="182" t="s">
        <v>124</v>
      </c>
      <c r="D709" s="182" t="s">
        <v>466</v>
      </c>
      <c r="E709" s="182" t="s">
        <v>153</v>
      </c>
      <c r="F709" s="198"/>
      <c r="G709" s="215">
        <f>SUM(G710)</f>
        <v>0</v>
      </c>
      <c r="H709" s="22">
        <f>SUM(H714)</f>
        <v>0</v>
      </c>
      <c r="I709" s="22">
        <f>SUM(H709/G737*100)</f>
        <v>0</v>
      </c>
    </row>
    <row r="710" spans="1:9" ht="15" hidden="1">
      <c r="A710" s="162" t="s">
        <v>143</v>
      </c>
      <c r="B710" s="206"/>
      <c r="C710" s="182" t="s">
        <v>124</v>
      </c>
      <c r="D710" s="182" t="s">
        <v>466</v>
      </c>
      <c r="E710" s="182" t="s">
        <v>153</v>
      </c>
      <c r="F710" s="198" t="s">
        <v>536</v>
      </c>
      <c r="G710" s="215"/>
      <c r="H710" s="22"/>
      <c r="I710" s="22"/>
    </row>
    <row r="711" spans="1:9" ht="21" customHeight="1">
      <c r="A711" s="341" t="s">
        <v>154</v>
      </c>
      <c r="B711" s="206"/>
      <c r="C711" s="182" t="s">
        <v>124</v>
      </c>
      <c r="D711" s="182" t="s">
        <v>466</v>
      </c>
      <c r="E711" s="182" t="s">
        <v>671</v>
      </c>
      <c r="F711" s="198"/>
      <c r="G711" s="215">
        <f>SUM(G712)</f>
        <v>80</v>
      </c>
      <c r="H711" s="22"/>
      <c r="I711" s="22"/>
    </row>
    <row r="712" spans="1:9" ht="33.75" customHeight="1">
      <c r="A712" s="162" t="s">
        <v>540</v>
      </c>
      <c r="B712" s="206"/>
      <c r="C712" s="182" t="s">
        <v>124</v>
      </c>
      <c r="D712" s="182" t="s">
        <v>466</v>
      </c>
      <c r="E712" s="182" t="s">
        <v>671</v>
      </c>
      <c r="F712" s="198" t="s">
        <v>536</v>
      </c>
      <c r="G712" s="215">
        <v>80</v>
      </c>
      <c r="H712" s="22"/>
      <c r="I712" s="22"/>
    </row>
    <row r="713" spans="1:9" ht="15">
      <c r="A713" s="156" t="s">
        <v>380</v>
      </c>
      <c r="B713" s="74"/>
      <c r="C713" s="182" t="s">
        <v>124</v>
      </c>
      <c r="D713" s="182" t="s">
        <v>466</v>
      </c>
      <c r="E713" s="182" t="s">
        <v>381</v>
      </c>
      <c r="F713" s="197"/>
      <c r="G713" s="215">
        <f>SUM(G714)</f>
        <v>34554.100000000006</v>
      </c>
      <c r="H713" s="22"/>
      <c r="I713" s="22"/>
    </row>
    <row r="714" spans="1:9" ht="28.5">
      <c r="A714" s="156" t="s">
        <v>56</v>
      </c>
      <c r="B714" s="199"/>
      <c r="C714" s="182" t="s">
        <v>124</v>
      </c>
      <c r="D714" s="182" t="s">
        <v>466</v>
      </c>
      <c r="E714" s="182" t="s">
        <v>382</v>
      </c>
      <c r="F714" s="197"/>
      <c r="G714" s="215">
        <f>SUM(G715:G717)</f>
        <v>34554.100000000006</v>
      </c>
      <c r="H714" s="22">
        <f>SUM(H715:H721)</f>
        <v>0</v>
      </c>
      <c r="I714" s="22" t="e">
        <f>SUM(H714/G740*100)</f>
        <v>#DIV/0!</v>
      </c>
    </row>
    <row r="715" spans="1:9" ht="28.5">
      <c r="A715" s="156" t="s">
        <v>518</v>
      </c>
      <c r="B715" s="74"/>
      <c r="C715" s="182" t="s">
        <v>124</v>
      </c>
      <c r="D715" s="182" t="s">
        <v>466</v>
      </c>
      <c r="E715" s="182" t="s">
        <v>382</v>
      </c>
      <c r="F715" s="196" t="s">
        <v>519</v>
      </c>
      <c r="G715" s="215">
        <v>30264.8</v>
      </c>
      <c r="H715" s="22"/>
      <c r="I715" s="22" t="e">
        <f>SUM(H715/G741*100)</f>
        <v>#DIV/0!</v>
      </c>
    </row>
    <row r="716" spans="1:9" ht="15">
      <c r="A716" s="156" t="s">
        <v>523</v>
      </c>
      <c r="B716" s="74"/>
      <c r="C716" s="182" t="s">
        <v>124</v>
      </c>
      <c r="D716" s="182" t="s">
        <v>466</v>
      </c>
      <c r="E716" s="182" t="s">
        <v>382</v>
      </c>
      <c r="F716" s="196" t="s">
        <v>120</v>
      </c>
      <c r="G716" s="216">
        <v>3733</v>
      </c>
      <c r="H716" s="22"/>
      <c r="I716" s="22" t="e">
        <f>SUM(H716/G742*100)</f>
        <v>#DIV/0!</v>
      </c>
    </row>
    <row r="717" spans="1:9" ht="15">
      <c r="A717" s="156" t="s">
        <v>524</v>
      </c>
      <c r="B717" s="74"/>
      <c r="C717" s="182" t="s">
        <v>124</v>
      </c>
      <c r="D717" s="182" t="s">
        <v>466</v>
      </c>
      <c r="E717" s="182" t="s">
        <v>382</v>
      </c>
      <c r="F717" s="197" t="s">
        <v>177</v>
      </c>
      <c r="G717" s="215">
        <v>556.3</v>
      </c>
      <c r="H717" s="22"/>
      <c r="I717" s="22"/>
    </row>
    <row r="718" spans="1:9" ht="42.75" hidden="1">
      <c r="A718" s="162" t="s">
        <v>62</v>
      </c>
      <c r="B718" s="206"/>
      <c r="C718" s="182" t="s">
        <v>124</v>
      </c>
      <c r="D718" s="182" t="s">
        <v>466</v>
      </c>
      <c r="E718" s="182" t="s">
        <v>383</v>
      </c>
      <c r="F718" s="198"/>
      <c r="G718" s="215">
        <f>SUM(G719)</f>
        <v>0</v>
      </c>
      <c r="H718" s="22"/>
      <c r="I718" s="22"/>
    </row>
    <row r="719" spans="1:9" ht="15" hidden="1">
      <c r="A719" s="162" t="s">
        <v>57</v>
      </c>
      <c r="B719" s="206"/>
      <c r="C719" s="182" t="s">
        <v>124</v>
      </c>
      <c r="D719" s="182" t="s">
        <v>466</v>
      </c>
      <c r="E719" s="182" t="s">
        <v>383</v>
      </c>
      <c r="F719" s="198" t="s">
        <v>250</v>
      </c>
      <c r="G719" s="215"/>
      <c r="H719" s="22"/>
      <c r="I719" s="22"/>
    </row>
    <row r="720" spans="1:9" ht="15" hidden="1">
      <c r="A720" s="162" t="s">
        <v>384</v>
      </c>
      <c r="B720" s="206"/>
      <c r="C720" s="182" t="s">
        <v>124</v>
      </c>
      <c r="D720" s="182" t="s">
        <v>466</v>
      </c>
      <c r="E720" s="182" t="s">
        <v>385</v>
      </c>
      <c r="F720" s="198"/>
      <c r="G720" s="215">
        <f>SUM(G723+G721)</f>
        <v>0</v>
      </c>
      <c r="H720" s="22"/>
      <c r="I720" s="22" t="e">
        <f>SUM(H720/G746*100)</f>
        <v>#DIV/0!</v>
      </c>
    </row>
    <row r="721" spans="1:9" ht="15" hidden="1">
      <c r="A721" s="162" t="s">
        <v>249</v>
      </c>
      <c r="B721" s="206"/>
      <c r="C721" s="182" t="s">
        <v>124</v>
      </c>
      <c r="D721" s="182" t="s">
        <v>466</v>
      </c>
      <c r="E721" s="182" t="s">
        <v>385</v>
      </c>
      <c r="F721" s="198" t="s">
        <v>250</v>
      </c>
      <c r="G721" s="215"/>
      <c r="H721" s="22"/>
      <c r="I721" s="22" t="e">
        <f>SUM(H721/G747*100)</f>
        <v>#DIV/0!</v>
      </c>
    </row>
    <row r="722" spans="1:9" ht="28.5" hidden="1">
      <c r="A722" s="162" t="s">
        <v>386</v>
      </c>
      <c r="B722" s="206"/>
      <c r="C722" s="182" t="s">
        <v>124</v>
      </c>
      <c r="D722" s="182" t="s">
        <v>466</v>
      </c>
      <c r="E722" s="182" t="s">
        <v>387</v>
      </c>
      <c r="F722" s="198"/>
      <c r="G722" s="215">
        <f>SUM(G723)</f>
        <v>0</v>
      </c>
      <c r="H722" s="124" t="e">
        <f>SUM(H723+H733)</f>
        <v>#REF!</v>
      </c>
      <c r="I722" s="124" t="e">
        <f>SUM(H722/G748*100)</f>
        <v>#REF!</v>
      </c>
    </row>
    <row r="723" spans="1:9" ht="15" hidden="1">
      <c r="A723" s="162" t="s">
        <v>249</v>
      </c>
      <c r="B723" s="206"/>
      <c r="C723" s="182" t="s">
        <v>124</v>
      </c>
      <c r="D723" s="182" t="s">
        <v>466</v>
      </c>
      <c r="E723" s="182" t="s">
        <v>387</v>
      </c>
      <c r="F723" s="198" t="s">
        <v>250</v>
      </c>
      <c r="G723" s="215"/>
      <c r="H723" s="22">
        <f>SUM(H724)+H730</f>
        <v>0</v>
      </c>
      <c r="I723" s="22" t="e">
        <f>SUM(H723/#REF!*100)</f>
        <v>#REF!</v>
      </c>
    </row>
    <row r="724" spans="1:9" ht="15" hidden="1">
      <c r="A724" s="162" t="s">
        <v>128</v>
      </c>
      <c r="B724" s="199"/>
      <c r="C724" s="182" t="s">
        <v>124</v>
      </c>
      <c r="D724" s="182" t="s">
        <v>466</v>
      </c>
      <c r="E724" s="182" t="s">
        <v>129</v>
      </c>
      <c r="F724" s="197"/>
      <c r="G724" s="215">
        <f>SUM(G725)</f>
        <v>0</v>
      </c>
      <c r="H724" s="22">
        <f>SUM(H725)</f>
        <v>0</v>
      </c>
      <c r="I724" s="22" t="e">
        <f>SUM(H724/#REF!*100)</f>
        <v>#REF!</v>
      </c>
    </row>
    <row r="725" spans="1:9" ht="42.75" hidden="1">
      <c r="A725" s="156" t="s">
        <v>209</v>
      </c>
      <c r="B725" s="199"/>
      <c r="C725" s="182" t="s">
        <v>124</v>
      </c>
      <c r="D725" s="182" t="s">
        <v>466</v>
      </c>
      <c r="E725" s="182" t="s">
        <v>302</v>
      </c>
      <c r="F725" s="197"/>
      <c r="G725" s="215">
        <f>SUM(G726:G727)</f>
        <v>0</v>
      </c>
      <c r="H725" s="22">
        <f>SUM(H728)</f>
        <v>0</v>
      </c>
      <c r="I725" s="22" t="e">
        <f>SUM(H725/#REF!*100)</f>
        <v>#REF!</v>
      </c>
    </row>
    <row r="726" spans="1:9" ht="15" hidden="1">
      <c r="A726" s="162" t="s">
        <v>57</v>
      </c>
      <c r="B726" s="199"/>
      <c r="C726" s="182" t="s">
        <v>124</v>
      </c>
      <c r="D726" s="182" t="s">
        <v>466</v>
      </c>
      <c r="E726" s="182" t="s">
        <v>302</v>
      </c>
      <c r="F726" s="197" t="s">
        <v>250</v>
      </c>
      <c r="G726" s="215"/>
      <c r="H726" s="22"/>
      <c r="I726" s="22"/>
    </row>
    <row r="727" spans="1:9" ht="15" hidden="1">
      <c r="A727" s="162" t="s">
        <v>143</v>
      </c>
      <c r="B727" s="199"/>
      <c r="C727" s="182" t="s">
        <v>124</v>
      </c>
      <c r="D727" s="182" t="s">
        <v>466</v>
      </c>
      <c r="E727" s="182" t="s">
        <v>302</v>
      </c>
      <c r="F727" s="197" t="s">
        <v>83</v>
      </c>
      <c r="G727" s="215"/>
      <c r="H727" s="22"/>
      <c r="I727" s="22"/>
    </row>
    <row r="728" spans="1:9" ht="15">
      <c r="A728" s="157" t="s">
        <v>238</v>
      </c>
      <c r="B728" s="199"/>
      <c r="C728" s="182" t="s">
        <v>124</v>
      </c>
      <c r="D728" s="182" t="s">
        <v>122</v>
      </c>
      <c r="E728" s="182"/>
      <c r="F728" s="197"/>
      <c r="G728" s="215">
        <f>SUM(G732+G737+G730)</f>
        <v>8200.5</v>
      </c>
      <c r="H728" s="22">
        <f>SUM(H729)</f>
        <v>0</v>
      </c>
      <c r="I728" s="22" t="e">
        <f>SUM(H728/#REF!*100)</f>
        <v>#REF!</v>
      </c>
    </row>
    <row r="729" spans="1:9" ht="15" hidden="1">
      <c r="A729" s="156" t="s">
        <v>412</v>
      </c>
      <c r="B729" s="199"/>
      <c r="C729" s="182" t="s">
        <v>124</v>
      </c>
      <c r="D729" s="182" t="s">
        <v>122</v>
      </c>
      <c r="E729" s="182" t="s">
        <v>414</v>
      </c>
      <c r="F729" s="197"/>
      <c r="G729" s="215">
        <f>SUM(G730)</f>
        <v>0</v>
      </c>
      <c r="H729" s="22"/>
      <c r="I729" s="22" t="e">
        <f>SUM(H729/#REF!*100)</f>
        <v>#REF!</v>
      </c>
    </row>
    <row r="730" spans="1:9" ht="15" hidden="1">
      <c r="A730" s="156" t="s">
        <v>392</v>
      </c>
      <c r="B730" s="199"/>
      <c r="C730" s="182" t="s">
        <v>124</v>
      </c>
      <c r="D730" s="182" t="s">
        <v>122</v>
      </c>
      <c r="E730" s="182" t="s">
        <v>393</v>
      </c>
      <c r="F730" s="197"/>
      <c r="G730" s="215">
        <f>SUM(G731)</f>
        <v>0</v>
      </c>
      <c r="H730" s="22">
        <f>SUM(H731)</f>
        <v>0</v>
      </c>
      <c r="I730" s="22" t="e">
        <f>SUM(H730/#REF!*100)</f>
        <v>#REF!</v>
      </c>
    </row>
    <row r="731" spans="1:9" ht="28.5" hidden="1">
      <c r="A731" s="156" t="s">
        <v>312</v>
      </c>
      <c r="B731" s="199"/>
      <c r="C731" s="182" t="s">
        <v>124</v>
      </c>
      <c r="D731" s="182" t="s">
        <v>122</v>
      </c>
      <c r="E731" s="182" t="s">
        <v>393</v>
      </c>
      <c r="F731" s="197" t="s">
        <v>313</v>
      </c>
      <c r="G731" s="215"/>
      <c r="H731" s="22">
        <f>SUM(H732)</f>
        <v>0</v>
      </c>
      <c r="I731" s="22" t="e">
        <f>SUM(H731/#REF!*100)</f>
        <v>#REF!</v>
      </c>
    </row>
    <row r="732" spans="1:9" ht="42.75">
      <c r="A732" s="157" t="s">
        <v>294</v>
      </c>
      <c r="B732" s="199"/>
      <c r="C732" s="182" t="s">
        <v>124</v>
      </c>
      <c r="D732" s="182" t="s">
        <v>122</v>
      </c>
      <c r="E732" s="182" t="s">
        <v>295</v>
      </c>
      <c r="F732" s="197"/>
      <c r="G732" s="215">
        <f>SUM(G733)</f>
        <v>7000.499999999999</v>
      </c>
      <c r="H732" s="22"/>
      <c r="I732" s="22" t="e">
        <f>SUM(H732/#REF!*100)</f>
        <v>#REF!</v>
      </c>
    </row>
    <row r="733" spans="1:11" ht="28.5">
      <c r="A733" s="156" t="s">
        <v>56</v>
      </c>
      <c r="B733" s="199"/>
      <c r="C733" s="182" t="s">
        <v>124</v>
      </c>
      <c r="D733" s="182" t="s">
        <v>122</v>
      </c>
      <c r="E733" s="182" t="s">
        <v>296</v>
      </c>
      <c r="F733" s="197"/>
      <c r="G733" s="215">
        <f>SUM(G734:G736)</f>
        <v>7000.499999999999</v>
      </c>
      <c r="H733" s="22" t="e">
        <f>SUM(H734+H748+#REF!+#REF!+H766)</f>
        <v>#REF!</v>
      </c>
      <c r="I733" s="22" t="e">
        <f>SUM(H733/G749*100)</f>
        <v>#REF!</v>
      </c>
      <c r="K733" s="151"/>
    </row>
    <row r="734" spans="1:9" ht="28.5">
      <c r="A734" s="156" t="s">
        <v>518</v>
      </c>
      <c r="B734" s="206"/>
      <c r="C734" s="182" t="s">
        <v>124</v>
      </c>
      <c r="D734" s="182" t="s">
        <v>122</v>
      </c>
      <c r="E734" s="182" t="s">
        <v>296</v>
      </c>
      <c r="F734" s="198" t="s">
        <v>519</v>
      </c>
      <c r="G734" s="215">
        <v>6337.7</v>
      </c>
      <c r="H734" s="22">
        <f>SUM(H735+H738)</f>
        <v>46235.5</v>
      </c>
      <c r="I734" s="22">
        <f>SUM(H734/G750*100)</f>
        <v>721.9897250113212</v>
      </c>
    </row>
    <row r="735" spans="1:9" ht="15">
      <c r="A735" s="156" t="s">
        <v>523</v>
      </c>
      <c r="B735" s="206"/>
      <c r="C735" s="182" t="s">
        <v>124</v>
      </c>
      <c r="D735" s="182" t="s">
        <v>122</v>
      </c>
      <c r="E735" s="182" t="s">
        <v>296</v>
      </c>
      <c r="F735" s="198" t="s">
        <v>120</v>
      </c>
      <c r="G735" s="215">
        <v>658.4</v>
      </c>
      <c r="H735" s="22">
        <f>SUM(H736)</f>
        <v>146.8</v>
      </c>
      <c r="I735" s="22" t="e">
        <f>SUM(H735/#REF!*100)</f>
        <v>#REF!</v>
      </c>
    </row>
    <row r="736" spans="1:9" ht="15">
      <c r="A736" s="156" t="s">
        <v>524</v>
      </c>
      <c r="B736" s="206"/>
      <c r="C736" s="182" t="s">
        <v>124</v>
      </c>
      <c r="D736" s="182" t="s">
        <v>122</v>
      </c>
      <c r="E736" s="182" t="s">
        <v>296</v>
      </c>
      <c r="F736" s="198" t="s">
        <v>177</v>
      </c>
      <c r="G736" s="215">
        <v>4.4</v>
      </c>
      <c r="H736" s="22">
        <f>SUM(H737)</f>
        <v>146.8</v>
      </c>
      <c r="I736" s="22" t="e">
        <f>SUM(H736/#REF!*100)</f>
        <v>#REF!</v>
      </c>
    </row>
    <row r="737" spans="1:9" ht="15">
      <c r="A737" s="162" t="s">
        <v>128</v>
      </c>
      <c r="B737" s="199"/>
      <c r="C737" s="182" t="s">
        <v>124</v>
      </c>
      <c r="D737" s="182" t="s">
        <v>122</v>
      </c>
      <c r="E737" s="182" t="s">
        <v>129</v>
      </c>
      <c r="F737" s="197"/>
      <c r="G737" s="215">
        <f>SUM(G740)+G743+G738</f>
        <v>1200</v>
      </c>
      <c r="H737" s="22">
        <v>146.8</v>
      </c>
      <c r="I737" s="22" t="e">
        <f>SUM(H737/#REF!*100)</f>
        <v>#REF!</v>
      </c>
    </row>
    <row r="738" spans="1:9" ht="42.75" hidden="1">
      <c r="A738" s="156" t="s">
        <v>209</v>
      </c>
      <c r="B738" s="199"/>
      <c r="C738" s="182" t="s">
        <v>124</v>
      </c>
      <c r="D738" s="182" t="s">
        <v>122</v>
      </c>
      <c r="E738" s="182" t="s">
        <v>302</v>
      </c>
      <c r="F738" s="197"/>
      <c r="G738" s="215">
        <f>SUM(G739)</f>
        <v>0</v>
      </c>
      <c r="H738" s="22">
        <f>SUM(H739)</f>
        <v>46088.7</v>
      </c>
      <c r="I738" s="22" t="e">
        <f>SUM(H738/#REF!*100)</f>
        <v>#REF!</v>
      </c>
    </row>
    <row r="739" spans="1:9" ht="15" hidden="1">
      <c r="A739" s="162" t="s">
        <v>57</v>
      </c>
      <c r="B739" s="199"/>
      <c r="C739" s="182" t="s">
        <v>124</v>
      </c>
      <c r="D739" s="182" t="s">
        <v>122</v>
      </c>
      <c r="E739" s="182" t="s">
        <v>302</v>
      </c>
      <c r="F739" s="197" t="s">
        <v>250</v>
      </c>
      <c r="G739" s="215"/>
      <c r="H739" s="22">
        <f>SUM(H743:H746)</f>
        <v>46088.7</v>
      </c>
      <c r="I739" s="22">
        <f>SUM(H739/G752*100)</f>
        <v>719.69737191399</v>
      </c>
    </row>
    <row r="740" spans="1:9" ht="28.5" hidden="1">
      <c r="A740" s="156" t="s">
        <v>502</v>
      </c>
      <c r="B740" s="199"/>
      <c r="C740" s="182" t="s">
        <v>124</v>
      </c>
      <c r="D740" s="182" t="s">
        <v>122</v>
      </c>
      <c r="E740" s="182" t="s">
        <v>314</v>
      </c>
      <c r="F740" s="197"/>
      <c r="G740" s="215">
        <f>SUM(G741:G742)</f>
        <v>0</v>
      </c>
      <c r="H740" s="22"/>
      <c r="I740" s="22"/>
    </row>
    <row r="741" spans="1:9" ht="42.75" hidden="1">
      <c r="A741" s="162" t="s">
        <v>96</v>
      </c>
      <c r="B741" s="199"/>
      <c r="C741" s="182" t="s">
        <v>124</v>
      </c>
      <c r="D741" s="182" t="s">
        <v>122</v>
      </c>
      <c r="E741" s="182" t="s">
        <v>314</v>
      </c>
      <c r="F741" s="197" t="s">
        <v>313</v>
      </c>
      <c r="G741" s="215"/>
      <c r="H741" s="22">
        <f>SUM(H742)</f>
        <v>0</v>
      </c>
      <c r="I741" s="22">
        <f>SUM(H741/G751*100)</f>
        <v>0</v>
      </c>
    </row>
    <row r="742" spans="1:9" ht="15" hidden="1">
      <c r="A742" s="156" t="s">
        <v>158</v>
      </c>
      <c r="B742" s="199"/>
      <c r="C742" s="182" t="s">
        <v>124</v>
      </c>
      <c r="D742" s="182" t="s">
        <v>122</v>
      </c>
      <c r="E742" s="182" t="s">
        <v>314</v>
      </c>
      <c r="F742" s="197" t="s">
        <v>83</v>
      </c>
      <c r="G742" s="215"/>
      <c r="H742" s="22"/>
      <c r="I742" s="22"/>
    </row>
    <row r="743" spans="1:9" ht="15">
      <c r="A743" s="156" t="s">
        <v>539</v>
      </c>
      <c r="B743" s="199"/>
      <c r="C743" s="182" t="s">
        <v>124</v>
      </c>
      <c r="D743" s="182" t="s">
        <v>122</v>
      </c>
      <c r="E743" s="182" t="s">
        <v>315</v>
      </c>
      <c r="F743" s="197"/>
      <c r="G743" s="215">
        <f>SUM(G744:G746)</f>
        <v>1200</v>
      </c>
      <c r="H743" s="22">
        <v>46088.7</v>
      </c>
      <c r="I743" s="22">
        <f>SUM(H743/G759*100)</f>
        <v>719.69737191399</v>
      </c>
    </row>
    <row r="744" spans="1:9" ht="28.5">
      <c r="A744" s="156" t="s">
        <v>518</v>
      </c>
      <c r="B744" s="199"/>
      <c r="C744" s="182" t="s">
        <v>124</v>
      </c>
      <c r="D744" s="182" t="s">
        <v>122</v>
      </c>
      <c r="E744" s="182" t="s">
        <v>315</v>
      </c>
      <c r="F744" s="197" t="s">
        <v>519</v>
      </c>
      <c r="G744" s="215">
        <v>900</v>
      </c>
      <c r="H744" s="22"/>
      <c r="I744" s="22">
        <f>SUM(H744/G760*100)</f>
        <v>0</v>
      </c>
    </row>
    <row r="745" spans="1:9" ht="15">
      <c r="A745" s="156" t="s">
        <v>523</v>
      </c>
      <c r="B745" s="199"/>
      <c r="C745" s="182" t="s">
        <v>124</v>
      </c>
      <c r="D745" s="182" t="s">
        <v>122</v>
      </c>
      <c r="E745" s="182" t="s">
        <v>315</v>
      </c>
      <c r="F745" s="197" t="s">
        <v>120</v>
      </c>
      <c r="G745" s="215">
        <v>300</v>
      </c>
      <c r="H745" s="22"/>
      <c r="I745" s="22" t="e">
        <f>SUM(H745/#REF!*100)</f>
        <v>#REF!</v>
      </c>
    </row>
    <row r="746" spans="1:9" ht="15" hidden="1">
      <c r="A746" s="156" t="s">
        <v>524</v>
      </c>
      <c r="B746" s="199"/>
      <c r="C746" s="182" t="s">
        <v>124</v>
      </c>
      <c r="D746" s="182" t="s">
        <v>122</v>
      </c>
      <c r="E746" s="182" t="s">
        <v>315</v>
      </c>
      <c r="F746" s="197" t="s">
        <v>177</v>
      </c>
      <c r="G746" s="215"/>
      <c r="H746" s="22">
        <f>SUM(H747)</f>
        <v>0</v>
      </c>
      <c r="I746" s="22" t="e">
        <f>SUM(H746/#REF!*100)</f>
        <v>#REF!</v>
      </c>
    </row>
    <row r="747" spans="1:9" ht="15" hidden="1">
      <c r="A747" s="156" t="s">
        <v>158</v>
      </c>
      <c r="B747" s="199"/>
      <c r="C747" s="182" t="s">
        <v>124</v>
      </c>
      <c r="D747" s="182" t="s">
        <v>122</v>
      </c>
      <c r="E747" s="182" t="s">
        <v>315</v>
      </c>
      <c r="F747" s="197" t="s">
        <v>83</v>
      </c>
      <c r="G747" s="215"/>
      <c r="H747" s="22"/>
      <c r="I747" s="22" t="e">
        <f>SUM(H747/#REF!*100)</f>
        <v>#REF!</v>
      </c>
    </row>
    <row r="748" spans="1:9" ht="15">
      <c r="A748" s="159" t="s">
        <v>311</v>
      </c>
      <c r="B748" s="199" t="s">
        <v>269</v>
      </c>
      <c r="C748" s="182"/>
      <c r="D748" s="182"/>
      <c r="E748" s="182"/>
      <c r="F748" s="197"/>
      <c r="G748" s="222">
        <f>SUM(G749)</f>
        <v>41884.100000000006</v>
      </c>
      <c r="H748" s="22" t="e">
        <f>SUM(#REF!+#REF!+#REF!+#REF!)</f>
        <v>#REF!</v>
      </c>
      <c r="I748" s="22" t="e">
        <f>SUM(H748/G761*100)</f>
        <v>#REF!</v>
      </c>
    </row>
    <row r="749" spans="1:9" ht="15">
      <c r="A749" s="156" t="s">
        <v>331</v>
      </c>
      <c r="B749" s="74"/>
      <c r="C749" s="182" t="s">
        <v>304</v>
      </c>
      <c r="D749" s="182"/>
      <c r="E749" s="182"/>
      <c r="F749" s="197"/>
      <c r="G749" s="215">
        <f>SUM(G750+G761+G782+G790)</f>
        <v>41884.100000000006</v>
      </c>
      <c r="H749" s="22"/>
      <c r="I749" s="22"/>
    </row>
    <row r="750" spans="1:9" ht="15">
      <c r="A750" s="156" t="s">
        <v>179</v>
      </c>
      <c r="B750" s="74"/>
      <c r="C750" s="182" t="s">
        <v>304</v>
      </c>
      <c r="D750" s="182" t="s">
        <v>466</v>
      </c>
      <c r="E750" s="182"/>
      <c r="F750" s="197"/>
      <c r="G750" s="215">
        <f>SUM(G751)</f>
        <v>6403.9</v>
      </c>
      <c r="H750" s="22">
        <v>21799.8</v>
      </c>
      <c r="I750" s="22">
        <f>SUM(H750/G769*100)</f>
        <v>275.2117761422025</v>
      </c>
    </row>
    <row r="751" spans="1:9" ht="15">
      <c r="A751" s="156" t="s">
        <v>203</v>
      </c>
      <c r="B751" s="74"/>
      <c r="C751" s="182" t="s">
        <v>304</v>
      </c>
      <c r="D751" s="182" t="s">
        <v>466</v>
      </c>
      <c r="E751" s="182" t="s">
        <v>183</v>
      </c>
      <c r="F751" s="197"/>
      <c r="G751" s="216">
        <f>SUM(G752)</f>
        <v>6403.9</v>
      </c>
      <c r="H751" s="22"/>
      <c r="I751" s="22" t="e">
        <f>SUM(H751/#REF!*100)</f>
        <v>#REF!</v>
      </c>
    </row>
    <row r="752" spans="1:9" ht="15">
      <c r="A752" s="156" t="s">
        <v>95</v>
      </c>
      <c r="B752" s="199"/>
      <c r="C752" s="182" t="s">
        <v>304</v>
      </c>
      <c r="D752" s="182" t="s">
        <v>466</v>
      </c>
      <c r="E752" s="182" t="s">
        <v>84</v>
      </c>
      <c r="F752" s="197"/>
      <c r="G752" s="215">
        <f>SUM(G760)+G753</f>
        <v>6403.9</v>
      </c>
      <c r="H752" s="22"/>
      <c r="I752" s="22" t="e">
        <f>SUM(H752/#REF!*100)</f>
        <v>#REF!</v>
      </c>
    </row>
    <row r="753" spans="1:9" ht="15" hidden="1">
      <c r="A753" s="162" t="s">
        <v>158</v>
      </c>
      <c r="B753" s="199"/>
      <c r="C753" s="182" t="s">
        <v>304</v>
      </c>
      <c r="D753" s="182" t="s">
        <v>466</v>
      </c>
      <c r="E753" s="182" t="s">
        <v>141</v>
      </c>
      <c r="F753" s="197"/>
      <c r="G753" s="215">
        <f>SUM(G755+G757)</f>
        <v>0</v>
      </c>
      <c r="H753" s="22" t="e">
        <f>SUM(#REF!)</f>
        <v>#REF!</v>
      </c>
      <c r="I753" s="22" t="e">
        <f>SUM(H753/#REF!*100)</f>
        <v>#REF!</v>
      </c>
    </row>
    <row r="754" spans="1:9" ht="15" hidden="1">
      <c r="A754" s="162" t="s">
        <v>143</v>
      </c>
      <c r="B754" s="199"/>
      <c r="C754" s="182" t="s">
        <v>304</v>
      </c>
      <c r="D754" s="182" t="s">
        <v>466</v>
      </c>
      <c r="E754" s="182" t="s">
        <v>141</v>
      </c>
      <c r="F754" s="197" t="s">
        <v>83</v>
      </c>
      <c r="G754" s="215"/>
      <c r="H754" s="22">
        <f>SUM(H760:H760)</f>
        <v>7467.6</v>
      </c>
      <c r="I754" s="22">
        <f>SUM(H754/G772*100)</f>
        <v>66.1470051552784</v>
      </c>
    </row>
    <row r="755" spans="1:9" ht="28.5" hidden="1">
      <c r="A755" s="162" t="s">
        <v>419</v>
      </c>
      <c r="B755" s="199"/>
      <c r="C755" s="182" t="s">
        <v>304</v>
      </c>
      <c r="D755" s="182" t="s">
        <v>466</v>
      </c>
      <c r="E755" s="182" t="s">
        <v>142</v>
      </c>
      <c r="F755" s="197"/>
      <c r="G755" s="215">
        <f>SUM(G756)</f>
        <v>0</v>
      </c>
      <c r="H755" s="22"/>
      <c r="I755" s="22"/>
    </row>
    <row r="756" spans="1:9" ht="15" hidden="1">
      <c r="A756" s="162" t="s">
        <v>143</v>
      </c>
      <c r="B756" s="199"/>
      <c r="C756" s="182" t="s">
        <v>304</v>
      </c>
      <c r="D756" s="182" t="s">
        <v>466</v>
      </c>
      <c r="E756" s="182" t="s">
        <v>142</v>
      </c>
      <c r="F756" s="197" t="s">
        <v>83</v>
      </c>
      <c r="G756" s="215"/>
      <c r="H756" s="22"/>
      <c r="I756" s="22"/>
    </row>
    <row r="757" spans="1:9" ht="15" hidden="1">
      <c r="A757" s="156" t="s">
        <v>216</v>
      </c>
      <c r="B757" s="199"/>
      <c r="C757" s="182" t="s">
        <v>304</v>
      </c>
      <c r="D757" s="182" t="s">
        <v>466</v>
      </c>
      <c r="E757" s="182" t="s">
        <v>219</v>
      </c>
      <c r="F757" s="197"/>
      <c r="G757" s="215">
        <f>SUM(G758)</f>
        <v>0</v>
      </c>
      <c r="H757" s="22"/>
      <c r="I757" s="22"/>
    </row>
    <row r="758" spans="1:9" ht="15" hidden="1">
      <c r="A758" s="156" t="s">
        <v>158</v>
      </c>
      <c r="B758" s="199"/>
      <c r="C758" s="182" t="s">
        <v>304</v>
      </c>
      <c r="D758" s="182" t="s">
        <v>466</v>
      </c>
      <c r="E758" s="182" t="s">
        <v>219</v>
      </c>
      <c r="F758" s="197" t="s">
        <v>83</v>
      </c>
      <c r="G758" s="215"/>
      <c r="H758" s="22"/>
      <c r="I758" s="22"/>
    </row>
    <row r="759" spans="1:9" ht="28.5">
      <c r="A759" s="156" t="s">
        <v>306</v>
      </c>
      <c r="B759" s="199"/>
      <c r="C759" s="182" t="s">
        <v>304</v>
      </c>
      <c r="D759" s="182" t="s">
        <v>466</v>
      </c>
      <c r="E759" s="182" t="s">
        <v>305</v>
      </c>
      <c r="F759" s="197"/>
      <c r="G759" s="215">
        <f>SUM(G760)</f>
        <v>6403.9</v>
      </c>
      <c r="H759" s="22"/>
      <c r="I759" s="22"/>
    </row>
    <row r="760" spans="1:9" ht="28.5">
      <c r="A760" s="162" t="s">
        <v>540</v>
      </c>
      <c r="B760" s="206"/>
      <c r="C760" s="182" t="s">
        <v>304</v>
      </c>
      <c r="D760" s="182" t="s">
        <v>466</v>
      </c>
      <c r="E760" s="182" t="s">
        <v>305</v>
      </c>
      <c r="F760" s="198" t="s">
        <v>536</v>
      </c>
      <c r="G760" s="215">
        <v>6403.9</v>
      </c>
      <c r="H760" s="22">
        <v>7467.6</v>
      </c>
      <c r="I760" s="22">
        <f>SUM(H760/G780*100)</f>
        <v>66.73816290417717</v>
      </c>
    </row>
    <row r="761" spans="1:9" ht="15">
      <c r="A761" s="156" t="s">
        <v>244</v>
      </c>
      <c r="B761" s="74"/>
      <c r="C761" s="182" t="s">
        <v>304</v>
      </c>
      <c r="D761" s="182" t="s">
        <v>468</v>
      </c>
      <c r="E761" s="182"/>
      <c r="F761" s="197"/>
      <c r="G761" s="215">
        <f>SUM(G762+G771)</f>
        <v>19210.5</v>
      </c>
      <c r="H761" s="22">
        <f>SUM(H762:H763)</f>
        <v>1817.2</v>
      </c>
      <c r="I761" s="22" t="e">
        <f>SUM(H761/#REF!*100)</f>
        <v>#REF!</v>
      </c>
    </row>
    <row r="762" spans="1:9" ht="15">
      <c r="A762" s="156" t="s">
        <v>203</v>
      </c>
      <c r="B762" s="74"/>
      <c r="C762" s="182" t="s">
        <v>304</v>
      </c>
      <c r="D762" s="182" t="s">
        <v>468</v>
      </c>
      <c r="E762" s="182" t="s">
        <v>183</v>
      </c>
      <c r="F762" s="197"/>
      <c r="G762" s="215">
        <f>SUM(G763)</f>
        <v>7921.1</v>
      </c>
      <c r="H762" s="22">
        <v>1817.2</v>
      </c>
      <c r="I762" s="22" t="e">
        <f>SUM(H762/#REF!*100)</f>
        <v>#REF!</v>
      </c>
    </row>
    <row r="763" spans="1:9" ht="15">
      <c r="A763" s="156" t="s">
        <v>95</v>
      </c>
      <c r="B763" s="199"/>
      <c r="C763" s="182" t="s">
        <v>304</v>
      </c>
      <c r="D763" s="182" t="s">
        <v>468</v>
      </c>
      <c r="E763" s="182" t="s">
        <v>84</v>
      </c>
      <c r="F763" s="197"/>
      <c r="G763" s="215">
        <f>SUM(G764+G769)</f>
        <v>7921.1</v>
      </c>
      <c r="H763" s="22"/>
      <c r="I763" s="22" t="e">
        <f>SUM(H763/#REF!*100)</f>
        <v>#REF!</v>
      </c>
    </row>
    <row r="764" spans="1:9" ht="15" hidden="1">
      <c r="A764" s="162" t="s">
        <v>158</v>
      </c>
      <c r="B764" s="199"/>
      <c r="C764" s="182" t="s">
        <v>304</v>
      </c>
      <c r="D764" s="182" t="s">
        <v>468</v>
      </c>
      <c r="E764" s="182" t="s">
        <v>141</v>
      </c>
      <c r="F764" s="197"/>
      <c r="G764" s="215">
        <f>SUM(G767)+G765</f>
        <v>0</v>
      </c>
      <c r="H764" s="22">
        <f>SUM(H765)</f>
        <v>340</v>
      </c>
      <c r="I764" s="22" t="e">
        <f>SUM(H764/#REF!*100)</f>
        <v>#REF!</v>
      </c>
    </row>
    <row r="765" spans="1:9" ht="28.5" hidden="1">
      <c r="A765" s="162" t="s">
        <v>419</v>
      </c>
      <c r="B765" s="199"/>
      <c r="C765" s="182" t="s">
        <v>304</v>
      </c>
      <c r="D765" s="182" t="s">
        <v>468</v>
      </c>
      <c r="E765" s="182" t="s">
        <v>142</v>
      </c>
      <c r="F765" s="197"/>
      <c r="G765" s="215">
        <f>SUM(G766)</f>
        <v>0</v>
      </c>
      <c r="H765" s="22">
        <v>340</v>
      </c>
      <c r="I765" s="22" t="e">
        <f>SUM(H765/#REF!*100)</f>
        <v>#REF!</v>
      </c>
    </row>
    <row r="766" spans="1:9" ht="15" hidden="1">
      <c r="A766" s="162" t="s">
        <v>143</v>
      </c>
      <c r="B766" s="199"/>
      <c r="C766" s="182" t="s">
        <v>304</v>
      </c>
      <c r="D766" s="182" t="s">
        <v>468</v>
      </c>
      <c r="E766" s="182" t="s">
        <v>142</v>
      </c>
      <c r="F766" s="197" t="s">
        <v>83</v>
      </c>
      <c r="G766" s="215"/>
      <c r="H766" s="22">
        <f>SUM(H767)</f>
        <v>9494.7</v>
      </c>
      <c r="I766" s="22" t="e">
        <f>SUM(H766/#REF!*100)</f>
        <v>#REF!</v>
      </c>
    </row>
    <row r="767" spans="1:9" ht="15" hidden="1">
      <c r="A767" s="156" t="s">
        <v>216</v>
      </c>
      <c r="B767" s="199"/>
      <c r="C767" s="182" t="s">
        <v>304</v>
      </c>
      <c r="D767" s="182" t="s">
        <v>468</v>
      </c>
      <c r="E767" s="182" t="s">
        <v>219</v>
      </c>
      <c r="F767" s="197"/>
      <c r="G767" s="215">
        <f>SUM(G768)</f>
        <v>0</v>
      </c>
      <c r="H767" s="22">
        <f>SUM(H768)</f>
        <v>9494.7</v>
      </c>
      <c r="I767" s="22" t="e">
        <f>SUM(H767/#REF!*100)</f>
        <v>#REF!</v>
      </c>
    </row>
    <row r="768" spans="1:9" ht="15" hidden="1">
      <c r="A768" s="162" t="s">
        <v>143</v>
      </c>
      <c r="B768" s="199"/>
      <c r="C768" s="182" t="s">
        <v>304</v>
      </c>
      <c r="D768" s="182" t="s">
        <v>468</v>
      </c>
      <c r="E768" s="182" t="s">
        <v>219</v>
      </c>
      <c r="F768" s="197" t="s">
        <v>83</v>
      </c>
      <c r="G768" s="215"/>
      <c r="H768" s="22">
        <f>SUM(H769:H770)</f>
        <v>9494.7</v>
      </c>
      <c r="I768" s="22" t="e">
        <f>SUM(H768/#REF!*100)</f>
        <v>#REF!</v>
      </c>
    </row>
    <row r="769" spans="1:9" ht="28.5">
      <c r="A769" s="156" t="s">
        <v>306</v>
      </c>
      <c r="B769" s="199"/>
      <c r="C769" s="182" t="s">
        <v>304</v>
      </c>
      <c r="D769" s="182" t="s">
        <v>468</v>
      </c>
      <c r="E769" s="182" t="s">
        <v>305</v>
      </c>
      <c r="F769" s="197"/>
      <c r="G769" s="215">
        <f>SUM(G770)</f>
        <v>7921.1</v>
      </c>
      <c r="H769" s="22">
        <v>9494.7</v>
      </c>
      <c r="I769" s="22" t="e">
        <f>SUM(H769/#REF!*100)</f>
        <v>#REF!</v>
      </c>
    </row>
    <row r="770" spans="1:9" ht="28.5">
      <c r="A770" s="162" t="s">
        <v>540</v>
      </c>
      <c r="B770" s="206"/>
      <c r="C770" s="182" t="s">
        <v>304</v>
      </c>
      <c r="D770" s="182" t="s">
        <v>468</v>
      </c>
      <c r="E770" s="182" t="s">
        <v>305</v>
      </c>
      <c r="F770" s="198" t="s">
        <v>536</v>
      </c>
      <c r="G770" s="215">
        <v>7921.1</v>
      </c>
      <c r="H770" s="22"/>
      <c r="I770" s="22" t="e">
        <f>SUM(H770/#REF!*100)</f>
        <v>#REF!</v>
      </c>
    </row>
    <row r="771" spans="1:9" ht="15">
      <c r="A771" s="156" t="s">
        <v>245</v>
      </c>
      <c r="B771" s="74"/>
      <c r="C771" s="182" t="s">
        <v>304</v>
      </c>
      <c r="D771" s="182" t="s">
        <v>468</v>
      </c>
      <c r="E771" s="182" t="s">
        <v>246</v>
      </c>
      <c r="F771" s="197"/>
      <c r="G771" s="215">
        <f>SUM(G772)</f>
        <v>11289.4</v>
      </c>
      <c r="H771" s="22">
        <f>SUM(H772)</f>
        <v>7467.6</v>
      </c>
      <c r="I771" s="22" t="e">
        <f>SUM(H771/#REF!*100)</f>
        <v>#REF!</v>
      </c>
    </row>
    <row r="772" spans="1:9" ht="15">
      <c r="A772" s="156" t="s">
        <v>95</v>
      </c>
      <c r="B772" s="74"/>
      <c r="C772" s="182" t="s">
        <v>304</v>
      </c>
      <c r="D772" s="182" t="s">
        <v>468</v>
      </c>
      <c r="E772" s="182" t="s">
        <v>307</v>
      </c>
      <c r="F772" s="197"/>
      <c r="G772" s="215">
        <f>SUM(G780:G780)+G773</f>
        <v>11289.4</v>
      </c>
      <c r="H772" s="22">
        <v>7467.6</v>
      </c>
      <c r="I772" s="22" t="e">
        <f>SUM(H772/#REF!*100)</f>
        <v>#REF!</v>
      </c>
    </row>
    <row r="773" spans="1:9" ht="15">
      <c r="A773" s="162" t="s">
        <v>158</v>
      </c>
      <c r="B773" s="74"/>
      <c r="C773" s="182" t="s">
        <v>304</v>
      </c>
      <c r="D773" s="182" t="s">
        <v>468</v>
      </c>
      <c r="E773" s="182" t="s">
        <v>220</v>
      </c>
      <c r="F773" s="197"/>
      <c r="G773" s="215">
        <f>SUM(G774)+G776+G778</f>
        <v>100</v>
      </c>
      <c r="H773" s="22">
        <f>SUM(H774)</f>
        <v>0</v>
      </c>
      <c r="I773" s="22" t="e">
        <f>SUM(H773/G788*100)</f>
        <v>#DIV/0!</v>
      </c>
    </row>
    <row r="774" spans="1:9" ht="28.5">
      <c r="A774" s="162" t="s">
        <v>144</v>
      </c>
      <c r="B774" s="199"/>
      <c r="C774" s="182" t="s">
        <v>304</v>
      </c>
      <c r="D774" s="182" t="s">
        <v>468</v>
      </c>
      <c r="E774" s="182" t="s">
        <v>145</v>
      </c>
      <c r="F774" s="197"/>
      <c r="G774" s="215">
        <f>SUM(G775)</f>
        <v>58.4</v>
      </c>
      <c r="H774" s="22"/>
      <c r="I774" s="22" t="e">
        <f>SUM(H774/G789*100)</f>
        <v>#DIV/0!</v>
      </c>
    </row>
    <row r="775" spans="1:9" ht="27.75" customHeight="1">
      <c r="A775" s="162" t="s">
        <v>540</v>
      </c>
      <c r="B775" s="206"/>
      <c r="C775" s="182" t="s">
        <v>304</v>
      </c>
      <c r="D775" s="182" t="s">
        <v>468</v>
      </c>
      <c r="E775" s="182" t="s">
        <v>145</v>
      </c>
      <c r="F775" s="198" t="s">
        <v>536</v>
      </c>
      <c r="G775" s="215">
        <v>58.4</v>
      </c>
      <c r="H775" s="22">
        <f>SUM(H776:H777)</f>
        <v>6864.8</v>
      </c>
      <c r="I775" s="22">
        <f>SUM(H775/G794*100)</f>
        <v>53.32380493715919</v>
      </c>
    </row>
    <row r="776" spans="1:9" ht="28.5" hidden="1">
      <c r="A776" s="162" t="s">
        <v>419</v>
      </c>
      <c r="B776" s="199"/>
      <c r="C776" s="182" t="s">
        <v>304</v>
      </c>
      <c r="D776" s="182" t="s">
        <v>468</v>
      </c>
      <c r="E776" s="182" t="s">
        <v>508</v>
      </c>
      <c r="F776" s="197"/>
      <c r="G776" s="215">
        <f>SUM(G777)</f>
        <v>0</v>
      </c>
      <c r="H776" s="22">
        <v>6864.8</v>
      </c>
      <c r="I776" s="22">
        <f>SUM(H776/G795*100)</f>
        <v>60.52174526347343</v>
      </c>
    </row>
    <row r="777" spans="1:9" ht="15" hidden="1">
      <c r="A777" s="162" t="s">
        <v>143</v>
      </c>
      <c r="B777" s="199"/>
      <c r="C777" s="182" t="s">
        <v>304</v>
      </c>
      <c r="D777" s="182" t="s">
        <v>468</v>
      </c>
      <c r="E777" s="182" t="s">
        <v>508</v>
      </c>
      <c r="F777" s="197" t="s">
        <v>83</v>
      </c>
      <c r="G777" s="215"/>
      <c r="H777" s="22"/>
      <c r="I777" s="22" t="e">
        <f>SUM(H777/#REF!*100)</f>
        <v>#REF!</v>
      </c>
    </row>
    <row r="778" spans="1:9" ht="19.5" customHeight="1">
      <c r="A778" s="341" t="s">
        <v>154</v>
      </c>
      <c r="B778" s="206"/>
      <c r="C778" s="182" t="s">
        <v>304</v>
      </c>
      <c r="D778" s="182" t="s">
        <v>468</v>
      </c>
      <c r="E778" s="182" t="s">
        <v>674</v>
      </c>
      <c r="F778" s="198"/>
      <c r="G778" s="215">
        <f>SUM(G779)</f>
        <v>41.6</v>
      </c>
      <c r="H778" s="22"/>
      <c r="I778" s="22"/>
    </row>
    <row r="779" spans="1:9" ht="28.5">
      <c r="A779" s="162" t="s">
        <v>540</v>
      </c>
      <c r="B779" s="206"/>
      <c r="C779" s="182" t="s">
        <v>304</v>
      </c>
      <c r="D779" s="182" t="s">
        <v>468</v>
      </c>
      <c r="E779" s="182" t="s">
        <v>674</v>
      </c>
      <c r="F779" s="198" t="s">
        <v>536</v>
      </c>
      <c r="G779" s="215">
        <v>41.6</v>
      </c>
      <c r="H779" s="22"/>
      <c r="I779" s="22"/>
    </row>
    <row r="780" spans="1:9" ht="28.5">
      <c r="A780" s="162" t="s">
        <v>306</v>
      </c>
      <c r="B780" s="74"/>
      <c r="C780" s="182" t="s">
        <v>304</v>
      </c>
      <c r="D780" s="182" t="s">
        <v>468</v>
      </c>
      <c r="E780" s="182" t="s">
        <v>308</v>
      </c>
      <c r="F780" s="197"/>
      <c r="G780" s="215">
        <f>SUM(G781)</f>
        <v>11189.4</v>
      </c>
      <c r="H780" s="22" t="e">
        <f>SUM(H781+#REF!)</f>
        <v>#REF!</v>
      </c>
      <c r="I780" s="22" t="e">
        <f>SUM(H780/#REF!*100)</f>
        <v>#REF!</v>
      </c>
    </row>
    <row r="781" spans="1:9" ht="28.5">
      <c r="A781" s="162" t="s">
        <v>540</v>
      </c>
      <c r="B781" s="206"/>
      <c r="C781" s="182" t="s">
        <v>304</v>
      </c>
      <c r="D781" s="182" t="s">
        <v>468</v>
      </c>
      <c r="E781" s="182" t="s">
        <v>308</v>
      </c>
      <c r="F781" s="198" t="s">
        <v>536</v>
      </c>
      <c r="G781" s="215">
        <v>11189.4</v>
      </c>
      <c r="H781" s="22" t="e">
        <f>SUM(#REF!)</f>
        <v>#REF!</v>
      </c>
      <c r="I781" s="22" t="e">
        <f>SUM(H781/#REF!*100)</f>
        <v>#REF!</v>
      </c>
    </row>
    <row r="782" spans="1:9" ht="15">
      <c r="A782" s="162" t="s">
        <v>247</v>
      </c>
      <c r="B782" s="74"/>
      <c r="C782" s="182" t="s">
        <v>304</v>
      </c>
      <c r="D782" s="182" t="s">
        <v>122</v>
      </c>
      <c r="E782" s="182"/>
      <c r="F782" s="197"/>
      <c r="G782" s="215">
        <f>SUM(G785+G788)</f>
        <v>530.1</v>
      </c>
      <c r="H782" s="22"/>
      <c r="I782" s="22"/>
    </row>
    <row r="783" spans="1:9" ht="15" hidden="1">
      <c r="A783" s="162" t="s">
        <v>392</v>
      </c>
      <c r="B783" s="74"/>
      <c r="C783" s="182" t="s">
        <v>304</v>
      </c>
      <c r="D783" s="182" t="s">
        <v>122</v>
      </c>
      <c r="E783" s="182" t="s">
        <v>393</v>
      </c>
      <c r="F783" s="197"/>
      <c r="G783" s="215">
        <f>SUM(G784)</f>
        <v>0</v>
      </c>
      <c r="H783" s="22">
        <v>340</v>
      </c>
      <c r="I783" s="22" t="e">
        <f>SUM(H783/#REF!*100)</f>
        <v>#REF!</v>
      </c>
    </row>
    <row r="784" spans="1:9" ht="15" hidden="1">
      <c r="A784" s="162" t="s">
        <v>249</v>
      </c>
      <c r="B784" s="74"/>
      <c r="C784" s="182" t="s">
        <v>304</v>
      </c>
      <c r="D784" s="182" t="s">
        <v>122</v>
      </c>
      <c r="E784" s="182" t="s">
        <v>393</v>
      </c>
      <c r="F784" s="197" t="s">
        <v>250</v>
      </c>
      <c r="G784" s="215"/>
      <c r="H784" s="22">
        <v>1424.2</v>
      </c>
      <c r="I784" s="22" t="e">
        <f>SUM(H784/#REF!*100)</f>
        <v>#REF!</v>
      </c>
    </row>
    <row r="785" spans="1:9" ht="15">
      <c r="A785" s="156" t="s">
        <v>95</v>
      </c>
      <c r="B785" s="74"/>
      <c r="C785" s="182" t="s">
        <v>304</v>
      </c>
      <c r="D785" s="182" t="s">
        <v>122</v>
      </c>
      <c r="E785" s="182" t="s">
        <v>537</v>
      </c>
      <c r="F785" s="197"/>
      <c r="G785" s="215">
        <f>SUM(G786)</f>
        <v>530.1</v>
      </c>
      <c r="H785" s="22"/>
      <c r="I785" s="22"/>
    </row>
    <row r="786" spans="1:9" ht="28.5">
      <c r="A786" s="162" t="s">
        <v>306</v>
      </c>
      <c r="B786" s="74"/>
      <c r="C786" s="182" t="s">
        <v>304</v>
      </c>
      <c r="D786" s="182" t="s">
        <v>122</v>
      </c>
      <c r="E786" s="182" t="s">
        <v>538</v>
      </c>
      <c r="F786" s="197"/>
      <c r="G786" s="215">
        <f>SUM(G787)</f>
        <v>530.1</v>
      </c>
      <c r="H786" s="22"/>
      <c r="I786" s="22" t="e">
        <f>SUM(H786/#REF!*100)</f>
        <v>#REF!</v>
      </c>
    </row>
    <row r="787" spans="1:9" ht="29.25" thickBot="1">
      <c r="A787" s="162" t="s">
        <v>540</v>
      </c>
      <c r="B787" s="206"/>
      <c r="C787" s="182" t="s">
        <v>304</v>
      </c>
      <c r="D787" s="182" t="s">
        <v>122</v>
      </c>
      <c r="E787" s="182" t="s">
        <v>538</v>
      </c>
      <c r="F787" s="198" t="s">
        <v>536</v>
      </c>
      <c r="G787" s="215">
        <v>530.1</v>
      </c>
      <c r="H787" s="22"/>
      <c r="I787" s="22" t="e">
        <f>SUM(H787/#REF!*100)</f>
        <v>#REF!</v>
      </c>
    </row>
    <row r="788" spans="1:9" ht="15" hidden="1">
      <c r="A788" s="157" t="s">
        <v>3</v>
      </c>
      <c r="B788" s="74"/>
      <c r="C788" s="182" t="s">
        <v>304</v>
      </c>
      <c r="D788" s="182" t="s">
        <v>466</v>
      </c>
      <c r="E788" s="182" t="s">
        <v>270</v>
      </c>
      <c r="F788" s="196"/>
      <c r="G788" s="215">
        <f>SUM(G789)</f>
        <v>0</v>
      </c>
      <c r="H788" s="22"/>
      <c r="I788" s="22" t="e">
        <f>SUM(H788/#REF!*100)</f>
        <v>#REF!</v>
      </c>
    </row>
    <row r="789" spans="1:9" ht="29.25" hidden="1" thickBot="1">
      <c r="A789" s="156" t="s">
        <v>351</v>
      </c>
      <c r="B789" s="74"/>
      <c r="C789" s="182" t="s">
        <v>304</v>
      </c>
      <c r="D789" s="182" t="s">
        <v>466</v>
      </c>
      <c r="E789" s="182" t="s">
        <v>270</v>
      </c>
      <c r="F789" s="196" t="s">
        <v>271</v>
      </c>
      <c r="G789" s="215"/>
      <c r="H789" s="127"/>
      <c r="I789" s="127" t="e">
        <f>SUM(H789/#REF!*100)</f>
        <v>#REF!</v>
      </c>
    </row>
    <row r="790" spans="1:9" ht="16.5" thickBot="1">
      <c r="A790" s="157" t="s">
        <v>243</v>
      </c>
      <c r="B790" s="113"/>
      <c r="C790" s="182" t="s">
        <v>304</v>
      </c>
      <c r="D790" s="182" t="s">
        <v>304</v>
      </c>
      <c r="E790" s="182"/>
      <c r="F790" s="197"/>
      <c r="G790" s="215">
        <f>SUM(G793)+G798</f>
        <v>15739.600000000002</v>
      </c>
      <c r="H790" s="128" t="e">
        <f>SUM(H11+H35+H54+#REF!+H338+#REF!+H527+#REF!+#REF!+H722)</f>
        <v>#REF!</v>
      </c>
      <c r="I790" s="128" t="e">
        <f>SUM(H790/G801*100)</f>
        <v>#REF!</v>
      </c>
    </row>
    <row r="791" spans="1:9" ht="43.5" hidden="1" thickBot="1">
      <c r="A791" s="157" t="s">
        <v>222</v>
      </c>
      <c r="B791" s="113"/>
      <c r="C791" s="182" t="s">
        <v>304</v>
      </c>
      <c r="D791" s="182" t="s">
        <v>304</v>
      </c>
      <c r="E791" s="182" t="s">
        <v>223</v>
      </c>
      <c r="F791" s="197"/>
      <c r="G791" s="215">
        <f>SUM(G792)</f>
        <v>0</v>
      </c>
      <c r="H791" s="129">
        <f>-76000-174.5-350</f>
        <v>-76524.5</v>
      </c>
      <c r="I791" s="129">
        <f>-76000-174.5-350</f>
        <v>-76524.5</v>
      </c>
    </row>
    <row r="792" spans="1:7" ht="15" hidden="1">
      <c r="A792" s="162" t="s">
        <v>158</v>
      </c>
      <c r="B792" s="113"/>
      <c r="C792" s="182" t="s">
        <v>304</v>
      </c>
      <c r="D792" s="182" t="s">
        <v>304</v>
      </c>
      <c r="E792" s="182" t="s">
        <v>223</v>
      </c>
      <c r="F792" s="197" t="s">
        <v>83</v>
      </c>
      <c r="G792" s="215"/>
    </row>
    <row r="793" spans="1:7" ht="28.5">
      <c r="A793" s="157" t="s">
        <v>180</v>
      </c>
      <c r="B793" s="74"/>
      <c r="C793" s="182" t="s">
        <v>304</v>
      </c>
      <c r="D793" s="182" t="s">
        <v>304</v>
      </c>
      <c r="E793" s="182" t="s">
        <v>181</v>
      </c>
      <c r="F793" s="197"/>
      <c r="G793" s="215">
        <f>SUM(G794)</f>
        <v>12873.800000000001</v>
      </c>
    </row>
    <row r="794" spans="1:7" ht="28.5">
      <c r="A794" s="156" t="s">
        <v>56</v>
      </c>
      <c r="B794" s="74"/>
      <c r="C794" s="182" t="s">
        <v>304</v>
      </c>
      <c r="D794" s="182" t="s">
        <v>304</v>
      </c>
      <c r="E794" s="182" t="s">
        <v>182</v>
      </c>
      <c r="F794" s="197"/>
      <c r="G794" s="215">
        <f>SUM(G795:G797)</f>
        <v>12873.800000000001</v>
      </c>
    </row>
    <row r="795" spans="1:7" ht="28.5">
      <c r="A795" s="156" t="s">
        <v>518</v>
      </c>
      <c r="B795" s="74"/>
      <c r="C795" s="182" t="s">
        <v>304</v>
      </c>
      <c r="D795" s="182" t="s">
        <v>304</v>
      </c>
      <c r="E795" s="182" t="s">
        <v>182</v>
      </c>
      <c r="F795" s="196" t="s">
        <v>519</v>
      </c>
      <c r="G795" s="215">
        <v>11342.7</v>
      </c>
    </row>
    <row r="796" spans="1:7" ht="15">
      <c r="A796" s="156" t="s">
        <v>523</v>
      </c>
      <c r="B796" s="74"/>
      <c r="C796" s="182" t="s">
        <v>304</v>
      </c>
      <c r="D796" s="182" t="s">
        <v>304</v>
      </c>
      <c r="E796" s="182" t="s">
        <v>182</v>
      </c>
      <c r="F796" s="196" t="s">
        <v>120</v>
      </c>
      <c r="G796" s="216">
        <v>1483.6</v>
      </c>
    </row>
    <row r="797" spans="1:7" ht="15">
      <c r="A797" s="156" t="s">
        <v>524</v>
      </c>
      <c r="B797" s="74"/>
      <c r="C797" s="182" t="s">
        <v>304</v>
      </c>
      <c r="D797" s="182" t="s">
        <v>304</v>
      </c>
      <c r="E797" s="182" t="s">
        <v>182</v>
      </c>
      <c r="F797" s="197" t="s">
        <v>177</v>
      </c>
      <c r="G797" s="215">
        <v>47.5</v>
      </c>
    </row>
    <row r="798" spans="1:7" ht="15">
      <c r="A798" s="162" t="s">
        <v>128</v>
      </c>
      <c r="B798" s="74"/>
      <c r="C798" s="182" t="s">
        <v>304</v>
      </c>
      <c r="D798" s="182" t="s">
        <v>304</v>
      </c>
      <c r="E798" s="182" t="s">
        <v>129</v>
      </c>
      <c r="F798" s="197"/>
      <c r="G798" s="215">
        <f>SUM(G799)</f>
        <v>2865.8</v>
      </c>
    </row>
    <row r="799" spans="1:7" ht="28.5">
      <c r="A799" s="156" t="s">
        <v>675</v>
      </c>
      <c r="B799" s="74"/>
      <c r="C799" s="182" t="s">
        <v>304</v>
      </c>
      <c r="D799" s="182" t="s">
        <v>304</v>
      </c>
      <c r="E799" s="182" t="s">
        <v>676</v>
      </c>
      <c r="F799" s="197"/>
      <c r="G799" s="215">
        <f>SUM(G800)</f>
        <v>2865.8</v>
      </c>
    </row>
    <row r="800" spans="1:7" ht="29.25" thickBot="1">
      <c r="A800" s="278" t="s">
        <v>540</v>
      </c>
      <c r="B800" s="273"/>
      <c r="C800" s="277" t="s">
        <v>304</v>
      </c>
      <c r="D800" s="277" t="s">
        <v>304</v>
      </c>
      <c r="E800" s="274" t="s">
        <v>676</v>
      </c>
      <c r="F800" s="275" t="s">
        <v>536</v>
      </c>
      <c r="G800" s="276">
        <v>2865.8</v>
      </c>
    </row>
    <row r="801" spans="1:7" ht="21.75" customHeight="1" thickBot="1">
      <c r="A801" s="190" t="s">
        <v>173</v>
      </c>
      <c r="B801" s="209"/>
      <c r="C801" s="188"/>
      <c r="D801" s="188"/>
      <c r="E801" s="188"/>
      <c r="F801" s="210"/>
      <c r="G801" s="259">
        <f>SUM(G11+G35+G54+G301+G345+G507+G547+G647+G748)</f>
        <v>3267582.6999999997</v>
      </c>
    </row>
    <row r="802" ht="12.75" customHeight="1">
      <c r="G802" s="152"/>
    </row>
    <row r="803" ht="15" hidden="1">
      <c r="G803" s="173">
        <v>3276110.9</v>
      </c>
    </row>
    <row r="804" ht="15" hidden="1"/>
    <row r="805" ht="15" hidden="1">
      <c r="G805" s="153">
        <f>SUM(G801-G803)</f>
        <v>-8528.200000000186</v>
      </c>
    </row>
    <row r="806" ht="15" hidden="1">
      <c r="G806" s="154">
        <f>SUM(G801-2951239.5)</f>
        <v>316343.1999999997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7" r:id="rId1"/>
  <ignoredErrors>
    <ignoredError sqref="B11 C12:C14 D13:D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4.875" style="84" customWidth="1"/>
    <col min="2" max="2" width="22.375" style="84" customWidth="1"/>
    <col min="3" max="3" width="0.875" style="84" hidden="1" customWidth="1"/>
    <col min="4" max="4" width="16.125" style="84" hidden="1" customWidth="1"/>
    <col min="5" max="5" width="9.125" style="84" customWidth="1"/>
    <col min="6" max="6" width="10.875" style="84" bestFit="1" customWidth="1"/>
    <col min="7" max="16384" width="9.125" style="84" customWidth="1"/>
  </cols>
  <sheetData>
    <row r="1" spans="2:7" ht="18" customHeight="1">
      <c r="B1" s="16" t="s">
        <v>472</v>
      </c>
      <c r="C1" s="85"/>
      <c r="D1" s="27" t="s">
        <v>472</v>
      </c>
      <c r="G1" s="86"/>
    </row>
    <row r="2" spans="2:7" ht="12.75">
      <c r="B2" s="4" t="s">
        <v>1023</v>
      </c>
      <c r="C2" s="85"/>
      <c r="D2" s="85"/>
      <c r="G2" s="86"/>
    </row>
    <row r="3" spans="2:7" ht="12.75">
      <c r="B3" s="4" t="s">
        <v>273</v>
      </c>
      <c r="C3" s="85"/>
      <c r="D3" s="85"/>
      <c r="G3" s="86"/>
    </row>
    <row r="4" spans="2:7" ht="12.75">
      <c r="B4" s="87" t="s">
        <v>274</v>
      </c>
      <c r="C4" s="85"/>
      <c r="D4" s="85"/>
      <c r="G4" s="86"/>
    </row>
    <row r="5" spans="2:7" ht="15" customHeight="1">
      <c r="B5" s="453" t="s">
        <v>1020</v>
      </c>
      <c r="C5" s="453"/>
      <c r="D5" s="29"/>
      <c r="G5" s="86"/>
    </row>
    <row r="6" ht="12.75">
      <c r="B6" s="86"/>
    </row>
    <row r="9" s="86" customFormat="1" ht="15">
      <c r="A9" s="88" t="s">
        <v>473</v>
      </c>
    </row>
    <row r="10" spans="1:4" s="86" customFormat="1" ht="15">
      <c r="A10" s="88" t="s">
        <v>647</v>
      </c>
      <c r="C10" s="88"/>
      <c r="D10" s="88"/>
    </row>
    <row r="11" ht="15.75">
      <c r="A11" s="89"/>
    </row>
    <row r="12" s="88" customFormat="1" ht="15"/>
    <row r="13" s="88" customFormat="1" ht="15">
      <c r="A13" s="88" t="s">
        <v>474</v>
      </c>
    </row>
    <row r="14" s="88" customFormat="1" ht="15"/>
    <row r="15" s="88" customFormat="1" ht="15.75" thickBot="1">
      <c r="B15" s="88" t="s">
        <v>475</v>
      </c>
    </row>
    <row r="16" spans="1:4" s="88" customFormat="1" ht="40.5" customHeight="1" thickBot="1">
      <c r="A16" s="90" t="s">
        <v>278</v>
      </c>
      <c r="B16" s="91" t="s">
        <v>477</v>
      </c>
      <c r="C16" s="91" t="s">
        <v>476</v>
      </c>
      <c r="D16" s="91" t="s">
        <v>476</v>
      </c>
    </row>
    <row r="17" spans="1:6" s="88" customFormat="1" ht="45.75" customHeight="1">
      <c r="A17" s="92" t="s">
        <v>478</v>
      </c>
      <c r="B17" s="93">
        <f>SUM(B18-B19)</f>
        <v>52441.7</v>
      </c>
      <c r="C17" s="93">
        <f>SUM(C18-C19)</f>
        <v>31656.5</v>
      </c>
      <c r="D17" s="93">
        <f>SUM(D18-D19)</f>
        <v>148939.8</v>
      </c>
      <c r="F17" s="260"/>
    </row>
    <row r="18" spans="1:4" s="88" customFormat="1" ht="24" customHeight="1">
      <c r="A18" s="94" t="s">
        <v>479</v>
      </c>
      <c r="B18" s="95">
        <v>102441.7</v>
      </c>
      <c r="C18" s="95">
        <f>31656.5+100580.5</f>
        <v>132237</v>
      </c>
      <c r="D18" s="95">
        <f>259071.6+50000</f>
        <v>309071.6</v>
      </c>
    </row>
    <row r="19" spans="1:4" s="88" customFormat="1" ht="25.5" customHeight="1" thickBot="1">
      <c r="A19" s="96" t="s">
        <v>480</v>
      </c>
      <c r="B19" s="95">
        <v>50000</v>
      </c>
      <c r="C19" s="95">
        <v>100580.5</v>
      </c>
      <c r="D19" s="95">
        <v>160131.8</v>
      </c>
    </row>
    <row r="20" spans="1:4" s="88" customFormat="1" ht="45.75" thickBot="1">
      <c r="A20" s="97" t="s">
        <v>481</v>
      </c>
      <c r="B20" s="98">
        <f>SUM(B22-B23)</f>
        <v>-15000</v>
      </c>
      <c r="C20" s="98">
        <f>SUM(C22-C23)</f>
        <v>0</v>
      </c>
      <c r="D20" s="98">
        <f>SUM(D22-D23)</f>
        <v>-50000</v>
      </c>
    </row>
    <row r="21" spans="1:4" s="88" customFormat="1" ht="15" hidden="1">
      <c r="A21" s="99"/>
      <c r="B21" s="95"/>
      <c r="C21" s="95"/>
      <c r="D21" s="95"/>
    </row>
    <row r="22" spans="1:4" s="88" customFormat="1" ht="24" customHeight="1">
      <c r="A22" s="94" t="s">
        <v>479</v>
      </c>
      <c r="B22" s="95"/>
      <c r="C22" s="95"/>
      <c r="D22" s="95"/>
    </row>
    <row r="23" spans="1:4" s="88" customFormat="1" ht="25.5" customHeight="1" thickBot="1">
      <c r="A23" s="100" t="s">
        <v>480</v>
      </c>
      <c r="B23" s="101">
        <v>15000</v>
      </c>
      <c r="C23" s="101"/>
      <c r="D23" s="101">
        <v>50000</v>
      </c>
    </row>
    <row r="24" spans="1:4" s="88" customFormat="1" ht="21" customHeight="1" thickBot="1">
      <c r="A24" s="102" t="s">
        <v>482</v>
      </c>
      <c r="B24" s="98">
        <f>SUM(B25-B26)</f>
        <v>37441.7</v>
      </c>
      <c r="C24" s="98">
        <f>SUM(C25-C26)</f>
        <v>31656.5</v>
      </c>
      <c r="D24" s="98">
        <f>SUM(D25-D26)</f>
        <v>98939.79999999999</v>
      </c>
    </row>
    <row r="25" spans="1:4" s="88" customFormat="1" ht="24" customHeight="1">
      <c r="A25" s="103" t="s">
        <v>479</v>
      </c>
      <c r="B25" s="93">
        <f>SUM(B18+B22)</f>
        <v>102441.7</v>
      </c>
      <c r="C25" s="93">
        <f>SUM(C18+C22)</f>
        <v>132237</v>
      </c>
      <c r="D25" s="93">
        <f>SUM(D18+D22)</f>
        <v>309071.6</v>
      </c>
    </row>
    <row r="26" spans="1:4" s="88" customFormat="1" ht="21.75" customHeight="1" thickBot="1">
      <c r="A26" s="96" t="s">
        <v>480</v>
      </c>
      <c r="B26" s="104">
        <f>SUM(B23)+B19</f>
        <v>65000</v>
      </c>
      <c r="C26" s="104">
        <f>SUM(C23)+C19</f>
        <v>100580.5</v>
      </c>
      <c r="D26" s="104">
        <f>SUM(D23)+D19</f>
        <v>210131.8</v>
      </c>
    </row>
  </sheetData>
  <sheetProtection/>
  <mergeCells count="1">
    <mergeCell ref="B5:C5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26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54.625" style="84" customWidth="1"/>
    <col min="2" max="2" width="12.75390625" style="84" hidden="1" customWidth="1"/>
    <col min="3" max="3" width="17.375" style="84" customWidth="1"/>
    <col min="4" max="4" width="15.875" style="84" customWidth="1"/>
    <col min="5" max="16384" width="9.125" style="84" customWidth="1"/>
  </cols>
  <sheetData>
    <row r="1" spans="4:7" ht="18" customHeight="1">
      <c r="D1" s="16" t="s">
        <v>504</v>
      </c>
      <c r="G1" s="86"/>
    </row>
    <row r="2" spans="4:7" ht="12.75">
      <c r="D2" s="4" t="s">
        <v>1023</v>
      </c>
      <c r="G2" s="86"/>
    </row>
    <row r="3" spans="4:7" ht="12.75">
      <c r="D3" s="4" t="s">
        <v>273</v>
      </c>
      <c r="G3" s="86"/>
    </row>
    <row r="4" spans="4:7" ht="12.75">
      <c r="D4" s="4" t="s">
        <v>274</v>
      </c>
      <c r="G4" s="86"/>
    </row>
    <row r="5" spans="4:7" ht="14.25" customHeight="1">
      <c r="D5" s="453" t="s">
        <v>1020</v>
      </c>
      <c r="E5" s="453"/>
      <c r="G5" s="86"/>
    </row>
    <row r="6" ht="12.75">
      <c r="C6" s="86"/>
    </row>
    <row r="9" s="86" customFormat="1" ht="15">
      <c r="A9" s="88" t="s">
        <v>473</v>
      </c>
    </row>
    <row r="10" spans="1:4" s="86" customFormat="1" ht="15">
      <c r="A10" s="88" t="s">
        <v>654</v>
      </c>
      <c r="C10" s="88"/>
      <c r="D10" s="88"/>
    </row>
    <row r="11" ht="15.75">
      <c r="A11" s="89"/>
    </row>
    <row r="12" s="88" customFormat="1" ht="15"/>
    <row r="13" s="88" customFormat="1" ht="15">
      <c r="A13" s="88" t="s">
        <v>474</v>
      </c>
    </row>
    <row r="14" s="88" customFormat="1" ht="15"/>
    <row r="15" spans="2:3" s="88" customFormat="1" ht="15.75" thickBot="1">
      <c r="B15" s="88" t="s">
        <v>475</v>
      </c>
      <c r="C15" s="88" t="s">
        <v>475</v>
      </c>
    </row>
    <row r="16" spans="1:4" s="88" customFormat="1" ht="40.5" customHeight="1" thickBot="1">
      <c r="A16" s="402" t="s">
        <v>278</v>
      </c>
      <c r="B16" s="91" t="s">
        <v>476</v>
      </c>
      <c r="C16" s="91" t="s">
        <v>483</v>
      </c>
      <c r="D16" s="91" t="s">
        <v>653</v>
      </c>
    </row>
    <row r="17" spans="1:4" s="88" customFormat="1" ht="45.75" customHeight="1">
      <c r="A17" s="403" t="s">
        <v>478</v>
      </c>
      <c r="B17" s="93">
        <f>SUM(B18-B19)</f>
        <v>98939.80000000002</v>
      </c>
      <c r="C17" s="93">
        <f>SUM(C18-C19)</f>
        <v>53800.5</v>
      </c>
      <c r="D17" s="93">
        <f>SUM(D18-D19)</f>
        <v>47861.59999999998</v>
      </c>
    </row>
    <row r="18" spans="1:4" s="88" customFormat="1" ht="24" customHeight="1">
      <c r="A18" s="404" t="s">
        <v>479</v>
      </c>
      <c r="B18" s="95">
        <v>259071.6</v>
      </c>
      <c r="C18" s="262">
        <f>192618.5+102441.7+28800.5+25000</f>
        <v>348860.7</v>
      </c>
      <c r="D18" s="95">
        <v>396722.3</v>
      </c>
    </row>
    <row r="19" spans="1:4" s="88" customFormat="1" ht="25.5" customHeight="1" thickBot="1">
      <c r="A19" s="405" t="s">
        <v>480</v>
      </c>
      <c r="B19" s="95">
        <v>160131.8</v>
      </c>
      <c r="C19" s="262">
        <f>102441.7+192618.5</f>
        <v>295060.2</v>
      </c>
      <c r="D19" s="95">
        <f>SUM(C18)</f>
        <v>348860.7</v>
      </c>
    </row>
    <row r="20" spans="1:4" s="88" customFormat="1" ht="45.75" thickBot="1">
      <c r="A20" s="97" t="s">
        <v>481</v>
      </c>
      <c r="B20" s="98">
        <f>SUM(B22-B23)</f>
        <v>0</v>
      </c>
      <c r="C20" s="98">
        <f>SUM(C22-C23)</f>
        <v>-25000</v>
      </c>
      <c r="D20" s="98">
        <f>SUM(D22-D23)</f>
        <v>-21400</v>
      </c>
    </row>
    <row r="21" spans="1:4" s="88" customFormat="1" ht="15" hidden="1">
      <c r="A21" s="406"/>
      <c r="B21" s="95"/>
      <c r="C21" s="95"/>
      <c r="D21" s="95"/>
    </row>
    <row r="22" spans="1:4" s="88" customFormat="1" ht="24" customHeight="1">
      <c r="A22" s="404" t="s">
        <v>479</v>
      </c>
      <c r="B22" s="95">
        <v>50000</v>
      </c>
      <c r="C22" s="95"/>
      <c r="D22" s="95"/>
    </row>
    <row r="23" spans="1:4" s="88" customFormat="1" ht="25.5" customHeight="1" thickBot="1">
      <c r="A23" s="407" t="s">
        <v>480</v>
      </c>
      <c r="B23" s="101">
        <v>50000</v>
      </c>
      <c r="C23" s="101">
        <v>25000</v>
      </c>
      <c r="D23" s="101">
        <v>21400</v>
      </c>
    </row>
    <row r="24" spans="1:4" s="88" customFormat="1" ht="21" customHeight="1" thickBot="1">
      <c r="A24" s="102" t="s">
        <v>482</v>
      </c>
      <c r="B24" s="98">
        <f>SUM(B25-B26)</f>
        <v>98939.79999999999</v>
      </c>
      <c r="C24" s="98">
        <f>SUM(C25-C26)</f>
        <v>28800.5</v>
      </c>
      <c r="D24" s="98">
        <f>SUM(D25-D26)</f>
        <v>26461.599999999977</v>
      </c>
    </row>
    <row r="25" spans="1:4" s="88" customFormat="1" ht="24" customHeight="1">
      <c r="A25" s="408" t="s">
        <v>479</v>
      </c>
      <c r="B25" s="93">
        <f>SUM(B18+B22)</f>
        <v>309071.6</v>
      </c>
      <c r="C25" s="93">
        <f>SUM(C18+C22)</f>
        <v>348860.7</v>
      </c>
      <c r="D25" s="93">
        <f>SUM(D18+D22)</f>
        <v>396722.3</v>
      </c>
    </row>
    <row r="26" spans="1:4" s="88" customFormat="1" ht="21.75" customHeight="1" thickBot="1">
      <c r="A26" s="405" t="s">
        <v>480</v>
      </c>
      <c r="B26" s="104">
        <f>SUM(B23)+B19</f>
        <v>210131.8</v>
      </c>
      <c r="C26" s="104">
        <f>SUM(C23)+C19</f>
        <v>320060.2</v>
      </c>
      <c r="D26" s="104">
        <f>SUM(D23)+D19</f>
        <v>370260.7</v>
      </c>
    </row>
  </sheetData>
  <sheetProtection/>
  <mergeCells count="1">
    <mergeCell ref="D5:E5"/>
  </mergeCells>
  <printOptions/>
  <pageMargins left="1.1023622047244095" right="0.5118110236220472" top="0.7480314960629921" bottom="0.5511811023622047" header="0.31496062992125984" footer="0.3149606299212598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625" style="42" customWidth="1"/>
    <col min="2" max="2" width="57.75390625" style="45" customWidth="1"/>
    <col min="3" max="3" width="18.875" style="46" hidden="1" customWidth="1"/>
    <col min="4" max="4" width="12.25390625" style="43" hidden="1" customWidth="1"/>
    <col min="5" max="5" width="21.25390625" style="46" customWidth="1"/>
    <col min="6" max="6" width="17.625" style="43" hidden="1" customWidth="1"/>
    <col min="7" max="7" width="10.125" style="43" hidden="1" customWidth="1"/>
    <col min="8" max="16384" width="9.125" style="43" customWidth="1"/>
  </cols>
  <sheetData>
    <row r="1" spans="2:5" ht="12.75">
      <c r="B1" s="263"/>
      <c r="C1" s="263" t="s">
        <v>506</v>
      </c>
      <c r="D1" s="263"/>
      <c r="E1" s="82" t="s">
        <v>986</v>
      </c>
    </row>
    <row r="2" spans="2:5" ht="12" customHeight="1">
      <c r="B2" s="44"/>
      <c r="C2" s="44" t="s">
        <v>272</v>
      </c>
      <c r="D2" s="263"/>
      <c r="E2" s="44" t="s">
        <v>1023</v>
      </c>
    </row>
    <row r="3" spans="1:5" ht="15.75" customHeight="1">
      <c r="A3" s="79"/>
      <c r="B3" s="44"/>
      <c r="C3" s="44" t="s">
        <v>273</v>
      </c>
      <c r="D3" s="263"/>
      <c r="E3" s="44" t="s">
        <v>273</v>
      </c>
    </row>
    <row r="4" spans="3:5" ht="15">
      <c r="C4" s="44" t="s">
        <v>274</v>
      </c>
      <c r="D4" s="263"/>
      <c r="E4" s="44" t="s">
        <v>274</v>
      </c>
    </row>
    <row r="5" spans="3:6" ht="19.5" customHeight="1">
      <c r="C5" s="453" t="s">
        <v>648</v>
      </c>
      <c r="D5" s="453"/>
      <c r="E5" s="272" t="s">
        <v>1020</v>
      </c>
      <c r="F5" s="264"/>
    </row>
    <row r="6" spans="1:5" ht="74.25" customHeight="1">
      <c r="A6" s="457" t="s">
        <v>649</v>
      </c>
      <c r="B6" s="458"/>
      <c r="C6" s="458"/>
      <c r="E6" s="43"/>
    </row>
    <row r="7" spans="1:2" s="46" customFormat="1" ht="15">
      <c r="A7" s="42"/>
      <c r="B7" s="45"/>
    </row>
    <row r="8" spans="1:5" s="46" customFormat="1" ht="12.75" customHeight="1">
      <c r="A8" s="459" t="s">
        <v>63</v>
      </c>
      <c r="B8" s="462" t="s">
        <v>9</v>
      </c>
      <c r="C8" s="456" t="s">
        <v>10</v>
      </c>
      <c r="D8" s="456" t="s">
        <v>10</v>
      </c>
      <c r="E8" s="456" t="s">
        <v>10</v>
      </c>
    </row>
    <row r="9" spans="1:5" s="46" customFormat="1" ht="11.25" customHeight="1">
      <c r="A9" s="460"/>
      <c r="B9" s="462"/>
      <c r="C9" s="456"/>
      <c r="D9" s="456"/>
      <c r="E9" s="456"/>
    </row>
    <row r="10" spans="1:5" s="265" customFormat="1" ht="37.5" customHeight="1">
      <c r="A10" s="461"/>
      <c r="B10" s="462"/>
      <c r="C10" s="456"/>
      <c r="D10" s="456"/>
      <c r="E10" s="456"/>
    </row>
    <row r="11" spans="1:6" s="57" customFormat="1" ht="30" customHeight="1">
      <c r="A11" s="52" t="s">
        <v>11</v>
      </c>
      <c r="B11" s="59" t="s">
        <v>12</v>
      </c>
      <c r="C11" s="262">
        <f>C12+C17+C22+C27</f>
        <v>73995.59999999998</v>
      </c>
      <c r="D11" s="54">
        <f>D12+D17+D22+D27</f>
        <v>98939.79999999999</v>
      </c>
      <c r="E11" s="262">
        <f>E12+E17+E22+E27</f>
        <v>44259.10000000001</v>
      </c>
      <c r="F11" s="57">
        <v>73995.6</v>
      </c>
    </row>
    <row r="12" spans="1:5" s="57" customFormat="1" ht="30" customHeight="1">
      <c r="A12" s="52" t="s">
        <v>32</v>
      </c>
      <c r="B12" s="269" t="s">
        <v>33</v>
      </c>
      <c r="C12" s="262">
        <f>SUM(C13-C15)</f>
        <v>73995.59999999998</v>
      </c>
      <c r="D12" s="54">
        <f>SUM(D13-D15)</f>
        <v>148939.8</v>
      </c>
      <c r="E12" s="262">
        <f>SUM(E13-E15)</f>
        <v>52441.70000000001</v>
      </c>
    </row>
    <row r="13" spans="1:7" s="57" customFormat="1" ht="33" customHeight="1">
      <c r="A13" s="52" t="s">
        <v>34</v>
      </c>
      <c r="B13" s="53" t="s">
        <v>35</v>
      </c>
      <c r="C13" s="262">
        <f>SUM(C14)</f>
        <v>291614.1</v>
      </c>
      <c r="D13" s="54">
        <f>259071.6+50000</f>
        <v>309071.6</v>
      </c>
      <c r="E13" s="262">
        <f>SUM(E14)</f>
        <v>102441.70000000001</v>
      </c>
      <c r="G13" s="266">
        <f>SUM(C13+C18)</f>
        <v>291614.1</v>
      </c>
    </row>
    <row r="14" spans="1:5" s="57" customFormat="1" ht="50.25" customHeight="1">
      <c r="A14" s="52" t="s">
        <v>36</v>
      </c>
      <c r="B14" s="66" t="s">
        <v>655</v>
      </c>
      <c r="C14" s="262">
        <f>223995.6-15000+82618.5</f>
        <v>291614.1</v>
      </c>
      <c r="D14" s="54">
        <v>100580.5</v>
      </c>
      <c r="E14" s="262">
        <f>65000+73995.6-15000-21553.9</f>
        <v>102441.70000000001</v>
      </c>
    </row>
    <row r="15" spans="1:5" s="57" customFormat="1" ht="49.5" customHeight="1">
      <c r="A15" s="52" t="s">
        <v>37</v>
      </c>
      <c r="B15" s="109" t="s">
        <v>352</v>
      </c>
      <c r="C15" s="262">
        <f>SUM(C16)</f>
        <v>217618.5</v>
      </c>
      <c r="D15" s="54">
        <v>160131.8</v>
      </c>
      <c r="E15" s="262">
        <f>SUM(E16)</f>
        <v>50000</v>
      </c>
    </row>
    <row r="16" spans="1:5" s="57" customFormat="1" ht="46.5" customHeight="1">
      <c r="A16" s="52" t="s">
        <v>353</v>
      </c>
      <c r="B16" s="66" t="s">
        <v>656</v>
      </c>
      <c r="C16" s="262">
        <v>217618.5</v>
      </c>
      <c r="D16" s="54">
        <v>60000</v>
      </c>
      <c r="E16" s="262">
        <v>50000</v>
      </c>
    </row>
    <row r="17" spans="1:5" s="57" customFormat="1" ht="36" customHeight="1">
      <c r="A17" s="52" t="s">
        <v>659</v>
      </c>
      <c r="B17" s="55" t="s">
        <v>174</v>
      </c>
      <c r="C17" s="262">
        <f>SUM(C18)-C20</f>
        <v>-15000</v>
      </c>
      <c r="D17" s="54">
        <f>SUM(D18)-D20</f>
        <v>-50000</v>
      </c>
      <c r="E17" s="262">
        <f>SUM(E18)-E20</f>
        <v>-15000</v>
      </c>
    </row>
    <row r="18" spans="1:5" s="57" customFormat="1" ht="45" customHeight="1" hidden="1">
      <c r="A18" s="52" t="s">
        <v>354</v>
      </c>
      <c r="B18" s="56" t="s">
        <v>355</v>
      </c>
      <c r="C18" s="262"/>
      <c r="D18" s="54"/>
      <c r="E18" s="262"/>
    </row>
    <row r="19" spans="1:5" s="57" customFormat="1" ht="20.25" customHeight="1" hidden="1">
      <c r="A19" s="52" t="s">
        <v>443</v>
      </c>
      <c r="B19" s="55" t="s">
        <v>175</v>
      </c>
      <c r="C19" s="262"/>
      <c r="D19" s="54"/>
      <c r="E19" s="262"/>
    </row>
    <row r="20" spans="1:5" s="57" customFormat="1" ht="49.5" customHeight="1">
      <c r="A20" s="52" t="s">
        <v>660</v>
      </c>
      <c r="B20" s="58" t="s">
        <v>444</v>
      </c>
      <c r="C20" s="262">
        <v>15000</v>
      </c>
      <c r="D20" s="54">
        <v>50000</v>
      </c>
      <c r="E20" s="262">
        <v>15000</v>
      </c>
    </row>
    <row r="21" spans="1:5" s="57" customFormat="1" ht="66.75" customHeight="1">
      <c r="A21" s="52" t="s">
        <v>661</v>
      </c>
      <c r="B21" s="66" t="s">
        <v>658</v>
      </c>
      <c r="C21" s="262">
        <v>15000</v>
      </c>
      <c r="D21" s="54"/>
      <c r="E21" s="262">
        <v>15000</v>
      </c>
    </row>
    <row r="22" spans="1:5" s="57" customFormat="1" ht="32.25" customHeight="1">
      <c r="A22" s="52" t="s">
        <v>356</v>
      </c>
      <c r="B22" s="59" t="s">
        <v>657</v>
      </c>
      <c r="C22" s="262">
        <f aca="true" t="shared" si="0" ref="C22:E25">SUM(C23)</f>
        <v>15000</v>
      </c>
      <c r="D22" s="54">
        <f t="shared" si="0"/>
        <v>0</v>
      </c>
      <c r="E22" s="262">
        <f t="shared" si="0"/>
        <v>6817.4</v>
      </c>
    </row>
    <row r="23" spans="1:5" s="57" customFormat="1" ht="32.25" customHeight="1">
      <c r="A23" s="52" t="s">
        <v>358</v>
      </c>
      <c r="B23" s="59" t="s">
        <v>359</v>
      </c>
      <c r="C23" s="262">
        <f>SUM(C24)</f>
        <v>15000</v>
      </c>
      <c r="D23" s="54">
        <f t="shared" si="0"/>
        <v>0</v>
      </c>
      <c r="E23" s="262">
        <f>SUM(E24)</f>
        <v>6817.4</v>
      </c>
    </row>
    <row r="24" spans="1:5" s="57" customFormat="1" ht="31.5" customHeight="1">
      <c r="A24" s="52" t="s">
        <v>360</v>
      </c>
      <c r="B24" s="59" t="s">
        <v>361</v>
      </c>
      <c r="C24" s="262">
        <f>SUM(C25)</f>
        <v>15000</v>
      </c>
      <c r="D24" s="54">
        <f t="shared" si="0"/>
        <v>0</v>
      </c>
      <c r="E24" s="262">
        <f>SUM(E25)</f>
        <v>6817.4</v>
      </c>
    </row>
    <row r="25" spans="1:5" s="57" customFormat="1" ht="32.25" customHeight="1">
      <c r="A25" s="52" t="s">
        <v>362</v>
      </c>
      <c r="B25" s="59" t="s">
        <v>363</v>
      </c>
      <c r="C25" s="262">
        <f t="shared" si="0"/>
        <v>15000</v>
      </c>
      <c r="D25" s="54">
        <f t="shared" si="0"/>
        <v>0</v>
      </c>
      <c r="E25" s="262">
        <f t="shared" si="0"/>
        <v>6817.4</v>
      </c>
    </row>
    <row r="26" spans="1:5" s="57" customFormat="1" ht="38.25" customHeight="1">
      <c r="A26" s="52" t="s">
        <v>364</v>
      </c>
      <c r="B26" s="59" t="s">
        <v>365</v>
      </c>
      <c r="C26" s="262">
        <v>15000</v>
      </c>
      <c r="D26" s="54"/>
      <c r="E26" s="262">
        <v>6817.4</v>
      </c>
    </row>
    <row r="27" spans="1:7" ht="35.25" customHeight="1" hidden="1">
      <c r="A27" s="62" t="s">
        <v>366</v>
      </c>
      <c r="B27" s="267" t="s">
        <v>178</v>
      </c>
      <c r="C27" s="64">
        <f>C28+C31</f>
        <v>0</v>
      </c>
      <c r="D27" s="64">
        <f>D28+D31</f>
        <v>0</v>
      </c>
      <c r="E27" s="64">
        <f>E28+E31</f>
        <v>0</v>
      </c>
      <c r="F27" s="57"/>
      <c r="G27" s="57"/>
    </row>
    <row r="28" spans="1:7" ht="30.75" customHeight="1" hidden="1">
      <c r="A28" s="62" t="s">
        <v>367</v>
      </c>
      <c r="B28" s="63" t="s">
        <v>368</v>
      </c>
      <c r="C28" s="64">
        <f>SUM(C29)</f>
        <v>0</v>
      </c>
      <c r="D28" s="64">
        <f>SUM(D29)</f>
        <v>0</v>
      </c>
      <c r="E28" s="64">
        <f>SUM(E29)</f>
        <v>0</v>
      </c>
      <c r="F28" s="57"/>
      <c r="G28" s="57"/>
    </row>
    <row r="29" spans="1:7" ht="123.75" customHeight="1" hidden="1">
      <c r="A29" s="62" t="s">
        <v>369</v>
      </c>
      <c r="B29" s="65" t="s">
        <v>236</v>
      </c>
      <c r="C29" s="64"/>
      <c r="D29" s="64">
        <f>SUM(D30)</f>
        <v>0</v>
      </c>
      <c r="E29" s="64"/>
      <c r="F29" s="57"/>
      <c r="G29" s="57"/>
    </row>
    <row r="30" spans="1:7" ht="110.25" customHeight="1" hidden="1">
      <c r="A30" s="62" t="s">
        <v>237</v>
      </c>
      <c r="B30" s="66" t="s">
        <v>316</v>
      </c>
      <c r="C30" s="64">
        <v>-10000</v>
      </c>
      <c r="D30" s="64"/>
      <c r="E30" s="64">
        <v>-10000</v>
      </c>
      <c r="F30" s="57"/>
      <c r="G30" s="57"/>
    </row>
    <row r="31" spans="1:7" ht="30" customHeight="1" hidden="1">
      <c r="A31" s="62" t="s">
        <v>317</v>
      </c>
      <c r="B31" s="63" t="s">
        <v>318</v>
      </c>
      <c r="C31" s="64">
        <f>SUM(C32)</f>
        <v>0</v>
      </c>
      <c r="D31" s="64">
        <f>SUM(D32)</f>
        <v>0</v>
      </c>
      <c r="E31" s="64">
        <f>SUM(E32)</f>
        <v>0</v>
      </c>
      <c r="F31" s="57"/>
      <c r="G31" s="57"/>
    </row>
    <row r="32" spans="1:7" ht="30" customHeight="1" hidden="1">
      <c r="A32" s="62" t="s">
        <v>319</v>
      </c>
      <c r="B32" s="63" t="s">
        <v>320</v>
      </c>
      <c r="C32" s="64"/>
      <c r="D32" s="64">
        <f>SUM(D33)</f>
        <v>0</v>
      </c>
      <c r="E32" s="64"/>
      <c r="F32" s="57"/>
      <c r="G32" s="57"/>
    </row>
    <row r="33" spans="1:7" ht="45" customHeight="1" hidden="1">
      <c r="A33" s="62" t="s">
        <v>321</v>
      </c>
      <c r="B33" s="66" t="s">
        <v>322</v>
      </c>
      <c r="C33" s="64">
        <v>10000</v>
      </c>
      <c r="D33" s="64"/>
      <c r="E33" s="64">
        <v>10000</v>
      </c>
      <c r="F33" s="57"/>
      <c r="G33" s="57"/>
    </row>
    <row r="34" spans="1:7" ht="15">
      <c r="A34" s="67"/>
      <c r="C34" s="68"/>
      <c r="D34" s="57"/>
      <c r="E34" s="68"/>
      <c r="F34" s="57"/>
      <c r="G34" s="57"/>
    </row>
  </sheetData>
  <sheetProtection/>
  <mergeCells count="7">
    <mergeCell ref="E8:E10"/>
    <mergeCell ref="C5:D5"/>
    <mergeCell ref="A6:C6"/>
    <mergeCell ref="A8:A10"/>
    <mergeCell ref="B8:B10"/>
    <mergeCell ref="C8:C10"/>
    <mergeCell ref="D8:D10"/>
  </mergeCells>
  <printOptions/>
  <pageMargins left="1.1023622047244095" right="0.31496062992125984" top="0.7480314960629921" bottom="0.15748031496062992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20">
      <selection activeCell="B5" sqref="B5"/>
    </sheetView>
  </sheetViews>
  <sheetFormatPr defaultColWidth="9.00390625" defaultRowHeight="12.75"/>
  <cols>
    <col min="1" max="1" width="30.625" style="42" customWidth="1"/>
    <col min="2" max="2" width="55.00390625" style="107" customWidth="1"/>
    <col min="3" max="3" width="16.375" style="46" hidden="1" customWidth="1"/>
    <col min="4" max="4" width="15.25390625" style="43" hidden="1" customWidth="1"/>
    <col min="5" max="5" width="14.75390625" style="43" customWidth="1"/>
    <col min="6" max="6" width="15.125" style="43" customWidth="1"/>
    <col min="7" max="16384" width="9.125" style="43" customWidth="1"/>
  </cols>
  <sheetData>
    <row r="1" spans="2:6" ht="12.75">
      <c r="B1" s="105"/>
      <c r="C1" s="82" t="s">
        <v>507</v>
      </c>
      <c r="D1" s="85"/>
      <c r="E1" s="82" t="s">
        <v>505</v>
      </c>
      <c r="F1" s="85"/>
    </row>
    <row r="2" spans="2:6" ht="12" customHeight="1">
      <c r="B2" s="106"/>
      <c r="C2" s="44" t="s">
        <v>272</v>
      </c>
      <c r="D2" s="85"/>
      <c r="E2" s="44" t="s">
        <v>1023</v>
      </c>
      <c r="F2" s="85"/>
    </row>
    <row r="3" spans="2:6" ht="12.75">
      <c r="B3" s="106"/>
      <c r="C3" s="44" t="s">
        <v>273</v>
      </c>
      <c r="D3" s="85"/>
      <c r="E3" s="44" t="s">
        <v>273</v>
      </c>
      <c r="F3" s="85"/>
    </row>
    <row r="4" spans="3:6" ht="15">
      <c r="C4" s="44" t="s">
        <v>274</v>
      </c>
      <c r="D4" s="85"/>
      <c r="E4" s="44" t="s">
        <v>274</v>
      </c>
      <c r="F4" s="85"/>
    </row>
    <row r="5" spans="3:6" ht="17.25" customHeight="1">
      <c r="C5" s="453" t="s">
        <v>650</v>
      </c>
      <c r="D5" s="453"/>
      <c r="E5" s="453" t="s">
        <v>1020</v>
      </c>
      <c r="F5" s="453"/>
    </row>
    <row r="6" spans="1:3" ht="75.75" customHeight="1">
      <c r="A6" s="457" t="s">
        <v>651</v>
      </c>
      <c r="B6" s="458"/>
      <c r="C6" s="458"/>
    </row>
    <row r="7" spans="1:2" s="46" customFormat="1" ht="15">
      <c r="A7" s="42"/>
      <c r="B7" s="107"/>
    </row>
    <row r="8" spans="1:6" s="46" customFormat="1" ht="12.75" customHeight="1">
      <c r="A8" s="464" t="s">
        <v>63</v>
      </c>
      <c r="B8" s="467" t="s">
        <v>9</v>
      </c>
      <c r="C8" s="463" t="s">
        <v>484</v>
      </c>
      <c r="D8" s="463" t="s">
        <v>652</v>
      </c>
      <c r="E8" s="463" t="s">
        <v>484</v>
      </c>
      <c r="F8" s="463" t="s">
        <v>652</v>
      </c>
    </row>
    <row r="9" spans="1:6" s="46" customFormat="1" ht="11.25" customHeight="1">
      <c r="A9" s="465"/>
      <c r="B9" s="467"/>
      <c r="C9" s="463"/>
      <c r="D9" s="463"/>
      <c r="E9" s="463"/>
      <c r="F9" s="463"/>
    </row>
    <row r="10" spans="1:6" s="47" customFormat="1" ht="37.5" customHeight="1">
      <c r="A10" s="466"/>
      <c r="B10" s="467"/>
      <c r="C10" s="463"/>
      <c r="D10" s="463"/>
      <c r="E10" s="463"/>
      <c r="F10" s="463"/>
    </row>
    <row r="11" spans="1:6" s="51" customFormat="1" ht="34.5" customHeight="1">
      <c r="A11" s="48" t="s">
        <v>11</v>
      </c>
      <c r="B11" s="49" t="s">
        <v>12</v>
      </c>
      <c r="C11" s="261">
        <f>C12+C17+C22+C27</f>
        <v>28800.5</v>
      </c>
      <c r="D11" s="261">
        <f>D12+D17+D22+D27</f>
        <v>4907.700000000012</v>
      </c>
      <c r="E11" s="261">
        <f>E12+E17+E22+E27</f>
        <v>28800.5</v>
      </c>
      <c r="F11" s="261">
        <f>F12+F17+F22+F27</f>
        <v>4907.700000000012</v>
      </c>
    </row>
    <row r="12" spans="1:6" s="51" customFormat="1" ht="30" customHeight="1">
      <c r="A12" s="52" t="s">
        <v>32</v>
      </c>
      <c r="B12" s="108" t="s">
        <v>33</v>
      </c>
      <c r="C12" s="261">
        <f>SUM(C13-C15)</f>
        <v>53800.5</v>
      </c>
      <c r="D12" s="261">
        <f>SUM(D13-D15)</f>
        <v>26307.70000000001</v>
      </c>
      <c r="E12" s="261">
        <f>SUM(E13-E15)</f>
        <v>53800.5</v>
      </c>
      <c r="F12" s="261">
        <f>SUM(F13-F15)</f>
        <v>26307.70000000001</v>
      </c>
    </row>
    <row r="13" spans="1:6" s="51" customFormat="1" ht="30" customHeight="1">
      <c r="A13" s="52" t="s">
        <v>34</v>
      </c>
      <c r="B13" s="108" t="s">
        <v>35</v>
      </c>
      <c r="C13" s="262">
        <f>SUM(C14)</f>
        <v>345414.6</v>
      </c>
      <c r="D13" s="262">
        <f>SUM(D14)</f>
        <v>371722.3</v>
      </c>
      <c r="E13" s="262">
        <f>SUM(E14)</f>
        <v>348860.7</v>
      </c>
      <c r="F13" s="262">
        <f>SUM(F14)</f>
        <v>375168.4</v>
      </c>
    </row>
    <row r="14" spans="1:6" s="51" customFormat="1" ht="45">
      <c r="A14" s="52" t="s">
        <v>36</v>
      </c>
      <c r="B14" s="66" t="s">
        <v>655</v>
      </c>
      <c r="C14" s="262">
        <f>233995.6+28800.5+82618.5</f>
        <v>345414.6</v>
      </c>
      <c r="D14" s="262">
        <f>229342+33454.1+4907.7+82618.5+21400</f>
        <v>371722.3</v>
      </c>
      <c r="E14" s="262">
        <f>192618.5+102441.7+28800.5+25000</f>
        <v>348860.7</v>
      </c>
      <c r="F14" s="262">
        <f>348860.7+21400+4907.7</f>
        <v>375168.4</v>
      </c>
    </row>
    <row r="15" spans="1:6" s="51" customFormat="1" ht="46.5" customHeight="1">
      <c r="A15" s="52" t="s">
        <v>37</v>
      </c>
      <c r="B15" s="109" t="s">
        <v>352</v>
      </c>
      <c r="C15" s="262">
        <f>SUM(C16)</f>
        <v>291614.1</v>
      </c>
      <c r="D15" s="262">
        <f>SUM(D16)</f>
        <v>345414.6</v>
      </c>
      <c r="E15" s="262">
        <f>SUM(E16)</f>
        <v>295060.2</v>
      </c>
      <c r="F15" s="262">
        <f>SUM(E14)</f>
        <v>348860.7</v>
      </c>
    </row>
    <row r="16" spans="1:6" s="51" customFormat="1" ht="57" customHeight="1">
      <c r="A16" s="52" t="s">
        <v>353</v>
      </c>
      <c r="B16" s="66" t="s">
        <v>656</v>
      </c>
      <c r="C16" s="262">
        <f>208995.6+82618.5</f>
        <v>291614.1</v>
      </c>
      <c r="D16" s="262">
        <f>233995.6+28800.5+82618.5</f>
        <v>345414.6</v>
      </c>
      <c r="E16" s="262">
        <f>102441.7+192618.5</f>
        <v>295060.2</v>
      </c>
      <c r="F16" s="262">
        <v>370414.6</v>
      </c>
    </row>
    <row r="17" spans="1:6" s="51" customFormat="1" ht="30" customHeight="1">
      <c r="A17" s="52" t="s">
        <v>659</v>
      </c>
      <c r="B17" s="55" t="s">
        <v>174</v>
      </c>
      <c r="C17" s="261">
        <f>SUM(C18)-C20</f>
        <v>-25000</v>
      </c>
      <c r="D17" s="261">
        <f>SUM(D18)-D20</f>
        <v>-21400</v>
      </c>
      <c r="E17" s="261">
        <f>SUM(E18)-E20</f>
        <v>-25000</v>
      </c>
      <c r="F17" s="261">
        <f>SUM(F18)-F20</f>
        <v>-21400</v>
      </c>
    </row>
    <row r="18" spans="1:6" s="51" customFormat="1" ht="45" customHeight="1" hidden="1">
      <c r="A18" s="52" t="s">
        <v>354</v>
      </c>
      <c r="B18" s="55" t="s">
        <v>355</v>
      </c>
      <c r="C18" s="262"/>
      <c r="D18" s="262"/>
      <c r="E18" s="262"/>
      <c r="F18" s="262"/>
    </row>
    <row r="19" spans="1:6" s="57" customFormat="1" ht="45" customHeight="1" hidden="1">
      <c r="A19" s="52" t="s">
        <v>443</v>
      </c>
      <c r="B19" s="55" t="s">
        <v>175</v>
      </c>
      <c r="C19" s="262"/>
      <c r="D19" s="262"/>
      <c r="E19" s="262"/>
      <c r="F19" s="262"/>
    </row>
    <row r="20" spans="1:6" s="57" customFormat="1" ht="53.25" customHeight="1">
      <c r="A20" s="52" t="s">
        <v>660</v>
      </c>
      <c r="B20" s="58" t="s">
        <v>444</v>
      </c>
      <c r="C20" s="262">
        <f>SUM(C21)</f>
        <v>25000</v>
      </c>
      <c r="D20" s="262">
        <f>SUM(D21)</f>
        <v>21400</v>
      </c>
      <c r="E20" s="262">
        <f>SUM(E21)</f>
        <v>25000</v>
      </c>
      <c r="F20" s="262">
        <f>SUM(F21)</f>
        <v>21400</v>
      </c>
    </row>
    <row r="21" spans="1:6" s="57" customFormat="1" ht="60" customHeight="1">
      <c r="A21" s="52" t="s">
        <v>661</v>
      </c>
      <c r="B21" s="66" t="s">
        <v>662</v>
      </c>
      <c r="C21" s="262">
        <v>25000</v>
      </c>
      <c r="D21" s="262">
        <v>21400</v>
      </c>
      <c r="E21" s="262">
        <v>25000</v>
      </c>
      <c r="F21" s="262">
        <v>21400</v>
      </c>
    </row>
    <row r="22" spans="1:4" s="51" customFormat="1" ht="32.25" customHeight="1" hidden="1">
      <c r="A22" s="48" t="s">
        <v>356</v>
      </c>
      <c r="B22" s="49" t="s">
        <v>357</v>
      </c>
      <c r="C22" s="50">
        <f aca="true" t="shared" si="0" ref="C22:D25">SUM(C23)</f>
        <v>0</v>
      </c>
      <c r="D22" s="50">
        <f t="shared" si="0"/>
        <v>0</v>
      </c>
    </row>
    <row r="23" spans="1:4" s="51" customFormat="1" ht="32.25" customHeight="1" hidden="1">
      <c r="A23" s="52" t="s">
        <v>358</v>
      </c>
      <c r="B23" s="59" t="s">
        <v>359</v>
      </c>
      <c r="C23" s="54">
        <f t="shared" si="0"/>
        <v>0</v>
      </c>
      <c r="D23" s="54">
        <f t="shared" si="0"/>
        <v>0</v>
      </c>
    </row>
    <row r="24" spans="1:4" s="51" customFormat="1" ht="32.25" customHeight="1" hidden="1">
      <c r="A24" s="52" t="s">
        <v>360</v>
      </c>
      <c r="B24" s="59" t="s">
        <v>361</v>
      </c>
      <c r="C24" s="54">
        <f t="shared" si="0"/>
        <v>0</v>
      </c>
      <c r="D24" s="54">
        <f t="shared" si="0"/>
        <v>0</v>
      </c>
    </row>
    <row r="25" spans="1:4" s="51" customFormat="1" ht="32.25" customHeight="1" hidden="1">
      <c r="A25" s="52" t="s">
        <v>362</v>
      </c>
      <c r="B25" s="59" t="s">
        <v>363</v>
      </c>
      <c r="C25" s="54">
        <f t="shared" si="0"/>
        <v>0</v>
      </c>
      <c r="D25" s="54">
        <f t="shared" si="0"/>
        <v>0</v>
      </c>
    </row>
    <row r="26" spans="1:4" s="57" customFormat="1" ht="38.25" customHeight="1" hidden="1">
      <c r="A26" s="52" t="s">
        <v>364</v>
      </c>
      <c r="B26" s="59" t="s">
        <v>365</v>
      </c>
      <c r="C26" s="54"/>
      <c r="D26" s="54"/>
    </row>
    <row r="27" spans="1:6" ht="33" customHeight="1" hidden="1">
      <c r="A27" s="60" t="s">
        <v>366</v>
      </c>
      <c r="B27" s="110" t="s">
        <v>178</v>
      </c>
      <c r="C27" s="61">
        <f>C28+C31</f>
        <v>0</v>
      </c>
      <c r="D27" s="61">
        <f>D28+D31</f>
        <v>0</v>
      </c>
      <c r="E27" s="57"/>
      <c r="F27" s="57"/>
    </row>
    <row r="28" spans="1:6" ht="0.75" customHeight="1" hidden="1">
      <c r="A28" s="62" t="s">
        <v>367</v>
      </c>
      <c r="B28" s="111" t="s">
        <v>368</v>
      </c>
      <c r="C28" s="64">
        <f>SUM(C29)</f>
        <v>0</v>
      </c>
      <c r="D28" s="64">
        <f>SUM(D29)</f>
        <v>0</v>
      </c>
      <c r="E28" s="57"/>
      <c r="F28" s="57"/>
    </row>
    <row r="29" spans="1:6" ht="128.25" customHeight="1" hidden="1">
      <c r="A29" s="62" t="s">
        <v>369</v>
      </c>
      <c r="B29" s="112" t="s">
        <v>236</v>
      </c>
      <c r="C29" s="64">
        <f>SUM(C30)</f>
        <v>0</v>
      </c>
      <c r="D29" s="64">
        <f>SUM(D30)</f>
        <v>0</v>
      </c>
      <c r="E29" s="57"/>
      <c r="F29" s="57"/>
    </row>
    <row r="30" spans="1:6" ht="42.75" customHeight="1" hidden="1">
      <c r="A30" s="62" t="s">
        <v>237</v>
      </c>
      <c r="B30" s="66" t="s">
        <v>316</v>
      </c>
      <c r="C30" s="64"/>
      <c r="D30" s="64"/>
      <c r="E30" s="57"/>
      <c r="F30" s="57"/>
    </row>
    <row r="31" spans="1:6" ht="30" customHeight="1" hidden="1">
      <c r="A31" s="62" t="s">
        <v>317</v>
      </c>
      <c r="B31" s="111" t="s">
        <v>318</v>
      </c>
      <c r="C31" s="64">
        <f>SUM(C32)</f>
        <v>0</v>
      </c>
      <c r="D31" s="64">
        <f>SUM(D32)</f>
        <v>0</v>
      </c>
      <c r="E31" s="57"/>
      <c r="F31" s="57"/>
    </row>
    <row r="32" spans="1:6" ht="30" customHeight="1" hidden="1">
      <c r="A32" s="62" t="s">
        <v>319</v>
      </c>
      <c r="B32" s="111" t="s">
        <v>320</v>
      </c>
      <c r="C32" s="64">
        <f>SUM(C33)</f>
        <v>0</v>
      </c>
      <c r="D32" s="64">
        <f>SUM(D33)</f>
        <v>0</v>
      </c>
      <c r="E32" s="57"/>
      <c r="F32" s="57"/>
    </row>
    <row r="33" spans="1:6" ht="45" customHeight="1" hidden="1">
      <c r="A33" s="62" t="s">
        <v>321</v>
      </c>
      <c r="B33" s="66" t="s">
        <v>322</v>
      </c>
      <c r="C33" s="64"/>
      <c r="D33" s="64"/>
      <c r="E33" s="57"/>
      <c r="F33" s="57"/>
    </row>
    <row r="34" spans="1:6" ht="15" hidden="1">
      <c r="A34" s="67"/>
      <c r="C34" s="68"/>
      <c r="D34" s="57"/>
      <c r="E34" s="57"/>
      <c r="F34" s="57"/>
    </row>
  </sheetData>
  <sheetProtection/>
  <mergeCells count="9">
    <mergeCell ref="E8:E10"/>
    <mergeCell ref="F8:F10"/>
    <mergeCell ref="E5:F5"/>
    <mergeCell ref="C5:D5"/>
    <mergeCell ref="A6:C6"/>
    <mergeCell ref="A8:A10"/>
    <mergeCell ref="B8:B10"/>
    <mergeCell ref="C8:C10"/>
    <mergeCell ref="D8:D10"/>
  </mergeCells>
  <printOptions/>
  <pageMargins left="1.1023622047244095" right="0.5118110236220472" top="0.7480314960629921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V30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6.375" style="409" customWidth="1"/>
    <col min="2" max="2" width="72.75390625" style="410" customWidth="1"/>
    <col min="3" max="3" width="26.875" style="411" customWidth="1"/>
    <col min="4" max="4" width="17.375" style="411" hidden="1" customWidth="1"/>
    <col min="5" max="16384" width="9.125" style="411" customWidth="1"/>
  </cols>
  <sheetData>
    <row r="1" ht="18.75">
      <c r="C1" s="411" t="s">
        <v>991</v>
      </c>
    </row>
    <row r="2" ht="18.75">
      <c r="C2" s="412"/>
    </row>
    <row r="3" spans="1:3" ht="47.25" customHeight="1">
      <c r="A3" s="468" t="s">
        <v>1008</v>
      </c>
      <c r="B3" s="468"/>
      <c r="C3" s="468"/>
    </row>
    <row r="4" spans="1:3" ht="18.75">
      <c r="A4" s="413"/>
      <c r="B4" s="413"/>
      <c r="C4" s="414"/>
    </row>
    <row r="5" spans="1:3" ht="18.75">
      <c r="A5" s="413"/>
      <c r="B5" s="415"/>
      <c r="C5" s="416" t="s">
        <v>992</v>
      </c>
    </row>
    <row r="6" spans="1:256" ht="75">
      <c r="A6" s="417" t="s">
        <v>993</v>
      </c>
      <c r="B6" s="417" t="s">
        <v>994</v>
      </c>
      <c r="C6" s="417" t="s">
        <v>1009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8"/>
      <c r="CP6" s="418"/>
      <c r="CQ6" s="418"/>
      <c r="CR6" s="418"/>
      <c r="CS6" s="418"/>
      <c r="CT6" s="418"/>
      <c r="CU6" s="418"/>
      <c r="CV6" s="418"/>
      <c r="CW6" s="418"/>
      <c r="CX6" s="418"/>
      <c r="CY6" s="418"/>
      <c r="CZ6" s="418"/>
      <c r="DA6" s="418"/>
      <c r="DB6" s="418"/>
      <c r="DC6" s="418"/>
      <c r="DD6" s="418"/>
      <c r="DE6" s="418"/>
      <c r="DF6" s="418"/>
      <c r="DG6" s="418"/>
      <c r="DH6" s="418"/>
      <c r="DI6" s="418"/>
      <c r="DJ6" s="418"/>
      <c r="DK6" s="418"/>
      <c r="DL6" s="418"/>
      <c r="DM6" s="418"/>
      <c r="DN6" s="418"/>
      <c r="DO6" s="418"/>
      <c r="DP6" s="418"/>
      <c r="DQ6" s="418"/>
      <c r="DR6" s="418"/>
      <c r="DS6" s="418"/>
      <c r="DT6" s="418"/>
      <c r="DU6" s="418"/>
      <c r="DV6" s="418"/>
      <c r="DW6" s="418"/>
      <c r="DX6" s="418"/>
      <c r="DY6" s="418"/>
      <c r="DZ6" s="418"/>
      <c r="EA6" s="418"/>
      <c r="EB6" s="418"/>
      <c r="EC6" s="418"/>
      <c r="ED6" s="418"/>
      <c r="EE6" s="418"/>
      <c r="EF6" s="418"/>
      <c r="EG6" s="418"/>
      <c r="EH6" s="418"/>
      <c r="EI6" s="418"/>
      <c r="EJ6" s="418"/>
      <c r="EK6" s="418"/>
      <c r="EL6" s="418"/>
      <c r="EM6" s="418"/>
      <c r="EN6" s="418"/>
      <c r="EO6" s="418"/>
      <c r="EP6" s="418"/>
      <c r="EQ6" s="418"/>
      <c r="ER6" s="418"/>
      <c r="ES6" s="418"/>
      <c r="ET6" s="418"/>
      <c r="EU6" s="418"/>
      <c r="EV6" s="418"/>
      <c r="EW6" s="418"/>
      <c r="EX6" s="418"/>
      <c r="EY6" s="418"/>
      <c r="EZ6" s="418"/>
      <c r="FA6" s="418"/>
      <c r="FB6" s="418"/>
      <c r="FC6" s="418"/>
      <c r="FD6" s="418"/>
      <c r="FE6" s="418"/>
      <c r="FF6" s="418"/>
      <c r="FG6" s="418"/>
      <c r="FH6" s="418"/>
      <c r="FI6" s="418"/>
      <c r="FJ6" s="418"/>
      <c r="FK6" s="418"/>
      <c r="FL6" s="418"/>
      <c r="FM6" s="418"/>
      <c r="FN6" s="418"/>
      <c r="FO6" s="418"/>
      <c r="FP6" s="418"/>
      <c r="FQ6" s="418"/>
      <c r="FR6" s="418"/>
      <c r="FS6" s="418"/>
      <c r="FT6" s="418"/>
      <c r="FU6" s="418"/>
      <c r="FV6" s="418"/>
      <c r="FW6" s="418"/>
      <c r="FX6" s="418"/>
      <c r="FY6" s="418"/>
      <c r="FZ6" s="418"/>
      <c r="GA6" s="418"/>
      <c r="GB6" s="418"/>
      <c r="GC6" s="418"/>
      <c r="GD6" s="418"/>
      <c r="GE6" s="418"/>
      <c r="GF6" s="418"/>
      <c r="GG6" s="418"/>
      <c r="GH6" s="418"/>
      <c r="GI6" s="418"/>
      <c r="GJ6" s="418"/>
      <c r="GK6" s="418"/>
      <c r="GL6" s="418"/>
      <c r="GM6" s="418"/>
      <c r="GN6" s="418"/>
      <c r="GO6" s="418"/>
      <c r="GP6" s="418"/>
      <c r="GQ6" s="418"/>
      <c r="GR6" s="418"/>
      <c r="GS6" s="418"/>
      <c r="GT6" s="418"/>
      <c r="GU6" s="418"/>
      <c r="GV6" s="418"/>
      <c r="GW6" s="418"/>
      <c r="GX6" s="418"/>
      <c r="GY6" s="418"/>
      <c r="GZ6" s="418"/>
      <c r="HA6" s="418"/>
      <c r="HB6" s="418"/>
      <c r="HC6" s="418"/>
      <c r="HD6" s="418"/>
      <c r="HE6" s="418"/>
      <c r="HF6" s="418"/>
      <c r="HG6" s="418"/>
      <c r="HH6" s="418"/>
      <c r="HI6" s="418"/>
      <c r="HJ6" s="418"/>
      <c r="HK6" s="418"/>
      <c r="HL6" s="418"/>
      <c r="HM6" s="418"/>
      <c r="HN6" s="418"/>
      <c r="HO6" s="418"/>
      <c r="HP6" s="418"/>
      <c r="HQ6" s="418"/>
      <c r="HR6" s="418"/>
      <c r="HS6" s="418"/>
      <c r="HT6" s="418"/>
      <c r="HU6" s="418"/>
      <c r="HV6" s="418"/>
      <c r="HW6" s="418"/>
      <c r="HX6" s="418"/>
      <c r="HY6" s="418"/>
      <c r="HZ6" s="418"/>
      <c r="IA6" s="418"/>
      <c r="IB6" s="418"/>
      <c r="IC6" s="418"/>
      <c r="ID6" s="418"/>
      <c r="IE6" s="418"/>
      <c r="IF6" s="418"/>
      <c r="IG6" s="418"/>
      <c r="IH6" s="418"/>
      <c r="II6" s="418"/>
      <c r="IJ6" s="418"/>
      <c r="IK6" s="418"/>
      <c r="IL6" s="418"/>
      <c r="IM6" s="418"/>
      <c r="IN6" s="418"/>
      <c r="IO6" s="418"/>
      <c r="IP6" s="418"/>
      <c r="IQ6" s="418"/>
      <c r="IR6" s="418"/>
      <c r="IS6" s="418"/>
      <c r="IT6" s="418"/>
      <c r="IU6" s="418"/>
      <c r="IV6" s="418"/>
    </row>
    <row r="7" spans="1:3" ht="18.75">
      <c r="A7" s="419" t="s">
        <v>995</v>
      </c>
      <c r="B7" s="420" t="s">
        <v>996</v>
      </c>
      <c r="C7" s="421">
        <f>C9+C10+C11</f>
        <v>3223323.6</v>
      </c>
    </row>
    <row r="8" spans="1:3" ht="18.75">
      <c r="A8" s="419"/>
      <c r="B8" s="422" t="s">
        <v>997</v>
      </c>
      <c r="C8" s="423"/>
    </row>
    <row r="9" spans="1:3" ht="18.75">
      <c r="A9" s="424"/>
      <c r="B9" s="425" t="s">
        <v>998</v>
      </c>
      <c r="C9" s="423">
        <v>1033133.1</v>
      </c>
    </row>
    <row r="10" spans="1:4" ht="37.5">
      <c r="A10" s="424"/>
      <c r="B10" s="426" t="s">
        <v>999</v>
      </c>
      <c r="C10" s="423">
        <v>2190140.7</v>
      </c>
      <c r="D10" s="427">
        <f>SUM(C7-C12)</f>
        <v>-44259.09999999963</v>
      </c>
    </row>
    <row r="11" spans="1:3" ht="18.75">
      <c r="A11" s="424"/>
      <c r="B11" s="428" t="s">
        <v>1000</v>
      </c>
      <c r="C11" s="423">
        <v>49.8</v>
      </c>
    </row>
    <row r="12" spans="1:256" ht="18.75">
      <c r="A12" s="420">
        <v>2</v>
      </c>
      <c r="B12" s="420" t="s">
        <v>1001</v>
      </c>
      <c r="C12" s="429">
        <f>SUM(C14:C24)</f>
        <v>3267582.6999999997</v>
      </c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  <c r="CB12" s="430"/>
      <c r="CC12" s="430"/>
      <c r="CD12" s="430"/>
      <c r="CE12" s="430"/>
      <c r="CF12" s="430"/>
      <c r="CG12" s="430"/>
      <c r="CH12" s="430"/>
      <c r="CI12" s="430"/>
      <c r="CJ12" s="430"/>
      <c r="CK12" s="430"/>
      <c r="CL12" s="430"/>
      <c r="CM12" s="430"/>
      <c r="CN12" s="430"/>
      <c r="CO12" s="430"/>
      <c r="CP12" s="430"/>
      <c r="CQ12" s="430"/>
      <c r="CR12" s="430"/>
      <c r="CS12" s="430"/>
      <c r="CT12" s="430"/>
      <c r="CU12" s="430"/>
      <c r="CV12" s="430"/>
      <c r="CW12" s="430"/>
      <c r="CX12" s="430"/>
      <c r="CY12" s="430"/>
      <c r="CZ12" s="430"/>
      <c r="DA12" s="430"/>
      <c r="DB12" s="430"/>
      <c r="DC12" s="430"/>
      <c r="DD12" s="430"/>
      <c r="DE12" s="430"/>
      <c r="DF12" s="430"/>
      <c r="DG12" s="430"/>
      <c r="DH12" s="430"/>
      <c r="DI12" s="430"/>
      <c r="DJ12" s="430"/>
      <c r="DK12" s="430"/>
      <c r="DL12" s="430"/>
      <c r="DM12" s="430"/>
      <c r="DN12" s="430"/>
      <c r="DO12" s="430"/>
      <c r="DP12" s="430"/>
      <c r="DQ12" s="430"/>
      <c r="DR12" s="430"/>
      <c r="DS12" s="430"/>
      <c r="DT12" s="430"/>
      <c r="DU12" s="430"/>
      <c r="DV12" s="430"/>
      <c r="DW12" s="430"/>
      <c r="DX12" s="430"/>
      <c r="DY12" s="430"/>
      <c r="DZ12" s="430"/>
      <c r="EA12" s="430"/>
      <c r="EB12" s="430"/>
      <c r="EC12" s="430"/>
      <c r="ED12" s="430"/>
      <c r="EE12" s="430"/>
      <c r="EF12" s="430"/>
      <c r="EG12" s="430"/>
      <c r="EH12" s="430"/>
      <c r="EI12" s="430"/>
      <c r="EJ12" s="430"/>
      <c r="EK12" s="430"/>
      <c r="EL12" s="430"/>
      <c r="EM12" s="430"/>
      <c r="EN12" s="430"/>
      <c r="EO12" s="430"/>
      <c r="EP12" s="430"/>
      <c r="EQ12" s="430"/>
      <c r="ER12" s="430"/>
      <c r="ES12" s="430"/>
      <c r="ET12" s="430"/>
      <c r="EU12" s="430"/>
      <c r="EV12" s="430"/>
      <c r="EW12" s="430"/>
      <c r="EX12" s="430"/>
      <c r="EY12" s="430"/>
      <c r="EZ12" s="430"/>
      <c r="FA12" s="430"/>
      <c r="FB12" s="430"/>
      <c r="FC12" s="430"/>
      <c r="FD12" s="430"/>
      <c r="FE12" s="430"/>
      <c r="FF12" s="430"/>
      <c r="FG12" s="430"/>
      <c r="FH12" s="430"/>
      <c r="FI12" s="430"/>
      <c r="FJ12" s="430"/>
      <c r="FK12" s="430"/>
      <c r="FL12" s="430"/>
      <c r="FM12" s="430"/>
      <c r="FN12" s="430"/>
      <c r="FO12" s="430"/>
      <c r="FP12" s="430"/>
      <c r="FQ12" s="430"/>
      <c r="FR12" s="430"/>
      <c r="FS12" s="430"/>
      <c r="FT12" s="430"/>
      <c r="FU12" s="430"/>
      <c r="FV12" s="430"/>
      <c r="FW12" s="430"/>
      <c r="FX12" s="430"/>
      <c r="FY12" s="430"/>
      <c r="FZ12" s="430"/>
      <c r="GA12" s="430"/>
      <c r="GB12" s="430"/>
      <c r="GC12" s="430"/>
      <c r="GD12" s="430"/>
      <c r="GE12" s="430"/>
      <c r="GF12" s="430"/>
      <c r="GG12" s="430"/>
      <c r="GH12" s="430"/>
      <c r="GI12" s="430"/>
      <c r="GJ12" s="430"/>
      <c r="GK12" s="430"/>
      <c r="GL12" s="430"/>
      <c r="GM12" s="430"/>
      <c r="GN12" s="430"/>
      <c r="GO12" s="430"/>
      <c r="GP12" s="430"/>
      <c r="GQ12" s="430"/>
      <c r="GR12" s="430"/>
      <c r="GS12" s="430"/>
      <c r="GT12" s="430"/>
      <c r="GU12" s="430"/>
      <c r="GV12" s="430"/>
      <c r="GW12" s="430"/>
      <c r="GX12" s="430"/>
      <c r="GY12" s="430"/>
      <c r="GZ12" s="430"/>
      <c r="HA12" s="430"/>
      <c r="HB12" s="430"/>
      <c r="HC12" s="430"/>
      <c r="HD12" s="430"/>
      <c r="HE12" s="430"/>
      <c r="HF12" s="430"/>
      <c r="HG12" s="430"/>
      <c r="HH12" s="430"/>
      <c r="HI12" s="430"/>
      <c r="HJ12" s="430"/>
      <c r="HK12" s="430"/>
      <c r="HL12" s="430"/>
      <c r="HM12" s="430"/>
      <c r="HN12" s="430"/>
      <c r="HO12" s="430"/>
      <c r="HP12" s="430"/>
      <c r="HQ12" s="430"/>
      <c r="HR12" s="430"/>
      <c r="HS12" s="430"/>
      <c r="HT12" s="430"/>
      <c r="HU12" s="430"/>
      <c r="HV12" s="430"/>
      <c r="HW12" s="430"/>
      <c r="HX12" s="430"/>
      <c r="HY12" s="430"/>
      <c r="HZ12" s="430"/>
      <c r="IA12" s="430"/>
      <c r="IB12" s="430"/>
      <c r="IC12" s="430"/>
      <c r="ID12" s="430"/>
      <c r="IE12" s="430"/>
      <c r="IF12" s="430"/>
      <c r="IG12" s="430"/>
      <c r="IH12" s="430"/>
      <c r="II12" s="430"/>
      <c r="IJ12" s="430"/>
      <c r="IK12" s="430"/>
      <c r="IL12" s="430"/>
      <c r="IM12" s="430"/>
      <c r="IN12" s="430"/>
      <c r="IO12" s="430"/>
      <c r="IP12" s="430"/>
      <c r="IQ12" s="430"/>
      <c r="IR12" s="430"/>
      <c r="IS12" s="430"/>
      <c r="IT12" s="430"/>
      <c r="IU12" s="430"/>
      <c r="IV12" s="430"/>
    </row>
    <row r="13" spans="1:3" ht="18.75">
      <c r="A13" s="424"/>
      <c r="B13" s="422" t="s">
        <v>997</v>
      </c>
      <c r="C13" s="423"/>
    </row>
    <row r="14" spans="1:3" ht="18.75">
      <c r="A14" s="424"/>
      <c r="B14" s="431" t="s">
        <v>465</v>
      </c>
      <c r="C14" s="432">
        <v>176121.9</v>
      </c>
    </row>
    <row r="15" spans="1:3" ht="37.5">
      <c r="A15" s="424"/>
      <c r="B15" s="431" t="s">
        <v>139</v>
      </c>
      <c r="C15" s="432">
        <v>21580.8</v>
      </c>
    </row>
    <row r="16" spans="1:3" ht="18.75">
      <c r="A16" s="424"/>
      <c r="B16" s="431" t="s">
        <v>121</v>
      </c>
      <c r="C16" s="432">
        <v>143050.4</v>
      </c>
    </row>
    <row r="17" spans="1:3" ht="18.75">
      <c r="A17" s="424"/>
      <c r="B17" s="431" t="s">
        <v>429</v>
      </c>
      <c r="C17" s="432">
        <v>67244.1</v>
      </c>
    </row>
    <row r="18" spans="1:3" ht="18.75">
      <c r="A18" s="424"/>
      <c r="B18" s="431" t="s">
        <v>1002</v>
      </c>
      <c r="C18" s="432">
        <v>5826</v>
      </c>
    </row>
    <row r="19" spans="1:3" ht="18.75">
      <c r="A19" s="424"/>
      <c r="B19" s="431" t="s">
        <v>116</v>
      </c>
      <c r="C19" s="432">
        <v>1709945.9</v>
      </c>
    </row>
    <row r="20" spans="1:3" ht="18.75">
      <c r="A20" s="424"/>
      <c r="B20" s="431" t="s">
        <v>332</v>
      </c>
      <c r="C20" s="432">
        <v>98080.4</v>
      </c>
    </row>
    <row r="21" spans="1:3" ht="18.75">
      <c r="A21" s="424"/>
      <c r="B21" s="431" t="s">
        <v>331</v>
      </c>
      <c r="C21" s="432">
        <v>41884.1</v>
      </c>
    </row>
    <row r="22" spans="1:3" ht="18.75">
      <c r="A22" s="424"/>
      <c r="B22" s="431" t="s">
        <v>189</v>
      </c>
      <c r="C22" s="432">
        <v>966701</v>
      </c>
    </row>
    <row r="23" spans="1:3" ht="18.75">
      <c r="A23" s="424"/>
      <c r="B23" s="431" t="s">
        <v>248</v>
      </c>
      <c r="C23" s="432">
        <v>7148.1</v>
      </c>
    </row>
    <row r="24" spans="1:3" ht="18.75">
      <c r="A24" s="424"/>
      <c r="B24" s="431" t="s">
        <v>407</v>
      </c>
      <c r="C24" s="432">
        <v>30000</v>
      </c>
    </row>
    <row r="25" spans="1:4" ht="18.75">
      <c r="A25" s="419" t="s">
        <v>1003</v>
      </c>
      <c r="B25" s="433" t="s">
        <v>1004</v>
      </c>
      <c r="C25" s="423">
        <f>SUM(C26:C28)</f>
        <v>44259.1</v>
      </c>
      <c r="D25" s="427"/>
    </row>
    <row r="26" spans="1:3" ht="18.75">
      <c r="A26" s="424"/>
      <c r="B26" s="434" t="s">
        <v>1005</v>
      </c>
      <c r="C26" s="423">
        <v>-15000</v>
      </c>
    </row>
    <row r="27" spans="1:3" ht="18.75">
      <c r="A27" s="424"/>
      <c r="B27" s="434" t="s">
        <v>1006</v>
      </c>
      <c r="C27" s="423">
        <v>52441.7</v>
      </c>
    </row>
    <row r="28" spans="1:3" ht="17.25" customHeight="1">
      <c r="A28" s="424"/>
      <c r="B28" s="434" t="s">
        <v>1007</v>
      </c>
      <c r="C28" s="423">
        <v>6817.4</v>
      </c>
    </row>
    <row r="29" ht="18.75" hidden="1">
      <c r="C29" s="427">
        <f>SUM(C7-C12)</f>
        <v>-44259.09999999963</v>
      </c>
    </row>
    <row r="30" ht="18.75" hidden="1">
      <c r="C30" s="427">
        <f>SUM(C25+C29)</f>
        <v>3.710738383233547E-10</v>
      </c>
    </row>
  </sheetData>
  <sheetProtection/>
  <mergeCells count="1">
    <mergeCell ref="A3:C3"/>
  </mergeCells>
  <printOptions/>
  <pageMargins left="1.1023622047244095" right="0.5118110236220472" top="0.35433070866141736" bottom="0.35433070866141736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2014-03-24T10:02:14Z</cp:lastPrinted>
  <dcterms:created xsi:type="dcterms:W3CDTF">2010-10-13T06:28:56Z</dcterms:created>
  <dcterms:modified xsi:type="dcterms:W3CDTF">2014-03-27T11:04:13Z</dcterms:modified>
  <cp:category/>
  <cp:version/>
  <cp:contentType/>
  <cp:contentStatus/>
</cp:coreProperties>
</file>