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65446" windowWidth="9570" windowHeight="8910" activeTab="0"/>
  </bookViews>
  <sheets>
    <sheet name="функцион.2013" sheetId="1" r:id="rId1"/>
    <sheet name="ведомствен.2013" sheetId="2" r:id="rId2"/>
    <sheet name="Лист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<sst xmlns="http://schemas.openxmlformats.org/spreadsheetml/2006/main" count="11944" uniqueCount="1042">
  <si>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</si>
  <si>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</si>
  <si>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</si>
  <si>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</si>
  <si>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</si>
  <si>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</si>
  <si>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Муниципальная целевая программа "Развитие физической культуры и спорта в Миасском городском округе на 2012-2015 годы"</t>
  </si>
  <si>
    <t>Муниципальная целевая программа "Предоставление субсидий работникам бюджетной сферы на предоставление жилья "Эконом класс"</t>
  </si>
  <si>
    <t>795 00 72</t>
  </si>
  <si>
    <t>470 82 30</t>
  </si>
  <si>
    <t>Финансовое обеспечение государственного задания на оказание государственных услуг (выполнение работ)</t>
  </si>
  <si>
    <t>471 82 00</t>
  </si>
  <si>
    <t>471 82 30</t>
  </si>
  <si>
    <t xml:space="preserve">471 82 30 </t>
  </si>
  <si>
    <t>478 82 30</t>
  </si>
  <si>
    <t>МКУ МГО "Образование"</t>
  </si>
  <si>
    <t>МКУ "Управление культуры" МГО</t>
  </si>
  <si>
    <t>МКУ "Управление здравоохранения" МГО</t>
  </si>
  <si>
    <t>Управление ЖКХ, энергетики и транспорта Администрации МГО</t>
  </si>
  <si>
    <t xml:space="preserve">НП "Образование" в МГО на 2009-2012гг. 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</si>
  <si>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</si>
  <si>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</si>
  <si>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</si>
  <si>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Программа "Культура. Искусство. Творчество." на 2010-2012гг.</t>
  </si>
  <si>
    <t>795 00 53</t>
  </si>
  <si>
    <t>Проведение детей для детей и молодежи</t>
  </si>
  <si>
    <t>Целевая Программа "Капитальное строительство на территории Миасского городского округа на 2012-2014 годы"</t>
  </si>
  <si>
    <t>ЦП "Капитальное строительство на территории Миасского городского округа на 2012-2014 годы"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</si>
  <si>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</si>
  <si>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</si>
  <si>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</si>
  <si>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421 99 75</t>
  </si>
  <si>
    <t>Организация отдыха детей в каникулярное время</t>
  </si>
  <si>
    <t>911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</si>
  <si>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</si>
  <si>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</si>
  <si>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>Учреждения по внешкольной работе с детьми</t>
  </si>
  <si>
    <t xml:space="preserve">423 00 00 </t>
  </si>
  <si>
    <t>423 99 00</t>
  </si>
  <si>
    <t>Ремонт и противопожарные мероприятия в учреждениях физической культуры и спорта муниципальных образований за счет субсидий из областного бюджета</t>
  </si>
  <si>
    <t>900</t>
  </si>
  <si>
    <t>423 99 01</t>
  </si>
  <si>
    <t>423 99 68</t>
  </si>
  <si>
    <t>Детские дома</t>
  </si>
  <si>
    <t>424 00 00</t>
  </si>
  <si>
    <t>424 99 00</t>
  </si>
  <si>
    <t>424  99 00</t>
  </si>
  <si>
    <t>424 99 70</t>
  </si>
  <si>
    <t>Здравоохранение</t>
  </si>
  <si>
    <t>Мероприятия в области здравоохранения</t>
  </si>
  <si>
    <t>Культура, кинематография</t>
  </si>
  <si>
    <t>424 99 75</t>
  </si>
  <si>
    <t xml:space="preserve">Специальные (коррекционные) учреждения </t>
  </si>
  <si>
    <t>433 00 00</t>
  </si>
  <si>
    <t>433 99 00</t>
  </si>
  <si>
    <t>433 99 70</t>
  </si>
  <si>
    <t>433 99 82</t>
  </si>
  <si>
    <t>Мероприятия в области образования</t>
  </si>
  <si>
    <t>436 00 00</t>
  </si>
  <si>
    <t xml:space="preserve">                     на празднование 235-летия Миасса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</si>
  <si>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</si>
  <si>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</si>
  <si>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</si>
  <si>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</si>
  <si>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Дошкольное образование</t>
  </si>
  <si>
    <t>Детские дошкольные учреждения</t>
  </si>
  <si>
    <t>420 00 00</t>
  </si>
  <si>
    <t>420 99 00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</si>
  <si>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</si>
  <si>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</si>
  <si>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>420 99 01</t>
  </si>
  <si>
    <t>Реализация национального проекта "Образование" в Челябинской области</t>
  </si>
  <si>
    <t>908</t>
  </si>
  <si>
    <t xml:space="preserve">Обеспечение продуктами питания учреждений социальной сферы муниципальных образований </t>
  </si>
  <si>
    <t>420 99 62</t>
  </si>
  <si>
    <t>Организация воспитания и обучения детей-инвалидов на дому и в дошкольных учреждениях</t>
  </si>
  <si>
    <t>420 99 67</t>
  </si>
  <si>
    <t>Детские дошкольные учреждения за счет субсидий из областного бюджета</t>
  </si>
  <si>
    <t>420 99 71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</si>
  <si>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</si>
  <si>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522 15 00</t>
  </si>
  <si>
    <t>Общее образование</t>
  </si>
  <si>
    <t>Резервный фонд Президента Российской Федерации</t>
  </si>
  <si>
    <t>070 02 00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</si>
  <si>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</si>
  <si>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</si>
  <si>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</si>
  <si>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</si>
  <si>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</si>
  <si>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421 99 01</t>
  </si>
  <si>
    <t>Мероприятия в области здравоохранения, спорта и физической культуры, туризма</t>
  </si>
  <si>
    <t>421 99 02</t>
  </si>
  <si>
    <t>795 00 67</t>
  </si>
  <si>
    <t>795 00 32</t>
  </si>
  <si>
    <t>795 00 33</t>
  </si>
  <si>
    <t>Целевая программа "Улучшение качества жизни больных бронхиальной астмой" на 2006-2010 годы</t>
  </si>
  <si>
    <t>Программа "Профилактика противодействия незаконному обороту и употреблению наркотических средств"</t>
  </si>
  <si>
    <t>795 00 41</t>
  </si>
  <si>
    <t>795 00 42</t>
  </si>
  <si>
    <t>Программа "Безопасность образовательного учреждения МГО на 2010-2012 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</si>
  <si>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</si>
  <si>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</si>
  <si>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</si>
  <si>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>795 17 44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</si>
  <si>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</si>
  <si>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</si>
  <si>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</si>
  <si>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</si>
  <si>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</si>
  <si>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</si>
  <si>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</si>
  <si>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</si>
  <si>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441 99 00</t>
  </si>
  <si>
    <t>441 99 68</t>
  </si>
  <si>
    <t>Библиотеки</t>
  </si>
  <si>
    <t>442 00 00</t>
  </si>
  <si>
    <t>442 99 00</t>
  </si>
  <si>
    <t>442 99 68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</si>
  <si>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</si>
  <si>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</si>
  <si>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</si>
  <si>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</si>
  <si>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</si>
  <si>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Другие вопросы в области культуры, кинематографии и средств массовой информации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</si>
  <si>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</si>
  <si>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</si>
  <si>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</si>
  <si>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</si>
  <si>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</si>
  <si>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</si>
  <si>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</si>
  <si>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</si>
  <si>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</si>
  <si>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</si>
  <si>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</si>
  <si>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</si>
  <si>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</si>
  <si>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</si>
  <si>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</si>
  <si>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</si>
  <si>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</si>
  <si>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</si>
  <si>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</si>
  <si>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</si>
  <si>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</si>
  <si>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</si>
  <si>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</si>
  <si>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</si>
  <si>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</si>
  <si>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12</t>
  </si>
  <si>
    <t>070 00 00</t>
  </si>
  <si>
    <t xml:space="preserve">Прочие расходы </t>
  </si>
  <si>
    <t>14</t>
  </si>
  <si>
    <t>Руководство и управление в сфере установленных функций</t>
  </si>
  <si>
    <t>001 00 00</t>
  </si>
  <si>
    <t>795 00 30</t>
  </si>
  <si>
    <t>Муниципальная целевая программа "Содержание, ремонт и реконструкция спортивных сооружений Миасского городского округа в 2012-2015 гг"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</si>
  <si>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</si>
  <si>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</si>
  <si>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</si>
  <si>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</si>
  <si>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</si>
  <si>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</si>
  <si>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</si>
  <si>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</si>
  <si>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</si>
  <si>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</si>
  <si>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</si>
  <si>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</si>
  <si>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505 55 10</t>
  </si>
  <si>
    <t>505 55 23</t>
  </si>
  <si>
    <t>505 55 24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</si>
  <si>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</si>
  <si>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</si>
  <si>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350 03 00</t>
  </si>
  <si>
    <t>Мероприятия в области жилищного хозяйства</t>
  </si>
  <si>
    <t xml:space="preserve">795 00 22 </t>
  </si>
  <si>
    <t>505 55 25</t>
  </si>
  <si>
    <t>505 55 33</t>
  </si>
  <si>
    <t>505 55 34</t>
  </si>
  <si>
    <t>505 99 72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</si>
  <si>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</si>
  <si>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</si>
  <si>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</si>
  <si>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</si>
  <si>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</si>
  <si>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</si>
  <si>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</si>
  <si>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317 01 00</t>
  </si>
  <si>
    <t>Финансирование расходов на организацию транспортного обслуживания населения  муниципальных образований в части приобретения подвижного состава за счет субсидии из областного бюджета</t>
  </si>
  <si>
    <t>317 01 12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</si>
  <si>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</si>
  <si>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</si>
  <si>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</si>
  <si>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</si>
  <si>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795 00 03</t>
  </si>
  <si>
    <t>795 19 12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</si>
  <si>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</si>
  <si>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</si>
  <si>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</si>
  <si>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</si>
  <si>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</si>
  <si>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</si>
  <si>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</si>
  <si>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</si>
  <si>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</si>
  <si>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</si>
  <si>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</si>
  <si>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</si>
  <si>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</si>
  <si>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</si>
  <si>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Комплексная программа профилактики правонарушений и усиления борьбы с преступностью на территории МГО на 2010-2011гг.</t>
  </si>
  <si>
    <t xml:space="preserve">Национальный проект "Доступное и комфортное жилье - гражданам России" на территории МГО 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</si>
  <si>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</si>
  <si>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</si>
  <si>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</si>
  <si>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</si>
  <si>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</si>
  <si>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</si>
  <si>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</si>
  <si>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</si>
  <si>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</si>
  <si>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</si>
  <si>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</si>
  <si>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</si>
  <si>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</si>
  <si>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</si>
  <si>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</si>
  <si>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</si>
  <si>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</si>
  <si>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</si>
  <si>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</si>
  <si>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</si>
  <si>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вид расходов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</si>
  <si>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</si>
  <si>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</si>
  <si>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</si>
  <si>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</si>
  <si>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</si>
  <si>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</si>
  <si>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</si>
  <si>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</si>
  <si>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</si>
  <si>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795 00 78</t>
  </si>
  <si>
    <t>421 82 22</t>
  </si>
  <si>
    <t>Закон Челябинской области "О дополнительных мерах социальной защиты ветеранов в Челябинской области" (ежемесячная денежная выплата)</t>
  </si>
  <si>
    <t>505 02 13</t>
  </si>
  <si>
    <t>Закон Челябинской области "О звании "Ветеран труда Челябинской области"" (ежемесячная денежная выплата)</t>
  </si>
  <si>
    <t>505 33 30</t>
  </si>
  <si>
    <t>505 55 22</t>
  </si>
  <si>
    <t>505 55 32</t>
  </si>
  <si>
    <t>Отдельные мероприятия в других видах транспорта</t>
  </si>
  <si>
    <t>317 02 00</t>
  </si>
  <si>
    <t>НА 2013 ГОД</t>
  </si>
  <si>
    <t>на 2013 год                 (тыс. руб.)</t>
  </si>
  <si>
    <t>РАСПРЕДЕЛЕНИЕ БЮДЖЕТНЫХ АССИГНОВАНИЙ НА 2013 ГОД</t>
  </si>
  <si>
    <t>на 2013 год  (тыс. руб.)</t>
  </si>
  <si>
    <t>Муниципальная целевая программа "Программа развития образования на 2013-2015"</t>
  </si>
  <si>
    <t>Муниципальная целевая программа повышения безопасности дорожного движения пешеходов на территории Миасского городского округа на 2011-2013гг.</t>
  </si>
  <si>
    <t>Программа по совершенствованию организации дорожного движения пешеходов на территории Миасского городского округа на 2013-2015 год</t>
  </si>
  <si>
    <t>795 00 46</t>
  </si>
  <si>
    <t>505 21 04</t>
  </si>
  <si>
    <t>Обеспечение предоставления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</si>
  <si>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</si>
  <si>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</si>
  <si>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505 55 08</t>
  </si>
  <si>
    <t>Ежемесячное пособие на ребенка (Закон Челябинской области "О ежемесячном пособи на ребенка")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</si>
  <si>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</si>
  <si>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</si>
  <si>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</si>
  <si>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</si>
  <si>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505 55 40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</si>
  <si>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</si>
  <si>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505 55 51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</si>
  <si>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</si>
  <si>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505 55 53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</si>
  <si>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</si>
  <si>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505 55 60</t>
  </si>
  <si>
    <t>Расходы за счет субвенции из областного бюджета на выплату областного единовременного пособия при рождении ребенка</t>
  </si>
  <si>
    <t>505 55 70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</si>
  <si>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</si>
  <si>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505 55 80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</si>
  <si>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</si>
  <si>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505 55 90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</si>
  <si>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</si>
  <si>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</t>
  </si>
  <si>
    <t>Содержание ребенка в семье опекуна</t>
  </si>
  <si>
    <t>520 13 76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</si>
  <si>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коммунальных услуг)</t>
  </si>
  <si>
    <t>Муниципальная целевая программа  "Пожарная безопасность учреждений здравоохранения Миасского городского округа на 2010-2014гг."</t>
  </si>
  <si>
    <t>Муниципальная целевая программа "Профилактика клещевого энцефалита в Миасском городском округе на 2010-2013г.г."</t>
  </si>
  <si>
    <t>Муниципальная целевая программа "Укрепление материально-технической базы учреждений здравоохранения Миасского городского округа на 2012 -2013 годы"</t>
  </si>
  <si>
    <t>Муниципальная целевая программа "Молодежь Миасса на 2012-2016гг."</t>
  </si>
  <si>
    <t>Программа развития образования на 2013-2015гг.</t>
  </si>
  <si>
    <t xml:space="preserve">Муниципальная целевая программа "Безопасность учреждений культуры" на 2013-2015 годы </t>
  </si>
  <si>
    <t>Программа "Культура. Искусство. Творчество." на 2013-2015гг.</t>
  </si>
  <si>
    <t>Муниципальная целевая программа "Профилактика клещевого энцефалита в Миасском городском округе на 2010-2013 г.г."</t>
  </si>
  <si>
    <t>Муниципальная целевая программа "Укрепление материально-технической базы учреждений здравоохранения Миасского городского округа на 2012-2013г."</t>
  </si>
  <si>
    <t>Муниципальная целевая программа "Поддержка и развитие предприятий жилищно-коммунального комплекса на территории Миасского городского округа в 2013 году"</t>
  </si>
  <si>
    <t>Муниципальная целевая программа "Снос аварийного жилищного фонда в 2013 году"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</si>
  <si>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2010-2020 годы"</t>
  </si>
  <si>
    <t>471 82 23</t>
  </si>
  <si>
    <t>Программа поддержки и развития малого и среднего предпринимательства  Миасского городского округа на 2011-2015гг.</t>
  </si>
  <si>
    <t>Программа "Экология  Миасского городского округа"  2010-2015гг.</t>
  </si>
  <si>
    <t>Предоставление социальных выплат на приобретение или строительство жилья</t>
  </si>
  <si>
    <t>795 19 10</t>
  </si>
  <si>
    <t>Транспортное обеспечение органов местного самоуправления</t>
  </si>
  <si>
    <t>091 01 02</t>
  </si>
  <si>
    <t>Эксплуатация оборудования, помещений, зданий органами местного самоуправления</t>
  </si>
  <si>
    <t>091 02 02</t>
  </si>
  <si>
    <t>Муниципальное казенное учреждение "Управление по физической культуре, спорту, туризму"</t>
  </si>
  <si>
    <t>Реализация государственных функций в области физической культуры и спорта</t>
  </si>
  <si>
    <t>487 00 00</t>
  </si>
  <si>
    <t>Муниципальная целевая программа "молодежь Миасса на 2012-2013 годы"</t>
  </si>
  <si>
    <t>22</t>
  </si>
  <si>
    <t>Целевая "Программа энергосбережения и повышения энергетической эффективности бюджетных организаций Миасского городского округа на 2011-2020 годы"</t>
  </si>
  <si>
    <t>Национальный проект "Доступное и комфортное жилье - гражданам России" на территории МГО на 2011-2015 гг.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</si>
  <si>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</si>
  <si>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Муниципальная целевая программа "Организация мероприятий и создание условий  для содержания объектов инженерной инфраструктуры на территории Миасского городского округа на 2012 год"</t>
  </si>
  <si>
    <t>Муниципальная целевая программа "Организация мероприятий и создание условий  для содержания объектов инженерной инфраструктуры на территории Миасского городского округа на 2013 год"</t>
  </si>
  <si>
    <t>795 00 79</t>
  </si>
  <si>
    <t>Муниципальная целевая программа "Поддержка и развитие предприятий жилищно-коммунального комплекса на территории Миасского городского округа в 2012 году"</t>
  </si>
  <si>
    <t>441 82 24</t>
  </si>
  <si>
    <t>477 82 00</t>
  </si>
  <si>
    <t>477 82 30</t>
  </si>
  <si>
    <t xml:space="preserve">477 82 30 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</si>
  <si>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</si>
  <si>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в виде имущественного взноса в Федеральный фонд содействия развитию жилищного строительства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</si>
  <si>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</si>
  <si>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Содействие развитию жилищного строительства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</si>
  <si>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</si>
  <si>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</si>
  <si>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Целевой финансовый резерв для предупреждения и ликвидации чрезвычайных ситуаций</t>
  </si>
  <si>
    <t>218 01 50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</si>
  <si>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</si>
  <si>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</si>
  <si>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</si>
  <si>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</si>
  <si>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247 00 00</t>
  </si>
  <si>
    <t>247 99 00</t>
  </si>
  <si>
    <t>Региональные целевые программы</t>
  </si>
  <si>
    <t>522 00 00</t>
  </si>
  <si>
    <t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за счет субсидий из областного бюджета</t>
  </si>
  <si>
    <t>522 13 00</t>
  </si>
  <si>
    <t xml:space="preserve"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</t>
  </si>
  <si>
    <t>923</t>
  </si>
  <si>
    <t>Другие вопросы в области национальной безопасности и правоохранительной деятельности</t>
  </si>
  <si>
    <t>ОЦП "Снижение рисков и смягчение последствий чрезвычайных ситуаций природного и техногенного характера в Челябинской области</t>
  </si>
  <si>
    <t>10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</si>
  <si>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</si>
  <si>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</si>
  <si>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</si>
  <si>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</si>
  <si>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Резервные фонды органов местного самоуправления</t>
  </si>
  <si>
    <t>184</t>
  </si>
  <si>
    <t>795 00 28</t>
  </si>
  <si>
    <t>Программа "Чистая вода на территории Миасского городского округа на 2010-2020гг."</t>
  </si>
  <si>
    <t>795 00 29</t>
  </si>
  <si>
    <t>Муниципальная целевая программа "Обеспечение безопасности гидротехнических сооружений на территории Миасского городского округа на 2011-2015 годы"</t>
  </si>
  <si>
    <t>338 82 00</t>
  </si>
  <si>
    <t>338 82 10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</si>
  <si>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</si>
  <si>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</si>
  <si>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и автономным учреждениям на финансовое обеспечение государственного задания на оказание государственных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</si>
  <si>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</si>
  <si>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</si>
  <si>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</si>
  <si>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</si>
  <si>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</si>
  <si>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</si>
  <si>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</si>
  <si>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</si>
  <si>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</si>
  <si>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</si>
  <si>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</si>
  <si>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</si>
  <si>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</si>
  <si>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</si>
  <si>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</si>
  <si>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</si>
  <si>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</si>
  <si>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</si>
  <si>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</si>
  <si>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денежная выплата на оплату жилья и коммунальных услуг и единовременная денежная выплата на цели отопления)</t>
  </si>
  <si>
    <t>505 02 11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</si>
  <si>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</si>
  <si>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</si>
  <si>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>Субсидии гражданам на приобретение жилья</t>
  </si>
  <si>
    <t>322</t>
  </si>
  <si>
    <t>340 82 00</t>
  </si>
  <si>
    <t>340 82 10</t>
  </si>
  <si>
    <t>487 99 01</t>
  </si>
  <si>
    <t>471 82 24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</si>
  <si>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</si>
  <si>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</si>
  <si>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</si>
  <si>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</si>
  <si>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 xml:space="preserve">Функционирование органов в сфере национальной безопасности и  правоохранительной деятельности </t>
  </si>
  <si>
    <t>202 67 00</t>
  </si>
  <si>
    <t>Продовольственное обеспечение</t>
  </si>
  <si>
    <t>202 71 00</t>
  </si>
  <si>
    <t xml:space="preserve"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</si>
  <si>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040 00 40  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</si>
  <si>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</si>
  <si>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050 10 40  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</si>
  <si>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</si>
  <si>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</si>
  <si>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</si>
  <si>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</si>
  <si>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</si>
  <si>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Расходы на оплату ТЭР, услуг водоснабжения, водоотведения, потребляемых МБУ и эл.энергии, расходов на уличное освещение за счет субсидий из областного  бюджета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</si>
  <si>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</si>
  <si>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жилыми помещениями детей-сирот, детей, оставшихся без попечения родителей, атакже детей, находящихся под опекой (попечительством), не имеющих закрепленного жилого помещения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</si>
  <si>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тружеников тыла)</t>
  </si>
  <si>
    <t xml:space="preserve"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</si>
  <si>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</si>
  <si>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Выплата единовременного пособия при всех формах устройства детей, лишенных родительского попечения, в семью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</si>
  <si>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</si>
  <si>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</si>
  <si>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>Мероприятия в области здравоохранения, спорта и физической культуры, туризма за счет субсидии из областного бюджета</t>
  </si>
  <si>
    <t>Областная целевая программа "Дети Южного Урала" на 2006-2010 годы за счет субсидий из областного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</si>
  <si>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</si>
  <si>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Муниципальная целевая программа модернизации здравоохранения Миасского городского округа на 2011-2012 г.г.</t>
  </si>
  <si>
    <t xml:space="preserve">ОЦП "Капитальный ремонт многоквартирных домов в Челябинской области на 2008-2011 гг. </t>
  </si>
  <si>
    <t>ОЦП "Капитальный ремонт многоквартирных домов в Челябинской области на 2008-2011 гг. за счет средств Фонда реформирования ЖКХ</t>
  </si>
  <si>
    <t>ОЦП "Капитальный ремонт многоквартирных домов в Челябинской области на 2008-2011 гг. за счет средств областного бюджета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</si>
  <si>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 </t>
  </si>
  <si>
    <t>Внедрение инновационных образовательных программ</t>
  </si>
  <si>
    <t>Расходы за счет субвенции из областного бюджета на обеспечение мер социальной поддержки граждан, имеющих звание "Ветеранов труда Челябинской области" (ежеквартальные денежные выплаты на оплату проезда)</t>
  </si>
  <si>
    <t>Приложение 1</t>
  </si>
  <si>
    <t>Приложение 2</t>
  </si>
  <si>
    <t>Другие мероприятия по реализации муниципальных функций</t>
  </si>
  <si>
    <t>092 15 01</t>
  </si>
  <si>
    <t xml:space="preserve">от 25.04.2013 г. №4 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</si>
  <si>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</si>
  <si>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</si>
  <si>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Программа "Экология  Миасского городского округа" на 2010-2015гг.</t>
  </si>
  <si>
    <t>Субсидии бюджетным и автономным учреждениям на проведение текущего ремонта зданий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</si>
  <si>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</si>
  <si>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</si>
  <si>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</si>
  <si>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</si>
  <si>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</si>
  <si>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</si>
  <si>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</si>
  <si>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</si>
  <si>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Программа по поддержанию дорог и дорожных сооружений МГО в проезжем состоянии на 2008-2010гг.</t>
  </si>
  <si>
    <t>795 00 09</t>
  </si>
  <si>
    <t>Целевая программа "Содержание и благоустройство кладбищ Миасского городского округа на 2010г"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</si>
  <si>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</si>
  <si>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</si>
  <si>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</si>
  <si>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</si>
  <si>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</si>
  <si>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</si>
  <si>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</si>
  <si>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</si>
  <si>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</si>
  <si>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</si>
  <si>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>Программа "О развитии энергосбережения в МГО на 2006-2010гг."</t>
  </si>
  <si>
    <t>795 00 25</t>
  </si>
  <si>
    <t xml:space="preserve">Национальный проект "Доступное и комфортное жилье - гражданам России" на территории МГО на 2006-2010 гг., </t>
  </si>
  <si>
    <t>795 19 00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</si>
  <si>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</si>
  <si>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</si>
  <si>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</si>
  <si>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</si>
  <si>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</si>
  <si>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</si>
  <si>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</si>
  <si>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</si>
  <si>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</si>
  <si>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</si>
  <si>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</si>
  <si>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</si>
  <si>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</si>
  <si>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</si>
  <si>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Дорожное хозяйство</t>
  </si>
  <si>
    <t>351 00 00</t>
  </si>
  <si>
    <t>Отдельные мероприятия в области дорожного хозяйства</t>
  </si>
  <si>
    <t>365</t>
  </si>
  <si>
    <t>Предоставление субсидий бюджетным учреждениям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</si>
  <si>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</si>
  <si>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</si>
  <si>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</si>
  <si>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611</t>
  </si>
  <si>
    <t>Муниципальная целевая программа "Поддержка и развитие дошкольного образования в Миасском городском округе на 2011-2012 годы"</t>
  </si>
  <si>
    <t>795 00 45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</si>
  <si>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</si>
  <si>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</si>
  <si>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</si>
  <si>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</si>
  <si>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</si>
  <si>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421 99 68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</si>
  <si>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</si>
  <si>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421 99 70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</si>
  <si>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</si>
  <si>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505 02 12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</si>
  <si>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</si>
  <si>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</si>
  <si>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Другие вопросы в области жилищно-коммунального хозяйства</t>
  </si>
  <si>
    <t>102 02 00</t>
  </si>
  <si>
    <t>Реконструкция гидротехнических сооружений, находящихся в муниципальной собственности, за счет субсидий из областного бюджета</t>
  </si>
  <si>
    <t>102 02 23</t>
  </si>
  <si>
    <t xml:space="preserve">Бюджетные инвестиции </t>
  </si>
  <si>
    <t>Федеральная целевая программа "Жилище"  на 2002-2010 годы</t>
  </si>
  <si>
    <t>104 00 00</t>
  </si>
  <si>
    <t>104 03 00</t>
  </si>
  <si>
    <t>Подпрограмма "Подготовка земельных участков для освоения в целях жилищного строительства"</t>
  </si>
  <si>
    <t>522 19 12</t>
  </si>
  <si>
    <t>Областная целевая Программа капитального строительства в Челябинской области на 2009-2011 годы</t>
  </si>
  <si>
    <t>522 25 00</t>
  </si>
  <si>
    <t>Развитие социальной и инженерной структуры муниципальных образований</t>
  </si>
  <si>
    <t>523 00 00</t>
  </si>
  <si>
    <t xml:space="preserve">Развитие социальной и инженерной структуры </t>
  </si>
  <si>
    <t>523 01 00</t>
  </si>
  <si>
    <t xml:space="preserve">Программа водоснабжения частного сектора  </t>
  </si>
  <si>
    <t>795 00 21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</si>
  <si>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</si>
  <si>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</si>
  <si>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</si>
  <si>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</si>
  <si>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</si>
  <si>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</si>
  <si>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Другие вопросы в области охраны окружающей среды</t>
  </si>
  <si>
    <t>ОЦП Природоохранных мероприятий оздоровления экологической обстановки в Челябинской области на 2006-2010гг.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</si>
  <si>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</si>
  <si>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</si>
  <si>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</si>
  <si>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</si>
  <si>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795 00 22</t>
  </si>
  <si>
    <t>Природоохранные мероприятия</t>
  </si>
  <si>
    <t>025</t>
  </si>
  <si>
    <t>Программа "Сбор и утилизация твердых коммунальных и промышленных отходов"</t>
  </si>
  <si>
    <t>795 00 23</t>
  </si>
  <si>
    <t>443</t>
  </si>
  <si>
    <t>в том числе на ликвидацию чрезвычайных ситуаций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</si>
  <si>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</si>
  <si>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</si>
  <si>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</si>
  <si>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</si>
  <si>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600 00 00</t>
  </si>
  <si>
    <t>Уличное освещение</t>
  </si>
  <si>
    <t>600 01 00</t>
  </si>
  <si>
    <t>600 01 68</t>
  </si>
  <si>
    <t>Мероприятия в области здравоохранения,
спорта и физической культуры, туризма</t>
  </si>
  <si>
    <t>795 00 34</t>
  </si>
  <si>
    <t>Программа "Питание детей второго года жизни в Миасском городском округе на 2008-2010гг"</t>
  </si>
  <si>
    <t>795 00 36</t>
  </si>
  <si>
    <t>Учреждения социального обслуживания населения</t>
  </si>
  <si>
    <t>507 00 00</t>
  </si>
  <si>
    <t>317 82 00</t>
  </si>
  <si>
    <t>317 82 10</t>
  </si>
  <si>
    <t>352 00 00</t>
  </si>
  <si>
    <t>352 02 00</t>
  </si>
  <si>
    <t>Капитальный ремонт муниципального жилищного фонда</t>
  </si>
  <si>
    <t>Обеспечение жилыми помещениями детей-сирот,
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</si>
  <si>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</si>
  <si>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Программа "Развитие муниципальной службы в Администрации МГО"</t>
  </si>
  <si>
    <t>423 82 00</t>
  </si>
  <si>
    <t>423 82 10</t>
  </si>
  <si>
    <t>Субсидии на финансовое обеспечение муниципального задания на оказание муниципальных услуг (выполнение работ)</t>
  </si>
  <si>
    <t>423 82 70</t>
  </si>
  <si>
    <t>440 02 00</t>
  </si>
  <si>
    <t>441 82 00</t>
  </si>
  <si>
    <t>441 82 10</t>
  </si>
  <si>
    <t>612</t>
  </si>
  <si>
    <t>470 82 00</t>
  </si>
  <si>
    <t>478 82 00</t>
  </si>
  <si>
    <t>Выполнение функций казенными  учреждениями</t>
  </si>
  <si>
    <t>440 82 86</t>
  </si>
  <si>
    <t>420 82 00</t>
  </si>
  <si>
    <t>420 82 10</t>
  </si>
  <si>
    <t>420 00 67</t>
  </si>
  <si>
    <t>420 82 67</t>
  </si>
  <si>
    <t>421 82 00</t>
  </si>
  <si>
    <t>421 82 10</t>
  </si>
  <si>
    <t>421 82 59</t>
  </si>
  <si>
    <t>421 82 70</t>
  </si>
  <si>
    <t>421 82 88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</si>
  <si>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</si>
  <si>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</si>
  <si>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</si>
  <si>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</si>
  <si>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Расходы за счет субвенций местным бюджетам на обеспечение гарантий прав граждан в сфере образования</t>
  </si>
  <si>
    <t>Финансовое обеспечение муниципального задания на оказание муниципальных услуг ( выполнение работ)</t>
  </si>
  <si>
    <t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</t>
  </si>
  <si>
    <t>Обеспечение деятельности подведомственных казенных учреждений</t>
  </si>
  <si>
    <t>Предоставление субсидий бюджетным  и автономным учреждениям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</si>
  <si>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</si>
  <si>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795 00 70</t>
  </si>
  <si>
    <t>Муниципальная целевая программа "Молодежь Миасса на 2012-2016 годы"</t>
  </si>
  <si>
    <t>795 00 71</t>
  </si>
  <si>
    <t xml:space="preserve">Мероприятия в области здравоохранения,
спорта и физической культуры, туризма
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</si>
  <si>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</si>
  <si>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</si>
  <si>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</si>
  <si>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</si>
  <si>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</si>
  <si>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</si>
  <si>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</si>
  <si>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</si>
  <si>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</si>
  <si>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</si>
  <si>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</si>
  <si>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</si>
  <si>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</si>
  <si>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</si>
  <si>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</si>
  <si>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</si>
  <si>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</si>
  <si>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</si>
  <si>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</si>
  <si>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</si>
  <si>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</si>
  <si>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</si>
  <si>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</si>
  <si>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</si>
  <si>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</si>
  <si>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</si>
  <si>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</si>
  <si>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</si>
  <si>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</si>
  <si>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</si>
  <si>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</si>
  <si>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</si>
  <si>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</si>
  <si>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</si>
  <si>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</si>
  <si>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Учреждения культуры и мероприятия в сфере культуры и кинематографии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</si>
  <si>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</si>
  <si>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</si>
  <si>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</si>
  <si>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002 04 86</t>
  </si>
  <si>
    <t>Целевые программы муниципальных образований</t>
  </si>
  <si>
    <t>795 00 00</t>
  </si>
  <si>
    <t>795 00 10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</si>
  <si>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</si>
  <si>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</si>
  <si>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</si>
  <si>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</si>
  <si>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</si>
  <si>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</si>
  <si>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</si>
  <si>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</si>
  <si>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Программа "Миасс - безопасный город"</t>
  </si>
  <si>
    <t>795 00 01</t>
  </si>
  <si>
    <t>Программа "Муниципальная информационная автоматизированная  система"</t>
  </si>
  <si>
    <t>795 00 02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</si>
  <si>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</si>
  <si>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</si>
  <si>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</si>
  <si>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098 01 04</t>
  </si>
  <si>
    <t>Областная целевая программа реализации национального проекта "Образование" в Челябинской области</t>
  </si>
  <si>
    <t>522 17 00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</si>
  <si>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2009-2012 годы)</t>
  </si>
  <si>
    <t>522 17 02</t>
  </si>
  <si>
    <t>478 99 00</t>
  </si>
  <si>
    <t>Муниципальная целевая программа "Снижение административных барьеров, оптимизация и повышение качества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услуг" Миасского городского округа"</t>
  </si>
  <si>
    <t>Областная целевая программа "Развитие дошкольного образования в Челябинской области" на 2011-2014 гг. за счет субсидий из областного бюджета</t>
  </si>
  <si>
    <t xml:space="preserve">Национальный проект "Доступное и комфортное жилье - гражданам России" на территории МГО на 2011-2015 гг., </t>
  </si>
  <si>
    <t>795 00 73</t>
  </si>
  <si>
    <t>Мероприятия по поддержке и развитию культуры, искусства, кинематографии, средств массовой информации и архивного дела</t>
  </si>
  <si>
    <t>Субсидии бюджетным и автономным учреждениям на финансовое обеспечение государственного задания на иные цели</t>
  </si>
  <si>
    <t>470 82 20</t>
  </si>
  <si>
    <t>470 82 23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</si>
  <si>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</si>
  <si>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</si>
  <si>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</si>
  <si>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Муниципальная целевая программа " Капитальное строительство на территории Миасского городского округа на 2012-2014 годы"</t>
  </si>
  <si>
    <t>Дорожное хозяйство (дорожные фонды)</t>
  </si>
  <si>
    <t>795 00 75</t>
  </si>
  <si>
    <t>351 82 00</t>
  </si>
  <si>
    <t>351 82 10</t>
  </si>
  <si>
    <t>Муниципальная целевая программа "Снос и обрезка сухих, аварийных , больных деревьев, посадка деревьев и кустарников на территории МГО на 2011-2013 годы"</t>
  </si>
  <si>
    <t>795 00 69</t>
  </si>
  <si>
    <t>Реализация переданных государственных полномочий в области охраны труда</t>
  </si>
  <si>
    <t>002 04 99</t>
  </si>
  <si>
    <t>Муниципальная целевая программа "Пожарная безопасность Миасского городского округа на 2011-2013 годы"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</si>
  <si>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</si>
  <si>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</si>
  <si>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</si>
  <si>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Программа "Профилактика противодействия незаконному обороту и употреблению наркотических средств" на территории Миасского городского округа на 2010-2012гг.</t>
  </si>
  <si>
    <t>441 82 23</t>
  </si>
  <si>
    <t>420 82 20</t>
  </si>
  <si>
    <t>421 82 20</t>
  </si>
  <si>
    <t>Федеральная целевая программа «Жилище» на 2011-2015 годы»</t>
  </si>
  <si>
    <t>100 88 00</t>
  </si>
  <si>
    <t>100 88 20</t>
  </si>
  <si>
    <t>Федеральные целевые программы</t>
  </si>
  <si>
    <t>100 00 00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</si>
  <si>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</t>
  </si>
  <si>
    <t>795 00 37</t>
  </si>
  <si>
    <t>Целевая программа "Миасс - безопасный город" на 2010-2015 годы</t>
  </si>
  <si>
    <t>315 06 00</t>
  </si>
  <si>
    <t>Содержание и ремонт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</si>
  <si>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</si>
  <si>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315 07 00</t>
  </si>
  <si>
    <t>Субсидии бюджетным и автономным учреждениям на финансовое обеспечение муниципального задания на иные цели</t>
  </si>
  <si>
    <t>Субсидии бюджетным и автономным учреждениям на капитальный ремонт зданий  и сооружений</t>
  </si>
  <si>
    <t>351 82 21</t>
  </si>
  <si>
    <t>Школы - детские сады, школы начальные, неполные средние и средние</t>
  </si>
  <si>
    <t>421 82 21</t>
  </si>
  <si>
    <t>Субсидии бюджетным и автономным учреждениям  на капитальный ремонт зданий и сооружений</t>
  </si>
  <si>
    <t>351 82 20</t>
  </si>
  <si>
    <t>Другие субсидии бюджетным и автономным учреждениям на иные цели</t>
  </si>
  <si>
    <t>795 00 76</t>
  </si>
  <si>
    <t xml:space="preserve">Муниципальная целевая программа "Предоставление дополнительных мер социальной поддержки сотрудникам Отдела МВД по городу Миассу Челябинской области в 2012 году" 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</si>
  <si>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</si>
  <si>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</si>
  <si>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</si>
  <si>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</si>
  <si>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Подпрограмма "Предоставление работникам бюджетной сферы социальных выплат на приобретение или стр-во жилья"</t>
  </si>
  <si>
    <t>795 19 15</t>
  </si>
  <si>
    <t>Охрана семьи и детства</t>
  </si>
  <si>
    <t>505 05 02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</si>
  <si>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</si>
  <si>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</si>
  <si>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</si>
  <si>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 xml:space="preserve">Содержание ребенка в семье опекуна и приемной семье, а также оплата труда приемного родителя </t>
  </si>
  <si>
    <t>520 13 00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</si>
  <si>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</si>
  <si>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</si>
  <si>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</si>
  <si>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</si>
  <si>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520 13 12</t>
  </si>
  <si>
    <t>520 13 13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</si>
  <si>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</si>
  <si>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</si>
  <si>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</si>
  <si>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</si>
  <si>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</si>
  <si>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</si>
  <si>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</si>
  <si>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</si>
  <si>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</si>
  <si>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</si>
  <si>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518 02 42</t>
  </si>
  <si>
    <t>ВСЕГО РАСХОДОВ</t>
  </si>
  <si>
    <t>ПРОФИЦИТ БЮДЖЕТА (со знаком "плюс") или ДЕФИЦИТ БЮДЖЕТА (со знаком "минус")</t>
  </si>
  <si>
    <t xml:space="preserve"> ИСТОЧНИКИ ВНУТРЕННЕГО ФИНАНСИРОВАНИЯ</t>
  </si>
  <si>
    <t>000</t>
  </si>
  <si>
    <t>000 00 00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</si>
  <si>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</si>
  <si>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</si>
  <si>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000 04 00</t>
  </si>
  <si>
    <t>700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</si>
  <si>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</si>
  <si>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800</t>
  </si>
  <si>
    <t>Продажа земельных участков, находящихся в государственной и муниципальной собственности</t>
  </si>
  <si>
    <t>Остатки средств бюджетов</t>
  </si>
  <si>
    <t>010 00 00</t>
  </si>
  <si>
    <t>Иные источники внутреннего финансирования  дефицитов бюджетов</t>
  </si>
  <si>
    <t>447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</si>
  <si>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</si>
  <si>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</si>
  <si>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</si>
  <si>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</si>
  <si>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470 00 00</t>
  </si>
  <si>
    <t>470 99 00</t>
  </si>
  <si>
    <t xml:space="preserve">09 </t>
  </si>
  <si>
    <t xml:space="preserve"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</t>
  </si>
  <si>
    <t>505 55 35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</si>
  <si>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</si>
  <si>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</si>
  <si>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</si>
  <si>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</si>
  <si>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</si>
  <si>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</si>
  <si>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Областная целевая программа реализации национального проекта "Доступное и комфортное жилье  - гражданам России" в Челябинской области за счет субсидии из областного бюджета"</t>
  </si>
  <si>
    <t>Подпрограмма "Оказание молодым семьям господдержки для улучшения жил.условий"</t>
  </si>
  <si>
    <t>522 19 14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</si>
  <si>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</si>
  <si>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</si>
  <si>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Нац.проект "Здоровье" на территории  Миасского городского округа на 2010-2012 гг.</t>
  </si>
  <si>
    <t>ЦП "Капитальное строительство на территории Миасского городского округа на 2009-2011 годы"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</si>
  <si>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</si>
  <si>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</si>
  <si>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</si>
  <si>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</si>
  <si>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</si>
  <si>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</si>
  <si>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</si>
  <si>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</si>
  <si>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</si>
  <si>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</si>
  <si>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</si>
  <si>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</si>
  <si>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</si>
  <si>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</si>
  <si>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Обеспечение деятельности финансовых, налоговых и таможенных органов и органов надзора</t>
  </si>
  <si>
    <t>Больницы, клиники, госпитали, МСЧ</t>
  </si>
  <si>
    <t>506 00 00</t>
  </si>
  <si>
    <t>327</t>
  </si>
  <si>
    <t>Подпрограмма "Обеспечение жильем молодых семей"</t>
  </si>
  <si>
    <t>505 33 00</t>
  </si>
  <si>
    <t>505 85 00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</si>
  <si>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</si>
  <si>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</si>
  <si>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</si>
  <si>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</si>
  <si>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505 33 31</t>
  </si>
  <si>
    <t>505 33 32</t>
  </si>
  <si>
    <t>Подпрограмма "Предоставление работникам бюджетной сферы безвозмездных субсидий на приобретение или строительство жилья"</t>
  </si>
  <si>
    <t>Комитет по управлению имуществом Миасского городского округа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</si>
  <si>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</si>
  <si>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 (другие меры социальной поддержки лиц и лиц, признанных пострадавшими от политических репрессий в ЧО)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</si>
  <si>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</si>
  <si>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</si>
  <si>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</si>
  <si>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</si>
  <si>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Расходы на реализацию мероприятий по обеспечению своевременной и полной выплаты заработной платы, в том числе в связи с введение новой системы оплаты труда</t>
  </si>
  <si>
    <t>555 00 10</t>
  </si>
  <si>
    <t xml:space="preserve">Расходы на увеличение тарифов по оплате за топливно-энергетические ресурсы </t>
  </si>
  <si>
    <t>556 00 10</t>
  </si>
  <si>
    <t>Федеральный закон от 21 декабря 1996 года
N 159-ФЗ "О дополнительных гарантиях по социальной поддержке детей-сирот и детей, оставшихся без попечения родителей"</t>
  </si>
  <si>
    <t>505 21 00</t>
  </si>
  <si>
    <t>420 82 22</t>
  </si>
  <si>
    <t>420 82 23</t>
  </si>
  <si>
    <t>Решение вопросов местного значения, связанных с проведением антитеррористических и противопожарных мероприятий</t>
  </si>
  <si>
    <t>420 99 63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</si>
  <si>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</si>
  <si>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421 82 23</t>
  </si>
  <si>
    <t>421 99 63</t>
  </si>
  <si>
    <t>436 21 00</t>
  </si>
  <si>
    <t>Модернизация региональных систем общего образования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</si>
  <si>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</si>
  <si>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</si>
  <si>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Подпрограмма "Предоставление работникам бюджетной сферы социальных выплат на приобретение или строительство жилья"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</si>
  <si>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</si>
  <si>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</si>
  <si>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420 82 01</t>
  </si>
  <si>
    <t>421 82 01</t>
  </si>
  <si>
    <t>423 82 01</t>
  </si>
  <si>
    <t>431 01 39</t>
  </si>
  <si>
    <t>Областная целевая программа "Патриотическое воспитание молодых граждан Челябинской области" на 2012-2015 годы" за счет субсидии из областного бюджета"</t>
  </si>
  <si>
    <t>522 46 00</t>
  </si>
  <si>
    <t>100 88 11</t>
  </si>
  <si>
    <t>Другие субсидии бюджетным и автономным учреждениям на иные цели.</t>
  </si>
  <si>
    <t>440 82 24</t>
  </si>
  <si>
    <t>ОЦП по реализации НП "Доступное и комфортное жилье - гражданам России" в Челябинской области, подпрограмма "Подготовка земельных участков для освоения в целях жилищного строительства"</t>
  </si>
  <si>
    <t>441 82 20</t>
  </si>
  <si>
    <t>470 82 24</t>
  </si>
  <si>
    <t>471 82 20</t>
  </si>
  <si>
    <t>423 82 24</t>
  </si>
  <si>
    <t>420 82 24</t>
  </si>
  <si>
    <t>421 82 24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</si>
  <si>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</si>
  <si>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</si>
  <si>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Обеспечение жильем граждан, уволенных с военной службы (службы), и приравненных к ним лиц</t>
  </si>
  <si>
    <t>423 82 23</t>
  </si>
  <si>
    <t>432 01 75</t>
  </si>
  <si>
    <t>432 01 76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</si>
  <si>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</si>
  <si>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</si>
  <si>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</si>
  <si>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</si>
  <si>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</si>
  <si>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</si>
  <si>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</si>
  <si>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денежная выплата на оплату жилья и коммунальных услуг единовременная денежная выплата на цели отопления)</t>
  </si>
  <si>
    <t>505 33 55</t>
  </si>
  <si>
    <t>Меры социальной поддержки граждан</t>
  </si>
  <si>
    <t>505 33 65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</si>
  <si>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</si>
  <si>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</si>
  <si>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Физкультурно-оздоровительная работа и спортивные мероприятия</t>
  </si>
  <si>
    <t>512 00 00</t>
  </si>
  <si>
    <t>512 97 00</t>
  </si>
  <si>
    <t>512 97 26</t>
  </si>
  <si>
    <t>520 00 00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</si>
  <si>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</si>
  <si>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</si>
  <si>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</si>
  <si>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</si>
  <si>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621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</si>
  <si>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</si>
  <si>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</si>
  <si>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</si>
  <si>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</si>
  <si>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</si>
  <si>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</si>
  <si>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431 01 99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</si>
  <si>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</si>
  <si>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</si>
  <si>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</si>
  <si>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</si>
  <si>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</si>
  <si>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</si>
  <si>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</si>
  <si>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521 01 39</t>
  </si>
  <si>
    <t>Мероприятия по работе с детьми и молодежью</t>
  </si>
  <si>
    <t>917</t>
  </si>
  <si>
    <t>Другие вопросы в области образования</t>
  </si>
  <si>
    <t>Бюджетные инвестиции в объекты капитального строительства собственности муниципальных образований</t>
  </si>
  <si>
    <t>Государственная поддержка в сфере образования</t>
  </si>
  <si>
    <t xml:space="preserve">Другие вопросы в области культуры, кинематографии </t>
  </si>
  <si>
    <t xml:space="preserve">Физкультурно-оздоровительная работа и спортивные  мероприятия </t>
  </si>
  <si>
    <t>Программа "Развитие физической культуры и спорта в Миасском городском округе в 2007-2010гг"</t>
  </si>
  <si>
    <t>795 00 35</t>
  </si>
  <si>
    <t>Областная целевая программа реализации Национального проекта "Здоровье" в Челябинской области</t>
  </si>
  <si>
    <t>522 18 00</t>
  </si>
  <si>
    <t xml:space="preserve">Нац.проект "Здоровье" на территории  Миасского городского округа на 2006-2010 гг. </t>
  </si>
  <si>
    <t>795 18 31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</si>
  <si>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</si>
  <si>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</si>
  <si>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</si>
  <si>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</si>
  <si>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</si>
  <si>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293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</si>
  <si>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</si>
  <si>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</si>
  <si>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</si>
  <si>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</si>
  <si>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</si>
  <si>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</si>
  <si>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</si>
  <si>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</si>
  <si>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</si>
  <si>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</si>
  <si>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</si>
  <si>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</si>
  <si>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</si>
  <si>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</si>
  <si>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</si>
  <si>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</si>
  <si>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</si>
  <si>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</si>
  <si>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</si>
  <si>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</si>
  <si>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</si>
  <si>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</si>
  <si>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</si>
  <si>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</si>
  <si>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</si>
  <si>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</si>
  <si>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092 03 00</t>
  </si>
  <si>
    <t>Бюджетные инвестиции в объекты капитального строительства, не включенные в целевые программы</t>
  </si>
  <si>
    <t>Субсидии на обеспечение жильем</t>
  </si>
  <si>
    <t>522 19 15</t>
  </si>
  <si>
    <t>501</t>
  </si>
  <si>
    <t>Подпрограмма "Предоставление работникам бюджетной сферы безвозмездных субсидий на приобретение или стр-во жилья"</t>
  </si>
  <si>
    <t>795 00 65</t>
  </si>
  <si>
    <t>068</t>
  </si>
  <si>
    <t>795 19 14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</si>
  <si>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</si>
  <si>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</si>
  <si>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</si>
  <si>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</si>
  <si>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</si>
  <si>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2008-2010гг. за счет субсидии из областного бюджета"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</si>
  <si>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</si>
  <si>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</si>
  <si>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</si>
  <si>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</si>
  <si>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</si>
  <si>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</si>
  <si>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286</t>
  </si>
  <si>
    <t>Управление внутренних дел по Миасскому городскому округу</t>
  </si>
  <si>
    <t>188</t>
  </si>
  <si>
    <t>288</t>
  </si>
  <si>
    <t>433 99 01</t>
  </si>
  <si>
    <t>Расходы на решение вопросов местного значения в сфере образования</t>
  </si>
  <si>
    <t>Областная целевая программа "Социальная поддержка инвалидов в Челябинской области" на 2007-2010 годы за счет субсидии из областного бюджета</t>
  </si>
  <si>
    <t>522 06 00</t>
  </si>
  <si>
    <t>Областная целевая Программа реализации национального проекта "Образование" в Челябинской области</t>
  </si>
  <si>
    <t>289</t>
  </si>
  <si>
    <t>290</t>
  </si>
  <si>
    <t xml:space="preserve">522 00 00 </t>
  </si>
  <si>
    <t>455</t>
  </si>
  <si>
    <t>к решению Собрания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</si>
  <si>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</si>
  <si>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</si>
  <si>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</si>
  <si>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</si>
  <si>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</si>
  <si>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</si>
  <si>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</si>
  <si>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</si>
  <si>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</si>
  <si>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</si>
  <si>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</si>
  <si>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</si>
  <si>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</si>
  <si>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</si>
  <si>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</si>
  <si>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</si>
  <si>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</si>
  <si>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</si>
  <si>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</si>
  <si>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</si>
  <si>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</si>
  <si>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</si>
  <si>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</si>
  <si>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</si>
  <si>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 xml:space="preserve">04 </t>
  </si>
  <si>
    <t>Реализация мер социальной поддержки отдельных категорий граждан</t>
  </si>
  <si>
    <t>505 55 00</t>
  </si>
  <si>
    <t>Расходы за счет субвенций из областного бюджета на государственную поддержку в сфере образования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</si>
  <si>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</si>
  <si>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</si>
  <si>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</si>
  <si>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</si>
  <si>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452 99 08</t>
  </si>
  <si>
    <t>452 99 68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</si>
  <si>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</si>
  <si>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522 08 00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</si>
  <si>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</si>
  <si>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</si>
  <si>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079</t>
  </si>
  <si>
    <t>522 16 00</t>
  </si>
  <si>
    <t>436 01 00</t>
  </si>
  <si>
    <t>Программа "Безопасность образовательного учреждения МГО на 2010-2012" Ремонт и противопожарные мероприятия в образовательных учреждениях муниципальных образований за счет средств местного бюджета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</si>
  <si>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Челябинской области")</t>
  </si>
  <si>
    <t xml:space="preserve">Закупка для государственных нужд техники,
производимой на территории Российской Федерации
</t>
  </si>
  <si>
    <t>340 07 00</t>
  </si>
  <si>
    <t xml:space="preserve">Закупка автотранспортных средств
и коммунальной техники
</t>
  </si>
  <si>
    <t>340 07 02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</si>
  <si>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</si>
  <si>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</si>
  <si>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</si>
  <si>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</si>
  <si>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</si>
  <si>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</si>
  <si>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</si>
  <si>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</si>
  <si>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</si>
  <si>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</si>
  <si>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</si>
  <si>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</si>
  <si>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</si>
  <si>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</si>
  <si>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>Социальные выплаты</t>
  </si>
  <si>
    <t>005</t>
  </si>
  <si>
    <t xml:space="preserve">795 00 00 </t>
  </si>
  <si>
    <t>795 00 64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</si>
  <si>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</si>
  <si>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</si>
  <si>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>Реализация НП "Образование" в Челябинской области</t>
  </si>
  <si>
    <t xml:space="preserve">07 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</si>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</sst>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1"/>
      <color indexed="8"/>
      <name val="Arial Cyr"/>
      <family val="0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 Cyr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Fill="1" applyBorder="1" applyAlignment="1">
      <alignment horizontal="center"/>
    </xf>
    <xf numFmtId="49" fontId="6" fillId="0" borderId="14" xfId="0" applyNumberFormat="1" applyFont="1" applyBorder="1" applyAlignment="1">
      <alignment vertical="justify"/>
    </xf>
    <xf numFmtId="0" fontId="6" fillId="0" borderId="15" xfId="0" applyFont="1" applyBorder="1" applyAlignment="1">
      <alignment vertical="justify"/>
    </xf>
    <xf numFmtId="0" fontId="6" fillId="0" borderId="16" xfId="0" applyFont="1" applyBorder="1" applyAlignment="1">
      <alignment vertical="justify"/>
    </xf>
    <xf numFmtId="0" fontId="0" fillId="0" borderId="17" xfId="0" applyFill="1" applyBorder="1" applyAlignment="1">
      <alignment horizontal="center" vertical="justify"/>
    </xf>
    <xf numFmtId="164" fontId="4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64" fontId="8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0" fontId="0" fillId="24" borderId="0" xfId="0" applyFill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 wrapText="1"/>
    </xf>
    <xf numFmtId="0" fontId="0" fillId="0" borderId="0" xfId="0" applyFill="1" applyAlignment="1">
      <alignment/>
    </xf>
    <xf numFmtId="164" fontId="4" fillId="0" borderId="19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64" fontId="8" fillId="0" borderId="19" xfId="0" applyNumberFormat="1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19" xfId="0" applyNumberFormat="1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65" fontId="8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wrapText="1"/>
    </xf>
    <xf numFmtId="0" fontId="15" fillId="24" borderId="0" xfId="0" applyFont="1" applyFill="1" applyAlignment="1">
      <alignment/>
    </xf>
    <xf numFmtId="0" fontId="5" fillId="0" borderId="0" xfId="0" applyFont="1" applyAlignment="1">
      <alignment/>
    </xf>
    <xf numFmtId="0" fontId="0" fillId="24" borderId="0" xfId="0" applyFont="1" applyFill="1" applyAlignment="1">
      <alignment/>
    </xf>
    <xf numFmtId="0" fontId="3" fillId="0" borderId="0" xfId="0" applyFont="1" applyFill="1" applyAlignment="1">
      <alignment/>
    </xf>
    <xf numFmtId="164" fontId="8" fillId="0" borderId="21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4" fillId="0" borderId="22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/>
    </xf>
    <xf numFmtId="164" fontId="4" fillId="0" borderId="17" xfId="0" applyNumberFormat="1" applyFont="1" applyFill="1" applyBorder="1" applyAlignment="1">
      <alignment horizontal="center"/>
    </xf>
    <xf numFmtId="49" fontId="0" fillId="0" borderId="23" xfId="0" applyNumberFormat="1" applyBorder="1" applyAlignment="1">
      <alignment/>
    </xf>
    <xf numFmtId="49" fontId="0" fillId="0" borderId="23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164" fontId="8" fillId="0" borderId="13" xfId="0" applyNumberFormat="1" applyFon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165" fontId="8" fillId="0" borderId="19" xfId="0" applyNumberFormat="1" applyFont="1" applyFill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165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49" fontId="5" fillId="0" borderId="34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49" fontId="6" fillId="0" borderId="37" xfId="0" applyNumberFormat="1" applyFont="1" applyBorder="1" applyAlignment="1">
      <alignment vertical="justify"/>
    </xf>
    <xf numFmtId="0" fontId="6" fillId="0" borderId="38" xfId="0" applyFont="1" applyBorder="1" applyAlignment="1">
      <alignment vertical="justify"/>
    </xf>
    <xf numFmtId="0" fontId="6" fillId="0" borderId="39" xfId="0" applyFont="1" applyBorder="1" applyAlignment="1">
      <alignment vertical="justify"/>
    </xf>
    <xf numFmtId="164" fontId="4" fillId="0" borderId="40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4" fontId="8" fillId="24" borderId="19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4" fontId="8" fillId="0" borderId="21" xfId="0" applyNumberFormat="1" applyFont="1" applyFill="1" applyBorder="1" applyAlignment="1">
      <alignment horizontal="center"/>
    </xf>
    <xf numFmtId="49" fontId="0" fillId="0" borderId="41" xfId="0" applyNumberFormat="1" applyBorder="1" applyAlignment="1">
      <alignment/>
    </xf>
    <xf numFmtId="49" fontId="0" fillId="0" borderId="41" xfId="0" applyNumberFormat="1" applyBorder="1" applyAlignment="1">
      <alignment horizontal="center"/>
    </xf>
    <xf numFmtId="49" fontId="0" fillId="0" borderId="42" xfId="0" applyNumberFormat="1" applyBorder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164" fontId="8" fillId="0" borderId="19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0" fillId="0" borderId="37" xfId="0" applyFont="1" applyBorder="1" applyAlignment="1">
      <alignment horizontal="left" wrapText="1"/>
    </xf>
    <xf numFmtId="0" fontId="8" fillId="0" borderId="44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37" xfId="0" applyFont="1" applyBorder="1" applyAlignment="1">
      <alignment wrapText="1"/>
    </xf>
    <xf numFmtId="0" fontId="10" fillId="0" borderId="20" xfId="0" applyNumberFormat="1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24" borderId="20" xfId="0" applyFont="1" applyFill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43" fontId="0" fillId="0" borderId="0" xfId="59" applyFont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59" applyFont="1" applyFill="1" applyAlignment="1">
      <alignment horizontal="center"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6" xfId="0" applyFont="1" applyBorder="1" applyAlignment="1">
      <alignment vertical="center" wrapText="1"/>
    </xf>
    <xf numFmtId="49" fontId="7" fillId="24" borderId="27" xfId="0" applyNumberFormat="1" applyFont="1" applyFill="1" applyBorder="1" applyAlignment="1">
      <alignment horizontal="left" vertical="center" wrapText="1"/>
    </xf>
    <xf numFmtId="164" fontId="8" fillId="0" borderId="1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8" fillId="0" borderId="19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164" fontId="0" fillId="0" borderId="0" xfId="0" applyNumberFormat="1" applyFill="1" applyAlignment="1">
      <alignment/>
    </xf>
    <xf numFmtId="0" fontId="5" fillId="0" borderId="2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49" fontId="10" fillId="0" borderId="47" xfId="0" applyNumberFormat="1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164" fontId="0" fillId="0" borderId="19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5" fillId="24" borderId="20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0" fillId="24" borderId="20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164" fontId="8" fillId="24" borderId="28" xfId="0" applyNumberFormat="1" applyFont="1" applyFill="1" applyBorder="1" applyAlignment="1">
      <alignment horizontal="center"/>
    </xf>
    <xf numFmtId="164" fontId="8" fillId="24" borderId="48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7" fillId="0" borderId="49" xfId="0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49" fontId="5" fillId="0" borderId="51" xfId="0" applyNumberFormat="1" applyFont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5" fillId="24" borderId="51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49" fontId="10" fillId="0" borderId="20" xfId="0" applyNumberFormat="1" applyFont="1" applyFill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51" xfId="0" applyNumberFormat="1" applyFont="1" applyBorder="1" applyAlignment="1">
      <alignment horizontal="left" vertical="center" wrapText="1"/>
    </xf>
    <xf numFmtId="49" fontId="5" fillId="0" borderId="48" xfId="0" applyNumberFormat="1" applyFont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49" fontId="10" fillId="0" borderId="48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 vertical="center" wrapText="1"/>
    </xf>
    <xf numFmtId="49" fontId="0" fillId="24" borderId="51" xfId="0" applyNumberFormat="1" applyFont="1" applyFill="1" applyBorder="1" applyAlignment="1">
      <alignment horizontal="left" vertical="center" wrapText="1"/>
    </xf>
    <xf numFmtId="49" fontId="5" fillId="24" borderId="27" xfId="0" applyNumberFormat="1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49" fontId="10" fillId="0" borderId="51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49" fontId="5" fillId="0" borderId="51" xfId="0" applyNumberFormat="1" applyFont="1" applyBorder="1" applyAlignment="1">
      <alignment horizontal="left" vertical="center" wrapText="1"/>
    </xf>
    <xf numFmtId="49" fontId="11" fillId="0" borderId="51" xfId="0" applyNumberFormat="1" applyFont="1" applyBorder="1" applyAlignment="1">
      <alignment horizontal="left" vertical="center" wrapText="1"/>
    </xf>
    <xf numFmtId="49" fontId="5" fillId="24" borderId="27" xfId="0" applyNumberFormat="1" applyFont="1" applyFill="1" applyBorder="1" applyAlignment="1">
      <alignment horizontal="left" vertical="center" wrapText="1"/>
    </xf>
    <xf numFmtId="49" fontId="5" fillId="24" borderId="51" xfId="0" applyNumberFormat="1" applyFont="1" applyFill="1" applyBorder="1" applyAlignment="1">
      <alignment horizontal="left" vertical="center" wrapText="1"/>
    </xf>
    <xf numFmtId="49" fontId="15" fillId="24" borderId="27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0" fontId="9" fillId="24" borderId="20" xfId="0" applyFont="1" applyFill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3" fontId="10" fillId="0" borderId="27" xfId="0" applyNumberFormat="1" applyFont="1" applyBorder="1" applyAlignment="1">
      <alignment horizontal="left" vertical="center" wrapText="1"/>
    </xf>
    <xf numFmtId="49" fontId="7" fillId="0" borderId="51" xfId="0" applyNumberFormat="1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49" fontId="10" fillId="0" borderId="37" xfId="0" applyNumberFormat="1" applyFont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left" vertical="center" wrapText="1"/>
    </xf>
    <xf numFmtId="49" fontId="5" fillId="0" borderId="52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8" fillId="24" borderId="19" xfId="0" applyNumberFormat="1" applyFont="1" applyFill="1" applyBorder="1" applyAlignment="1">
      <alignment horizontal="center" vertical="center" wrapText="1"/>
    </xf>
    <xf numFmtId="164" fontId="13" fillId="0" borderId="19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64" fontId="8" fillId="24" borderId="18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49" fontId="7" fillId="0" borderId="53" xfId="0" applyNumberFormat="1" applyFont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51" xfId="0" applyNumberFormat="1" applyFont="1" applyFill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left" vertical="center" wrapText="1"/>
    </xf>
    <xf numFmtId="49" fontId="7" fillId="24" borderId="51" xfId="0" applyNumberFormat="1" applyFont="1" applyFill="1" applyBorder="1" applyAlignment="1">
      <alignment horizontal="left" vertical="center" wrapText="1"/>
    </xf>
    <xf numFmtId="49" fontId="11" fillId="0" borderId="51" xfId="0" applyNumberFormat="1" applyFont="1" applyFill="1" applyBorder="1" applyAlignment="1">
      <alignment horizontal="left" vertical="center" wrapText="1"/>
    </xf>
    <xf numFmtId="49" fontId="2" fillId="0" borderId="51" xfId="0" applyNumberFormat="1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49" fontId="10" fillId="0" borderId="52" xfId="0" applyNumberFormat="1" applyFont="1" applyBorder="1" applyAlignment="1">
      <alignment horizontal="left" vertical="center" wrapText="1"/>
    </xf>
    <xf numFmtId="49" fontId="2" fillId="0" borderId="52" xfId="0" applyNumberFormat="1" applyFont="1" applyBorder="1" applyAlignment="1">
      <alignment horizontal="left" vertical="center" wrapText="1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164" fontId="8" fillId="24" borderId="19" xfId="0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0" fontId="7" fillId="0" borderId="44" xfId="0" applyNumberFormat="1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justify" vertical="top" wrapText="1"/>
    </xf>
    <xf numFmtId="49" fontId="10" fillId="0" borderId="27" xfId="0" applyNumberFormat="1" applyFont="1" applyBorder="1" applyAlignment="1">
      <alignment horizontal="left" vertical="top" wrapText="1"/>
    </xf>
    <xf numFmtId="49" fontId="10" fillId="0" borderId="27" xfId="0" applyNumberFormat="1" applyFont="1" applyBorder="1" applyAlignment="1">
      <alignment horizontal="left" wrapText="1"/>
    </xf>
    <xf numFmtId="49" fontId="10" fillId="0" borderId="51" xfId="0" applyNumberFormat="1" applyFont="1" applyBorder="1" applyAlignment="1">
      <alignment horizontal="left" wrapText="1"/>
    </xf>
    <xf numFmtId="0" fontId="5" fillId="0" borderId="20" xfId="0" applyFont="1" applyBorder="1" applyAlignment="1">
      <alignment vertical="center" wrapText="1"/>
    </xf>
    <xf numFmtId="49" fontId="5" fillId="0" borderId="51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left"/>
    </xf>
    <xf numFmtId="0" fontId="9" fillId="0" borderId="20" xfId="0" applyFont="1" applyBorder="1" applyAlignment="1">
      <alignment vertical="center" wrapText="1"/>
    </xf>
    <xf numFmtId="49" fontId="5" fillId="0" borderId="27" xfId="0" applyNumberFormat="1" applyFont="1" applyBorder="1" applyAlignment="1">
      <alignment/>
    </xf>
    <xf numFmtId="49" fontId="5" fillId="0" borderId="27" xfId="0" applyNumberFormat="1" applyFont="1" applyFill="1" applyBorder="1" applyAlignment="1">
      <alignment horizontal="left"/>
    </xf>
    <xf numFmtId="49" fontId="5" fillId="0" borderId="27" xfId="0" applyNumberFormat="1" applyFont="1" applyBorder="1" applyAlignment="1">
      <alignment horizontal="left"/>
    </xf>
    <xf numFmtId="49" fontId="5" fillId="0" borderId="51" xfId="0" applyNumberFormat="1" applyFont="1" applyFill="1" applyBorder="1" applyAlignment="1">
      <alignment horizontal="left"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6" fontId="0" fillId="24" borderId="0" xfId="0" applyNumberFormat="1" applyFill="1" applyAlignment="1">
      <alignment/>
    </xf>
    <xf numFmtId="166" fontId="5" fillId="0" borderId="0" xfId="0" applyNumberFormat="1" applyFont="1" applyAlignment="1">
      <alignment/>
    </xf>
    <xf numFmtId="166" fontId="0" fillId="0" borderId="0" xfId="0" applyNumberFormat="1" applyFill="1" applyAlignment="1">
      <alignment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wrapText="1"/>
    </xf>
    <xf numFmtId="166" fontId="11" fillId="0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5" fillId="0" borderId="0" xfId="0" applyNumberFormat="1" applyFont="1" applyFill="1" applyAlignment="1">
      <alignment/>
    </xf>
    <xf numFmtId="166" fontId="5" fillId="0" borderId="0" xfId="0" applyNumberFormat="1" applyFont="1" applyAlignment="1">
      <alignment/>
    </xf>
    <xf numFmtId="166" fontId="15" fillId="24" borderId="0" xfId="0" applyNumberFormat="1" applyFont="1" applyFill="1" applyAlignment="1">
      <alignment/>
    </xf>
    <xf numFmtId="166" fontId="0" fillId="24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Fill="1" applyAlignment="1">
      <alignment horizontal="left" wrapText="1"/>
    </xf>
    <xf numFmtId="0" fontId="5" fillId="0" borderId="1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141">
          <cell r="F141" t="str">
            <v>003</v>
          </cell>
        </row>
        <row r="180">
          <cell r="F180" t="str">
            <v>500</v>
          </cell>
        </row>
        <row r="241">
          <cell r="F241" t="str">
            <v>003</v>
          </cell>
        </row>
        <row r="701">
          <cell r="F701" t="str">
            <v>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5"/>
  <sheetViews>
    <sheetView tabSelected="1" zoomScalePageLayoutView="0" workbookViewId="0" topLeftCell="A1">
      <selection activeCell="G2" sqref="G2"/>
    </sheetView>
  </sheetViews>
  <sheetFormatPr defaultColWidth="9.125" defaultRowHeight="12.75"/>
  <cols>
    <col min="1" max="1" width="63.25390625" style="96" customWidth="1"/>
    <col min="2" max="2" width="6.125" style="1" customWidth="1"/>
    <col min="3" max="3" width="7.75390625" style="0" customWidth="1"/>
    <col min="4" max="4" width="6.875" style="0" customWidth="1"/>
    <col min="5" max="5" width="12.25390625" style="0" customWidth="1"/>
    <col min="6" max="6" width="8.125" style="0" customWidth="1"/>
    <col min="7" max="7" width="13.25390625" style="3" customWidth="1"/>
    <col min="8" max="8" width="6.125" style="3" hidden="1" customWidth="1"/>
    <col min="9" max="9" width="10.25390625" style="3" hidden="1" customWidth="1"/>
    <col min="10" max="10" width="13.25390625" style="246" hidden="1" customWidth="1"/>
    <col min="11" max="11" width="11.625" style="0" hidden="1" customWidth="1"/>
    <col min="12" max="13" width="11.375" style="0" hidden="1" customWidth="1"/>
    <col min="14" max="14" width="5.125" style="0" customWidth="1"/>
    <col min="15" max="15" width="9.125" style="0" hidden="1" customWidth="1"/>
    <col min="16" max="16" width="9.125" style="0" customWidth="1"/>
  </cols>
  <sheetData>
    <row r="1" spans="6:7" ht="12.75">
      <c r="F1" s="25" t="s">
        <v>429</v>
      </c>
      <c r="G1" s="89"/>
    </row>
    <row r="2" spans="6:7" ht="12.75">
      <c r="F2" s="4" t="s">
        <v>970</v>
      </c>
      <c r="G2" s="89"/>
    </row>
    <row r="3" spans="6:7" ht="12" customHeight="1">
      <c r="F3" s="4" t="s">
        <v>971</v>
      </c>
      <c r="G3" s="89"/>
    </row>
    <row r="4" spans="6:7" ht="12.75" customHeight="1">
      <c r="F4" s="4" t="s">
        <v>972</v>
      </c>
      <c r="G4" s="89"/>
    </row>
    <row r="5" spans="6:9" ht="15" customHeight="1">
      <c r="F5" s="266" t="s">
        <v>433</v>
      </c>
      <c r="G5" s="266"/>
      <c r="H5" s="5"/>
      <c r="I5" s="5"/>
    </row>
    <row r="6" spans="2:6" ht="20.25" customHeight="1">
      <c r="B6" s="6" t="s">
        <v>255</v>
      </c>
      <c r="F6" s="4"/>
    </row>
    <row r="7" spans="2:6" ht="12.75">
      <c r="B7" s="6" t="s">
        <v>973</v>
      </c>
      <c r="F7" s="7"/>
    </row>
    <row r="8" spans="2:6" ht="12.75">
      <c r="B8" s="6" t="s">
        <v>974</v>
      </c>
      <c r="F8" s="7"/>
    </row>
    <row r="9" ht="12.75">
      <c r="B9" s="8" t="s">
        <v>975</v>
      </c>
    </row>
    <row r="10" spans="2:9" ht="15.75" customHeight="1" thickBot="1">
      <c r="B10" s="9"/>
      <c r="G10" s="5"/>
      <c r="H10" s="5"/>
      <c r="I10" s="5"/>
    </row>
    <row r="11" spans="1:15" ht="15" thickBot="1">
      <c r="A11" s="97" t="s">
        <v>976</v>
      </c>
      <c r="B11" s="10" t="s">
        <v>977</v>
      </c>
      <c r="C11" s="11"/>
      <c r="D11" s="12"/>
      <c r="E11" s="12"/>
      <c r="F11" s="12"/>
      <c r="G11" s="13" t="s">
        <v>978</v>
      </c>
      <c r="H11" s="13" t="s">
        <v>979</v>
      </c>
      <c r="I11" s="13" t="s">
        <v>980</v>
      </c>
      <c r="O11" s="95"/>
    </row>
    <row r="12" spans="1:9" ht="39.75" customHeight="1" thickBot="1">
      <c r="A12" s="98"/>
      <c r="B12" s="14" t="s">
        <v>981</v>
      </c>
      <c r="C12" s="15" t="s">
        <v>982</v>
      </c>
      <c r="D12" s="15" t="s">
        <v>983</v>
      </c>
      <c r="E12" s="15" t="s">
        <v>984</v>
      </c>
      <c r="F12" s="16" t="s">
        <v>233</v>
      </c>
      <c r="G12" s="17" t="s">
        <v>256</v>
      </c>
      <c r="H12" s="17" t="s">
        <v>234</v>
      </c>
      <c r="I12" s="17" t="s">
        <v>235</v>
      </c>
    </row>
    <row r="13" spans="1:12" s="19" customFormat="1" ht="15.75">
      <c r="A13" s="233" t="s">
        <v>236</v>
      </c>
      <c r="B13" s="212"/>
      <c r="C13" s="212" t="s">
        <v>237</v>
      </c>
      <c r="D13" s="212"/>
      <c r="E13" s="212"/>
      <c r="F13" s="213"/>
      <c r="G13" s="223">
        <f>SUM(G14+G18+G51+G72+G75+G93+G97+G89+G83)</f>
        <v>203498</v>
      </c>
      <c r="H13" s="18" t="e">
        <f>SUM(H14+H18+H51+H72+H75+H93+H97+H89+H83)</f>
        <v>#REF!</v>
      </c>
      <c r="I13" s="18" t="e">
        <f>SUM(H13/G13*100)</f>
        <v>#REF!</v>
      </c>
      <c r="J13" s="247"/>
      <c r="K13" s="111">
        <f>SUM(J14:J141)</f>
        <v>203497.99999999994</v>
      </c>
      <c r="L13" s="19">
        <f>SUM('ведомствен.2013'!G12+'ведомствен.2013'!G42+'ведомствен.2013'!G236+'ведомствен.2013'!G670+'ведомствен.2013'!G707+'ведомствен.2013'!G986)</f>
        <v>203497.99999999997</v>
      </c>
    </row>
    <row r="14" spans="1:15" ht="28.5">
      <c r="A14" s="130" t="s">
        <v>238</v>
      </c>
      <c r="B14" s="155"/>
      <c r="C14" s="155" t="s">
        <v>237</v>
      </c>
      <c r="D14" s="155" t="s">
        <v>239</v>
      </c>
      <c r="E14" s="155"/>
      <c r="F14" s="156"/>
      <c r="G14" s="30">
        <f>SUM(G15)</f>
        <v>1615</v>
      </c>
      <c r="H14" s="20">
        <f>SUM(H15)</f>
        <v>983.5</v>
      </c>
      <c r="I14" s="20">
        <f>SUM(H14/G14*100)</f>
        <v>60.89783281733746</v>
      </c>
      <c r="O14" s="95">
        <f>SUM(G14+G18+G51+G75+G168)</f>
        <v>129058.09999999999</v>
      </c>
    </row>
    <row r="15" spans="1:9" ht="41.25" customHeight="1">
      <c r="A15" s="130" t="s">
        <v>594</v>
      </c>
      <c r="B15" s="155"/>
      <c r="C15" s="155" t="s">
        <v>237</v>
      </c>
      <c r="D15" s="155" t="s">
        <v>239</v>
      </c>
      <c r="E15" s="155" t="s">
        <v>595</v>
      </c>
      <c r="F15" s="156"/>
      <c r="G15" s="30">
        <f>SUM(G17:G17)</f>
        <v>1615</v>
      </c>
      <c r="H15" s="20">
        <f>SUM(H17:H17)</f>
        <v>983.5</v>
      </c>
      <c r="I15" s="20">
        <f aca="true" t="shared" si="0" ref="I15:I81">SUM(H15/G15*100)</f>
        <v>60.89783281733746</v>
      </c>
    </row>
    <row r="16" spans="1:9" ht="16.5" customHeight="1">
      <c r="A16" s="130" t="s">
        <v>596</v>
      </c>
      <c r="B16" s="155"/>
      <c r="C16" s="155" t="s">
        <v>237</v>
      </c>
      <c r="D16" s="155" t="s">
        <v>239</v>
      </c>
      <c r="E16" s="155" t="s">
        <v>597</v>
      </c>
      <c r="F16" s="156"/>
      <c r="G16" s="30">
        <f>SUM(G17)</f>
        <v>1615</v>
      </c>
      <c r="H16" s="20">
        <f>SUM(H17)</f>
        <v>983.5</v>
      </c>
      <c r="I16" s="20">
        <f t="shared" si="0"/>
        <v>60.89783281733746</v>
      </c>
    </row>
    <row r="17" spans="1:10" ht="19.5" customHeight="1">
      <c r="A17" s="130" t="s">
        <v>598</v>
      </c>
      <c r="B17" s="155"/>
      <c r="C17" s="155" t="s">
        <v>237</v>
      </c>
      <c r="D17" s="155" t="s">
        <v>239</v>
      </c>
      <c r="E17" s="155" t="s">
        <v>597</v>
      </c>
      <c r="F17" s="156" t="s">
        <v>599</v>
      </c>
      <c r="G17" s="30">
        <v>1615</v>
      </c>
      <c r="H17" s="20">
        <v>983.5</v>
      </c>
      <c r="I17" s="20">
        <f t="shared" si="0"/>
        <v>60.89783281733746</v>
      </c>
      <c r="J17" s="246">
        <f>SUM('ведомствен.2013'!G16)</f>
        <v>1615</v>
      </c>
    </row>
    <row r="18" spans="1:9" ht="44.25" customHeight="1">
      <c r="A18" s="130" t="s">
        <v>600</v>
      </c>
      <c r="B18" s="155"/>
      <c r="C18" s="155" t="s">
        <v>237</v>
      </c>
      <c r="D18" s="155" t="s">
        <v>601</v>
      </c>
      <c r="E18" s="155"/>
      <c r="F18" s="156"/>
      <c r="G18" s="30">
        <f>SUM(G19)</f>
        <v>10608.2</v>
      </c>
      <c r="H18" s="20">
        <f>SUM(H19)</f>
        <v>8231.8</v>
      </c>
      <c r="I18" s="20">
        <f t="shared" si="0"/>
        <v>77.59846156746667</v>
      </c>
    </row>
    <row r="19" spans="1:9" ht="42.75" customHeight="1">
      <c r="A19" s="130" t="s">
        <v>594</v>
      </c>
      <c r="B19" s="155"/>
      <c r="C19" s="155" t="s">
        <v>237</v>
      </c>
      <c r="D19" s="155" t="s">
        <v>601</v>
      </c>
      <c r="E19" s="155" t="s">
        <v>595</v>
      </c>
      <c r="F19" s="157"/>
      <c r="G19" s="30">
        <f>SUM(G20+G22)</f>
        <v>10608.2</v>
      </c>
      <c r="H19" s="20">
        <f>SUM(H20+H22)</f>
        <v>8231.8</v>
      </c>
      <c r="I19" s="20">
        <f t="shared" si="0"/>
        <v>77.59846156746667</v>
      </c>
    </row>
    <row r="20" spans="1:9" ht="15">
      <c r="A20" s="106" t="s">
        <v>602</v>
      </c>
      <c r="B20" s="155"/>
      <c r="C20" s="155" t="s">
        <v>603</v>
      </c>
      <c r="D20" s="155" t="s">
        <v>601</v>
      </c>
      <c r="E20" s="155" t="s">
        <v>604</v>
      </c>
      <c r="F20" s="157"/>
      <c r="G20" s="30">
        <f>SUM(G21)</f>
        <v>10608.2</v>
      </c>
      <c r="H20" s="20">
        <f>SUM(H21)</f>
        <v>8068.7</v>
      </c>
      <c r="I20" s="20">
        <f t="shared" si="0"/>
        <v>76.06097170113685</v>
      </c>
    </row>
    <row r="21" spans="1:10" ht="18" customHeight="1">
      <c r="A21" s="106" t="s">
        <v>598</v>
      </c>
      <c r="B21" s="155"/>
      <c r="C21" s="155" t="s">
        <v>237</v>
      </c>
      <c r="D21" s="155" t="s">
        <v>601</v>
      </c>
      <c r="E21" s="155" t="s">
        <v>604</v>
      </c>
      <c r="F21" s="156" t="s">
        <v>599</v>
      </c>
      <c r="G21" s="30">
        <v>10608.2</v>
      </c>
      <c r="H21" s="20">
        <v>8068.7</v>
      </c>
      <c r="I21" s="20">
        <f t="shared" si="0"/>
        <v>76.06097170113685</v>
      </c>
      <c r="J21" s="246">
        <f>SUM('ведомствен.2013'!G20)+'ведомствен.2013'!G711</f>
        <v>10608.2</v>
      </c>
    </row>
    <row r="22" spans="1:9" ht="28.5" customHeight="1" hidden="1">
      <c r="A22" s="106" t="s">
        <v>605</v>
      </c>
      <c r="B22" s="155"/>
      <c r="C22" s="155" t="s">
        <v>603</v>
      </c>
      <c r="D22" s="155" t="s">
        <v>601</v>
      </c>
      <c r="E22" s="155" t="s">
        <v>606</v>
      </c>
      <c r="F22" s="156"/>
      <c r="G22" s="30">
        <f>SUM(G23)</f>
        <v>0</v>
      </c>
      <c r="H22" s="20">
        <f>SUM(H23)</f>
        <v>163.10000000000002</v>
      </c>
      <c r="I22" s="20" t="e">
        <f t="shared" si="0"/>
        <v>#DIV/0!</v>
      </c>
    </row>
    <row r="23" spans="1:9" ht="21.75" customHeight="1" hidden="1">
      <c r="A23" s="106" t="s">
        <v>598</v>
      </c>
      <c r="B23" s="155"/>
      <c r="C23" s="155" t="s">
        <v>603</v>
      </c>
      <c r="D23" s="155" t="s">
        <v>601</v>
      </c>
      <c r="E23" s="155" t="s">
        <v>606</v>
      </c>
      <c r="F23" s="156" t="s">
        <v>599</v>
      </c>
      <c r="G23" s="30"/>
      <c r="H23" s="20">
        <f>913.5-750.4</f>
        <v>163.10000000000002</v>
      </c>
      <c r="I23" s="20" t="e">
        <f t="shared" si="0"/>
        <v>#DIV/0!</v>
      </c>
    </row>
    <row r="24" spans="1:9" ht="15" customHeight="1" hidden="1">
      <c r="A24" s="106" t="s">
        <v>607</v>
      </c>
      <c r="B24" s="155"/>
      <c r="C24" s="155" t="s">
        <v>237</v>
      </c>
      <c r="D24" s="155" t="s">
        <v>608</v>
      </c>
      <c r="E24" s="155"/>
      <c r="F24" s="157"/>
      <c r="G24" s="30">
        <f>SUM(G25)</f>
        <v>0</v>
      </c>
      <c r="H24" s="20">
        <f>SUM(H25)</f>
        <v>0</v>
      </c>
      <c r="I24" s="20" t="e">
        <f t="shared" si="0"/>
        <v>#DIV/0!</v>
      </c>
    </row>
    <row r="25" spans="1:9" ht="28.5" customHeight="1" hidden="1">
      <c r="A25" s="106" t="s">
        <v>609</v>
      </c>
      <c r="B25" s="155"/>
      <c r="C25" s="155" t="s">
        <v>237</v>
      </c>
      <c r="D25" s="155" t="s">
        <v>608</v>
      </c>
      <c r="E25" s="155" t="s">
        <v>610</v>
      </c>
      <c r="F25" s="158"/>
      <c r="G25" s="30">
        <f>SUM(G26)</f>
        <v>0</v>
      </c>
      <c r="H25" s="20">
        <f>SUM(H26)</f>
        <v>0</v>
      </c>
      <c r="I25" s="20" t="e">
        <f t="shared" si="0"/>
        <v>#DIV/0!</v>
      </c>
    </row>
    <row r="26" spans="1:9" ht="15" customHeight="1" hidden="1">
      <c r="A26" s="106" t="s">
        <v>611</v>
      </c>
      <c r="B26" s="155"/>
      <c r="C26" s="155" t="s">
        <v>237</v>
      </c>
      <c r="D26" s="155" t="s">
        <v>608</v>
      </c>
      <c r="E26" s="155" t="s">
        <v>610</v>
      </c>
      <c r="F26" s="158" t="s">
        <v>612</v>
      </c>
      <c r="G26" s="30"/>
      <c r="H26" s="20"/>
      <c r="I26" s="20" t="e">
        <f t="shared" si="0"/>
        <v>#DIV/0!</v>
      </c>
    </row>
    <row r="27" spans="1:10" s="22" customFormat="1" ht="15" customHeight="1" hidden="1">
      <c r="A27" s="106" t="s">
        <v>613</v>
      </c>
      <c r="B27" s="155"/>
      <c r="C27" s="155" t="s">
        <v>614</v>
      </c>
      <c r="D27" s="155"/>
      <c r="E27" s="155"/>
      <c r="F27" s="156"/>
      <c r="G27" s="30">
        <f aca="true" t="shared" si="1" ref="G27:H29">SUM(G28)</f>
        <v>0</v>
      </c>
      <c r="H27" s="20">
        <f t="shared" si="1"/>
        <v>0</v>
      </c>
      <c r="I27" s="20" t="e">
        <f t="shared" si="0"/>
        <v>#DIV/0!</v>
      </c>
      <c r="J27" s="248"/>
    </row>
    <row r="28" spans="1:10" s="22" customFormat="1" ht="15" customHeight="1" hidden="1">
      <c r="A28" s="106" t="s">
        <v>615</v>
      </c>
      <c r="B28" s="155"/>
      <c r="C28" s="155" t="s">
        <v>614</v>
      </c>
      <c r="D28" s="155" t="s">
        <v>614</v>
      </c>
      <c r="E28" s="155"/>
      <c r="F28" s="156"/>
      <c r="G28" s="30">
        <f t="shared" si="1"/>
        <v>0</v>
      </c>
      <c r="H28" s="20">
        <f t="shared" si="1"/>
        <v>0</v>
      </c>
      <c r="I28" s="20" t="e">
        <f t="shared" si="0"/>
        <v>#DIV/0!</v>
      </c>
      <c r="J28" s="248"/>
    </row>
    <row r="29" spans="1:10" s="22" customFormat="1" ht="28.5" customHeight="1" hidden="1">
      <c r="A29" s="106" t="s">
        <v>616</v>
      </c>
      <c r="B29" s="155"/>
      <c r="C29" s="155" t="s">
        <v>614</v>
      </c>
      <c r="D29" s="155" t="s">
        <v>614</v>
      </c>
      <c r="E29" s="155" t="s">
        <v>617</v>
      </c>
      <c r="F29" s="156"/>
      <c r="G29" s="30">
        <f t="shared" si="1"/>
        <v>0</v>
      </c>
      <c r="H29" s="20">
        <f t="shared" si="1"/>
        <v>0</v>
      </c>
      <c r="I29" s="20" t="e">
        <f t="shared" si="0"/>
        <v>#DIV/0!</v>
      </c>
      <c r="J29" s="248"/>
    </row>
    <row r="30" spans="1:10" s="22" customFormat="1" ht="15" customHeight="1" hidden="1">
      <c r="A30" s="106" t="s">
        <v>618</v>
      </c>
      <c r="B30" s="155"/>
      <c r="C30" s="155" t="s">
        <v>614</v>
      </c>
      <c r="D30" s="155" t="s">
        <v>614</v>
      </c>
      <c r="E30" s="155" t="s">
        <v>617</v>
      </c>
      <c r="F30" s="156" t="s">
        <v>619</v>
      </c>
      <c r="G30" s="30"/>
      <c r="H30" s="20"/>
      <c r="I30" s="20" t="e">
        <f t="shared" si="0"/>
        <v>#DIV/0!</v>
      </c>
      <c r="J30" s="248"/>
    </row>
    <row r="31" spans="1:10" s="22" customFormat="1" ht="15" customHeight="1" hidden="1">
      <c r="A31" s="128" t="s">
        <v>613</v>
      </c>
      <c r="B31" s="183"/>
      <c r="C31" s="171" t="s">
        <v>614</v>
      </c>
      <c r="D31" s="155"/>
      <c r="E31" s="155"/>
      <c r="F31" s="156"/>
      <c r="G31" s="30">
        <f aca="true" t="shared" si="2" ref="G31:H33">SUM(G32)</f>
        <v>0</v>
      </c>
      <c r="H31" s="20">
        <f t="shared" si="2"/>
        <v>0</v>
      </c>
      <c r="I31" s="20" t="e">
        <f t="shared" si="0"/>
        <v>#DIV/0!</v>
      </c>
      <c r="J31" s="248"/>
    </row>
    <row r="32" spans="1:10" s="22" customFormat="1" ht="15" customHeight="1" hidden="1">
      <c r="A32" s="106" t="s">
        <v>615</v>
      </c>
      <c r="B32" s="155"/>
      <c r="C32" s="155" t="s">
        <v>614</v>
      </c>
      <c r="D32" s="155" t="s">
        <v>614</v>
      </c>
      <c r="E32" s="155"/>
      <c r="F32" s="156"/>
      <c r="G32" s="30">
        <f t="shared" si="2"/>
        <v>0</v>
      </c>
      <c r="H32" s="20">
        <f t="shared" si="2"/>
        <v>0</v>
      </c>
      <c r="I32" s="20" t="e">
        <f t="shared" si="0"/>
        <v>#DIV/0!</v>
      </c>
      <c r="J32" s="248"/>
    </row>
    <row r="33" spans="1:10" s="22" customFormat="1" ht="28.5" customHeight="1" hidden="1">
      <c r="A33" s="106" t="s">
        <v>616</v>
      </c>
      <c r="B33" s="155"/>
      <c r="C33" s="155" t="s">
        <v>614</v>
      </c>
      <c r="D33" s="155" t="s">
        <v>614</v>
      </c>
      <c r="E33" s="155" t="s">
        <v>617</v>
      </c>
      <c r="F33" s="156"/>
      <c r="G33" s="30">
        <f t="shared" si="2"/>
        <v>0</v>
      </c>
      <c r="H33" s="20">
        <f t="shared" si="2"/>
        <v>0</v>
      </c>
      <c r="I33" s="20" t="e">
        <f t="shared" si="0"/>
        <v>#DIV/0!</v>
      </c>
      <c r="J33" s="248"/>
    </row>
    <row r="34" spans="1:10" s="22" customFormat="1" ht="15" customHeight="1" hidden="1">
      <c r="A34" s="106" t="s">
        <v>618</v>
      </c>
      <c r="B34" s="155"/>
      <c r="C34" s="155" t="s">
        <v>614</v>
      </c>
      <c r="D34" s="155" t="s">
        <v>614</v>
      </c>
      <c r="E34" s="155" t="s">
        <v>617</v>
      </c>
      <c r="F34" s="156" t="s">
        <v>619</v>
      </c>
      <c r="G34" s="30"/>
      <c r="H34" s="20"/>
      <c r="I34" s="20" t="e">
        <f t="shared" si="0"/>
        <v>#DIV/0!</v>
      </c>
      <c r="J34" s="248"/>
    </row>
    <row r="35" spans="1:10" s="23" customFormat="1" ht="15" customHeight="1" hidden="1">
      <c r="A35" s="106"/>
      <c r="B35" s="155"/>
      <c r="C35" s="155"/>
      <c r="D35" s="155"/>
      <c r="E35" s="155"/>
      <c r="F35" s="156"/>
      <c r="G35" s="30"/>
      <c r="H35" s="20"/>
      <c r="I35" s="20" t="e">
        <f t="shared" si="0"/>
        <v>#DIV/0!</v>
      </c>
      <c r="J35" s="249"/>
    </row>
    <row r="36" spans="1:9" ht="42.75" customHeight="1" hidden="1">
      <c r="A36" s="106" t="s">
        <v>620</v>
      </c>
      <c r="B36" s="155"/>
      <c r="C36" s="155" t="s">
        <v>237</v>
      </c>
      <c r="D36" s="155" t="s">
        <v>608</v>
      </c>
      <c r="E36" s="155" t="s">
        <v>621</v>
      </c>
      <c r="F36" s="156"/>
      <c r="G36" s="30">
        <f>SUM(G37)</f>
        <v>0</v>
      </c>
      <c r="H36" s="20">
        <f>SUM(H37)</f>
        <v>0</v>
      </c>
      <c r="I36" s="20" t="e">
        <f t="shared" si="0"/>
        <v>#DIV/0!</v>
      </c>
    </row>
    <row r="37" spans="1:9" ht="42.75" customHeight="1" hidden="1">
      <c r="A37" s="106" t="s">
        <v>622</v>
      </c>
      <c r="B37" s="155"/>
      <c r="C37" s="155" t="s">
        <v>237</v>
      </c>
      <c r="D37" s="155" t="s">
        <v>608</v>
      </c>
      <c r="E37" s="155" t="s">
        <v>621</v>
      </c>
      <c r="F37" s="156" t="s">
        <v>623</v>
      </c>
      <c r="G37" s="30"/>
      <c r="H37" s="20"/>
      <c r="I37" s="20" t="e">
        <f t="shared" si="0"/>
        <v>#DIV/0!</v>
      </c>
    </row>
    <row r="38" spans="1:9" ht="14.25" customHeight="1" hidden="1">
      <c r="A38" s="106" t="s">
        <v>624</v>
      </c>
      <c r="B38" s="155"/>
      <c r="C38" s="155" t="s">
        <v>625</v>
      </c>
      <c r="D38" s="155"/>
      <c r="E38" s="155"/>
      <c r="F38" s="157"/>
      <c r="G38" s="30">
        <f>SUM(G42+G39)</f>
        <v>0</v>
      </c>
      <c r="H38" s="20">
        <f>SUM(H42+H39)</f>
        <v>0</v>
      </c>
      <c r="I38" s="20" t="e">
        <f t="shared" si="0"/>
        <v>#DIV/0!</v>
      </c>
    </row>
    <row r="39" spans="1:9" ht="15" customHeight="1" hidden="1">
      <c r="A39" s="106" t="s">
        <v>626</v>
      </c>
      <c r="B39" s="155"/>
      <c r="C39" s="155" t="s">
        <v>625</v>
      </c>
      <c r="D39" s="155" t="s">
        <v>627</v>
      </c>
      <c r="E39" s="155"/>
      <c r="F39" s="157"/>
      <c r="G39" s="30">
        <f>SUM(G40)</f>
        <v>0</v>
      </c>
      <c r="H39" s="20">
        <f>SUM(H40)</f>
        <v>0</v>
      </c>
      <c r="I39" s="20" t="e">
        <f t="shared" si="0"/>
        <v>#DIV/0!</v>
      </c>
    </row>
    <row r="40" spans="1:9" ht="15" customHeight="1" hidden="1">
      <c r="A40" s="106" t="s">
        <v>628</v>
      </c>
      <c r="B40" s="155"/>
      <c r="C40" s="155" t="s">
        <v>625</v>
      </c>
      <c r="D40" s="155" t="s">
        <v>627</v>
      </c>
      <c r="E40" s="155" t="s">
        <v>162</v>
      </c>
      <c r="F40" s="156"/>
      <c r="G40" s="30">
        <f>SUM(G41)</f>
        <v>0</v>
      </c>
      <c r="H40" s="20">
        <f>SUM(H41)</f>
        <v>0</v>
      </c>
      <c r="I40" s="20" t="e">
        <f t="shared" si="0"/>
        <v>#DIV/0!</v>
      </c>
    </row>
    <row r="41" spans="1:9" ht="15" customHeight="1" hidden="1">
      <c r="A41" s="106" t="s">
        <v>163</v>
      </c>
      <c r="B41" s="155"/>
      <c r="C41" s="155" t="s">
        <v>625</v>
      </c>
      <c r="D41" s="155" t="s">
        <v>627</v>
      </c>
      <c r="E41" s="155" t="s">
        <v>162</v>
      </c>
      <c r="F41" s="156" t="s">
        <v>164</v>
      </c>
      <c r="G41" s="30"/>
      <c r="H41" s="20"/>
      <c r="I41" s="20" t="e">
        <f t="shared" si="0"/>
        <v>#DIV/0!</v>
      </c>
    </row>
    <row r="42" spans="1:9" ht="14.25" customHeight="1" hidden="1">
      <c r="A42" s="105" t="s">
        <v>165</v>
      </c>
      <c r="B42" s="159"/>
      <c r="C42" s="159" t="s">
        <v>625</v>
      </c>
      <c r="D42" s="159" t="s">
        <v>166</v>
      </c>
      <c r="E42" s="159"/>
      <c r="F42" s="157"/>
      <c r="G42" s="30">
        <f>SUM(G43+G45)</f>
        <v>0</v>
      </c>
      <c r="H42" s="20">
        <f>SUM(H43+H45)</f>
        <v>0</v>
      </c>
      <c r="I42" s="20" t="e">
        <f t="shared" si="0"/>
        <v>#DIV/0!</v>
      </c>
    </row>
    <row r="43" spans="1:9" ht="28.5" customHeight="1" hidden="1">
      <c r="A43" s="106" t="s">
        <v>167</v>
      </c>
      <c r="B43" s="155"/>
      <c r="C43" s="155" t="s">
        <v>625</v>
      </c>
      <c r="D43" s="155" t="s">
        <v>166</v>
      </c>
      <c r="E43" s="155" t="s">
        <v>168</v>
      </c>
      <c r="F43" s="157"/>
      <c r="G43" s="30">
        <f>SUM(G44)</f>
        <v>0</v>
      </c>
      <c r="H43" s="20">
        <f>SUM(H44)</f>
        <v>0</v>
      </c>
      <c r="I43" s="20" t="e">
        <f t="shared" si="0"/>
        <v>#DIV/0!</v>
      </c>
    </row>
    <row r="44" spans="1:9" ht="15" customHeight="1" hidden="1">
      <c r="A44" s="106" t="s">
        <v>193</v>
      </c>
      <c r="B44" s="155"/>
      <c r="C44" s="155" t="s">
        <v>625</v>
      </c>
      <c r="D44" s="155" t="s">
        <v>166</v>
      </c>
      <c r="E44" s="155" t="s">
        <v>168</v>
      </c>
      <c r="F44" s="157" t="s">
        <v>181</v>
      </c>
      <c r="G44" s="30"/>
      <c r="H44" s="20"/>
      <c r="I44" s="20" t="e">
        <f t="shared" si="0"/>
        <v>#DIV/0!</v>
      </c>
    </row>
    <row r="45" spans="1:9" ht="15" customHeight="1" hidden="1">
      <c r="A45" s="105" t="s">
        <v>182</v>
      </c>
      <c r="B45" s="159"/>
      <c r="C45" s="159" t="s">
        <v>625</v>
      </c>
      <c r="D45" s="159" t="s">
        <v>166</v>
      </c>
      <c r="E45" s="159" t="s">
        <v>183</v>
      </c>
      <c r="F45" s="157"/>
      <c r="G45" s="30">
        <f>SUM(G46)</f>
        <v>0</v>
      </c>
      <c r="H45" s="20">
        <f>SUM(H46)</f>
        <v>0</v>
      </c>
      <c r="I45" s="20" t="e">
        <f t="shared" si="0"/>
        <v>#DIV/0!</v>
      </c>
    </row>
    <row r="46" spans="1:9" ht="15" customHeight="1" hidden="1">
      <c r="A46" s="105" t="s">
        <v>184</v>
      </c>
      <c r="B46" s="159"/>
      <c r="C46" s="159" t="s">
        <v>625</v>
      </c>
      <c r="D46" s="159" t="s">
        <v>166</v>
      </c>
      <c r="E46" s="159" t="s">
        <v>183</v>
      </c>
      <c r="F46" s="157" t="s">
        <v>185</v>
      </c>
      <c r="G46" s="30"/>
      <c r="H46" s="20"/>
      <c r="I46" s="20" t="e">
        <f t="shared" si="0"/>
        <v>#DIV/0!</v>
      </c>
    </row>
    <row r="47" spans="1:9" ht="15" customHeight="1" hidden="1">
      <c r="A47" s="128" t="s">
        <v>613</v>
      </c>
      <c r="B47" s="183"/>
      <c r="C47" s="171" t="s">
        <v>614</v>
      </c>
      <c r="D47" s="155"/>
      <c r="E47" s="155"/>
      <c r="F47" s="156"/>
      <c r="G47" s="30">
        <f aca="true" t="shared" si="3" ref="G47:H49">SUM(G48)</f>
        <v>0</v>
      </c>
      <c r="H47" s="20">
        <f t="shared" si="3"/>
        <v>0</v>
      </c>
      <c r="I47" s="20" t="e">
        <f t="shared" si="0"/>
        <v>#DIV/0!</v>
      </c>
    </row>
    <row r="48" spans="1:9" ht="15" customHeight="1" hidden="1">
      <c r="A48" s="106" t="s">
        <v>615</v>
      </c>
      <c r="B48" s="155"/>
      <c r="C48" s="155" t="s">
        <v>614</v>
      </c>
      <c r="D48" s="155" t="s">
        <v>614</v>
      </c>
      <c r="E48" s="155"/>
      <c r="F48" s="156"/>
      <c r="G48" s="30">
        <f t="shared" si="3"/>
        <v>0</v>
      </c>
      <c r="H48" s="20">
        <f t="shared" si="3"/>
        <v>0</v>
      </c>
      <c r="I48" s="20" t="e">
        <f t="shared" si="0"/>
        <v>#DIV/0!</v>
      </c>
    </row>
    <row r="49" spans="1:9" ht="28.5" customHeight="1" hidden="1">
      <c r="A49" s="106" t="s">
        <v>616</v>
      </c>
      <c r="B49" s="155"/>
      <c r="C49" s="155" t="s">
        <v>614</v>
      </c>
      <c r="D49" s="155" t="s">
        <v>614</v>
      </c>
      <c r="E49" s="155" t="s">
        <v>617</v>
      </c>
      <c r="F49" s="156"/>
      <c r="G49" s="30">
        <f t="shared" si="3"/>
        <v>0</v>
      </c>
      <c r="H49" s="20">
        <f t="shared" si="3"/>
        <v>0</v>
      </c>
      <c r="I49" s="20" t="e">
        <f t="shared" si="0"/>
        <v>#DIV/0!</v>
      </c>
    </row>
    <row r="50" spans="1:9" ht="3.75" customHeight="1" hidden="1">
      <c r="A50" s="106" t="s">
        <v>618</v>
      </c>
      <c r="B50" s="155"/>
      <c r="C50" s="155" t="s">
        <v>614</v>
      </c>
      <c r="D50" s="155" t="s">
        <v>614</v>
      </c>
      <c r="E50" s="155" t="s">
        <v>617</v>
      </c>
      <c r="F50" s="156" t="s">
        <v>619</v>
      </c>
      <c r="G50" s="30"/>
      <c r="H50" s="20"/>
      <c r="I50" s="20" t="e">
        <f t="shared" si="0"/>
        <v>#DIV/0!</v>
      </c>
    </row>
    <row r="51" spans="1:9" ht="44.25" customHeight="1">
      <c r="A51" s="106" t="s">
        <v>411</v>
      </c>
      <c r="B51" s="155"/>
      <c r="C51" s="155" t="s">
        <v>237</v>
      </c>
      <c r="D51" s="155" t="s">
        <v>625</v>
      </c>
      <c r="E51" s="155"/>
      <c r="F51" s="156"/>
      <c r="G51" s="30">
        <f>SUM(G52)+G67+G65</f>
        <v>90093</v>
      </c>
      <c r="H51" s="20">
        <f>SUM(H52)+H67+H65</f>
        <v>52319.90000000001</v>
      </c>
      <c r="I51" s="20">
        <f t="shared" si="0"/>
        <v>58.07321323521252</v>
      </c>
    </row>
    <row r="52" spans="1:9" ht="45.75" customHeight="1">
      <c r="A52" s="106" t="s">
        <v>594</v>
      </c>
      <c r="B52" s="155"/>
      <c r="C52" s="155" t="s">
        <v>237</v>
      </c>
      <c r="D52" s="155" t="s">
        <v>625</v>
      </c>
      <c r="E52" s="155" t="s">
        <v>595</v>
      </c>
      <c r="F52" s="157"/>
      <c r="G52" s="30">
        <f>SUM(G53+G63)</f>
        <v>90093</v>
      </c>
      <c r="H52" s="20">
        <f>SUM(H53+H63)</f>
        <v>51899.200000000004</v>
      </c>
      <c r="I52" s="20">
        <f t="shared" si="0"/>
        <v>57.606251318082435</v>
      </c>
    </row>
    <row r="53" spans="1:9" ht="15">
      <c r="A53" s="106" t="s">
        <v>602</v>
      </c>
      <c r="B53" s="155"/>
      <c r="C53" s="155" t="s">
        <v>237</v>
      </c>
      <c r="D53" s="155" t="s">
        <v>625</v>
      </c>
      <c r="E53" s="155" t="s">
        <v>604</v>
      </c>
      <c r="F53" s="157"/>
      <c r="G53" s="30">
        <f>SUM(G54+G55+G57+G59++G61)</f>
        <v>88942</v>
      </c>
      <c r="H53" s="20">
        <f>SUM(H54:H54+H55+H57+H60)+H56</f>
        <v>51161.8</v>
      </c>
      <c r="I53" s="20">
        <f t="shared" si="0"/>
        <v>57.522655213509935</v>
      </c>
    </row>
    <row r="54" spans="1:10" ht="15">
      <c r="A54" s="106" t="s">
        <v>598</v>
      </c>
      <c r="B54" s="155"/>
      <c r="C54" s="155" t="s">
        <v>237</v>
      </c>
      <c r="D54" s="155" t="s">
        <v>625</v>
      </c>
      <c r="E54" s="155" t="s">
        <v>604</v>
      </c>
      <c r="F54" s="156" t="s">
        <v>599</v>
      </c>
      <c r="G54" s="30">
        <v>87001.9</v>
      </c>
      <c r="H54" s="20">
        <v>50612.1</v>
      </c>
      <c r="I54" s="20">
        <f t="shared" si="0"/>
        <v>58.17355712921213</v>
      </c>
      <c r="J54" s="246">
        <f>SUM('ведомствен.2013'!G240+'ведомствен.2013'!G989)+'ведомствен.2013'!G715</f>
        <v>87001.9</v>
      </c>
    </row>
    <row r="55" spans="1:9" ht="42.75">
      <c r="A55" s="106" t="s">
        <v>630</v>
      </c>
      <c r="B55" s="155"/>
      <c r="C55" s="155" t="s">
        <v>237</v>
      </c>
      <c r="D55" s="155" t="s">
        <v>625</v>
      </c>
      <c r="E55" s="155" t="s">
        <v>631</v>
      </c>
      <c r="F55" s="156"/>
      <c r="G55" s="30">
        <f>SUM(G56)</f>
        <v>1326</v>
      </c>
      <c r="H55" s="20">
        <v>507.8</v>
      </c>
      <c r="I55" s="20">
        <f t="shared" si="0"/>
        <v>38.29562594268477</v>
      </c>
    </row>
    <row r="56" spans="1:10" ht="23.25" customHeight="1">
      <c r="A56" s="106" t="s">
        <v>598</v>
      </c>
      <c r="B56" s="155"/>
      <c r="C56" s="155" t="s">
        <v>237</v>
      </c>
      <c r="D56" s="155" t="s">
        <v>625</v>
      </c>
      <c r="E56" s="155" t="s">
        <v>631</v>
      </c>
      <c r="F56" s="156" t="s">
        <v>599</v>
      </c>
      <c r="G56" s="30">
        <v>1326</v>
      </c>
      <c r="H56" s="20"/>
      <c r="I56" s="20">
        <f t="shared" si="0"/>
        <v>0</v>
      </c>
      <c r="J56" s="246">
        <f>SUM('ведомствен.2013'!G242)</f>
        <v>1326</v>
      </c>
    </row>
    <row r="57" spans="1:9" ht="53.25" customHeight="1">
      <c r="A57" s="106" t="s">
        <v>124</v>
      </c>
      <c r="B57" s="155"/>
      <c r="C57" s="155" t="s">
        <v>237</v>
      </c>
      <c r="D57" s="155" t="s">
        <v>625</v>
      </c>
      <c r="E57" s="155" t="s">
        <v>125</v>
      </c>
      <c r="F57" s="156"/>
      <c r="G57" s="30">
        <f>SUM(G58)</f>
        <v>90.3</v>
      </c>
      <c r="H57" s="20">
        <v>41.9</v>
      </c>
      <c r="I57" s="20">
        <f t="shared" si="0"/>
        <v>46.40088593576966</v>
      </c>
    </row>
    <row r="58" spans="1:10" ht="20.25" customHeight="1">
      <c r="A58" s="106" t="s">
        <v>598</v>
      </c>
      <c r="B58" s="155"/>
      <c r="C58" s="155" t="s">
        <v>237</v>
      </c>
      <c r="D58" s="155" t="s">
        <v>625</v>
      </c>
      <c r="E58" s="155" t="s">
        <v>125</v>
      </c>
      <c r="F58" s="156" t="s">
        <v>599</v>
      </c>
      <c r="G58" s="30">
        <v>90.3</v>
      </c>
      <c r="H58" s="20"/>
      <c r="I58" s="20">
        <f>SUM(H58/G58*100)</f>
        <v>0</v>
      </c>
      <c r="J58" s="246">
        <f>SUM('ведомствен.2013'!G245)</f>
        <v>90.3</v>
      </c>
    </row>
    <row r="59" spans="1:9" ht="38.25" customHeight="1">
      <c r="A59" s="105" t="s">
        <v>489</v>
      </c>
      <c r="B59" s="159"/>
      <c r="C59" s="159" t="s">
        <v>237</v>
      </c>
      <c r="D59" s="159" t="s">
        <v>625</v>
      </c>
      <c r="E59" s="159" t="s">
        <v>490</v>
      </c>
      <c r="F59" s="156"/>
      <c r="G59" s="30">
        <f>SUM(G60)</f>
        <v>179.5</v>
      </c>
      <c r="H59" s="20"/>
      <c r="I59" s="20"/>
    </row>
    <row r="60" spans="1:10" ht="20.25" customHeight="1">
      <c r="A60" s="106" t="s">
        <v>598</v>
      </c>
      <c r="B60" s="159"/>
      <c r="C60" s="159" t="s">
        <v>237</v>
      </c>
      <c r="D60" s="159" t="s">
        <v>625</v>
      </c>
      <c r="E60" s="159" t="s">
        <v>490</v>
      </c>
      <c r="F60" s="156" t="s">
        <v>599</v>
      </c>
      <c r="G60" s="30">
        <v>179.5</v>
      </c>
      <c r="H60" s="20"/>
      <c r="I60" s="20">
        <f t="shared" si="0"/>
        <v>0</v>
      </c>
      <c r="J60" s="246">
        <f>SUM('ведомствен.2013'!G247)</f>
        <v>179.5</v>
      </c>
    </row>
    <row r="61" spans="1:9" ht="34.5" customHeight="1">
      <c r="A61" s="105" t="s">
        <v>676</v>
      </c>
      <c r="B61" s="159"/>
      <c r="C61" s="159" t="s">
        <v>237</v>
      </c>
      <c r="D61" s="159" t="s">
        <v>625</v>
      </c>
      <c r="E61" s="159" t="s">
        <v>677</v>
      </c>
      <c r="F61" s="157"/>
      <c r="G61" s="30">
        <f>SUM(G62)</f>
        <v>344.3</v>
      </c>
      <c r="H61" s="20"/>
      <c r="I61" s="20"/>
    </row>
    <row r="62" spans="1:10" ht="20.25" customHeight="1">
      <c r="A62" s="106" t="s">
        <v>598</v>
      </c>
      <c r="B62" s="159"/>
      <c r="C62" s="159" t="s">
        <v>237</v>
      </c>
      <c r="D62" s="159" t="s">
        <v>625</v>
      </c>
      <c r="E62" s="159" t="s">
        <v>677</v>
      </c>
      <c r="F62" s="157" t="s">
        <v>599</v>
      </c>
      <c r="G62" s="30">
        <v>344.3</v>
      </c>
      <c r="H62" s="20"/>
      <c r="I62" s="20"/>
      <c r="J62" s="246">
        <f>SUM('ведомствен.2013'!G250)</f>
        <v>344.3</v>
      </c>
    </row>
    <row r="63" spans="1:9" ht="28.5">
      <c r="A63" s="106" t="s">
        <v>126</v>
      </c>
      <c r="B63" s="155"/>
      <c r="C63" s="155" t="s">
        <v>603</v>
      </c>
      <c r="D63" s="155" t="s">
        <v>625</v>
      </c>
      <c r="E63" s="155" t="s">
        <v>127</v>
      </c>
      <c r="F63" s="157"/>
      <c r="G63" s="30">
        <f>SUM(G64)</f>
        <v>1151</v>
      </c>
      <c r="H63" s="20">
        <f>SUM(H64)</f>
        <v>737.4</v>
      </c>
      <c r="I63" s="20">
        <f t="shared" si="0"/>
        <v>64.06602953953085</v>
      </c>
    </row>
    <row r="64" spans="1:10" ht="15" customHeight="1">
      <c r="A64" s="106" t="s">
        <v>598</v>
      </c>
      <c r="B64" s="155"/>
      <c r="C64" s="155" t="s">
        <v>237</v>
      </c>
      <c r="D64" s="155" t="s">
        <v>625</v>
      </c>
      <c r="E64" s="155" t="s">
        <v>127</v>
      </c>
      <c r="F64" s="156" t="s">
        <v>599</v>
      </c>
      <c r="G64" s="30">
        <v>1151</v>
      </c>
      <c r="H64" s="20">
        <v>737.4</v>
      </c>
      <c r="I64" s="20">
        <f t="shared" si="0"/>
        <v>64.06602953953085</v>
      </c>
      <c r="J64" s="246">
        <f>SUM('ведомствен.2013'!G252)</f>
        <v>1151</v>
      </c>
    </row>
    <row r="65" spans="1:9" ht="19.5" customHeight="1" hidden="1">
      <c r="A65" s="106" t="s">
        <v>128</v>
      </c>
      <c r="B65" s="155"/>
      <c r="C65" s="155" t="s">
        <v>237</v>
      </c>
      <c r="D65" s="155" t="s">
        <v>625</v>
      </c>
      <c r="E65" s="155" t="s">
        <v>129</v>
      </c>
      <c r="F65" s="156"/>
      <c r="G65" s="30">
        <f>SUM(G66)</f>
        <v>0</v>
      </c>
      <c r="H65" s="20">
        <f>SUM(H66)</f>
        <v>264.8</v>
      </c>
      <c r="I65" s="20" t="e">
        <f t="shared" si="0"/>
        <v>#DIV/0!</v>
      </c>
    </row>
    <row r="66" spans="1:9" ht="18.75" customHeight="1" hidden="1">
      <c r="A66" s="106" t="s">
        <v>598</v>
      </c>
      <c r="B66" s="155"/>
      <c r="C66" s="155" t="s">
        <v>237</v>
      </c>
      <c r="D66" s="155" t="s">
        <v>625</v>
      </c>
      <c r="E66" s="155" t="s">
        <v>129</v>
      </c>
      <c r="F66" s="156" t="s">
        <v>599</v>
      </c>
      <c r="G66" s="30"/>
      <c r="H66" s="20">
        <v>264.8</v>
      </c>
      <c r="I66" s="20" t="e">
        <f t="shared" si="0"/>
        <v>#DIV/0!</v>
      </c>
    </row>
    <row r="67" spans="1:9" ht="20.25" customHeight="1" hidden="1">
      <c r="A67" s="106" t="s">
        <v>634</v>
      </c>
      <c r="B67" s="155"/>
      <c r="C67" s="155" t="s">
        <v>237</v>
      </c>
      <c r="D67" s="155" t="s">
        <v>625</v>
      </c>
      <c r="E67" s="155" t="s">
        <v>635</v>
      </c>
      <c r="F67" s="157"/>
      <c r="G67" s="30">
        <f>SUM(G68)</f>
        <v>0</v>
      </c>
      <c r="H67" s="20">
        <f>SUM(H68)</f>
        <v>155.9</v>
      </c>
      <c r="I67" s="20" t="e">
        <f t="shared" si="0"/>
        <v>#DIV/0!</v>
      </c>
    </row>
    <row r="68" spans="1:9" ht="20.25" customHeight="1" hidden="1">
      <c r="A68" s="106" t="s">
        <v>598</v>
      </c>
      <c r="B68" s="155"/>
      <c r="C68" s="155" t="s">
        <v>237</v>
      </c>
      <c r="D68" s="155" t="s">
        <v>625</v>
      </c>
      <c r="E68" s="155" t="s">
        <v>635</v>
      </c>
      <c r="F68" s="156" t="s">
        <v>599</v>
      </c>
      <c r="G68" s="30">
        <f>SUM(G69:G70)</f>
        <v>0</v>
      </c>
      <c r="H68" s="20">
        <f>SUM(H69:H70)</f>
        <v>155.9</v>
      </c>
      <c r="I68" s="20" t="e">
        <f t="shared" si="0"/>
        <v>#DIV/0!</v>
      </c>
    </row>
    <row r="69" spans="1:10" ht="29.25" customHeight="1" hidden="1">
      <c r="A69" s="106" t="s">
        <v>558</v>
      </c>
      <c r="B69" s="155"/>
      <c r="C69" s="155" t="s">
        <v>237</v>
      </c>
      <c r="D69" s="155" t="s">
        <v>625</v>
      </c>
      <c r="E69" s="155" t="s">
        <v>636</v>
      </c>
      <c r="F69" s="156" t="s">
        <v>599</v>
      </c>
      <c r="G69" s="30"/>
      <c r="H69" s="20">
        <v>155.9</v>
      </c>
      <c r="I69" s="20" t="e">
        <f t="shared" si="0"/>
        <v>#DIV/0!</v>
      </c>
      <c r="J69" s="246">
        <f>SUM('ведомствен.2013'!G257)</f>
        <v>0</v>
      </c>
    </row>
    <row r="70" spans="1:9" ht="20.25" customHeight="1" hidden="1">
      <c r="A70" s="106"/>
      <c r="B70" s="155"/>
      <c r="C70" s="155"/>
      <c r="D70" s="155"/>
      <c r="E70" s="155"/>
      <c r="F70" s="156"/>
      <c r="G70" s="30"/>
      <c r="H70" s="20"/>
      <c r="I70" s="20" t="e">
        <f t="shared" si="0"/>
        <v>#DIV/0!</v>
      </c>
    </row>
    <row r="71" spans="1:9" ht="20.25" customHeight="1" hidden="1">
      <c r="A71" s="106"/>
      <c r="B71" s="155"/>
      <c r="C71" s="155"/>
      <c r="D71" s="155"/>
      <c r="E71" s="155"/>
      <c r="F71" s="156"/>
      <c r="G71" s="30"/>
      <c r="H71" s="20"/>
      <c r="I71" s="20" t="e">
        <f t="shared" si="0"/>
        <v>#DIV/0!</v>
      </c>
    </row>
    <row r="72" spans="1:9" ht="19.5" customHeight="1" hidden="1">
      <c r="A72" s="106" t="s">
        <v>637</v>
      </c>
      <c r="B72" s="155"/>
      <c r="C72" s="155" t="s">
        <v>237</v>
      </c>
      <c r="D72" s="155" t="s">
        <v>638</v>
      </c>
      <c r="E72" s="155"/>
      <c r="F72" s="157"/>
      <c r="G72" s="30">
        <f>SUM(G73)</f>
        <v>0</v>
      </c>
      <c r="H72" s="20" t="e">
        <f>SUM(H73)</f>
        <v>#REF!</v>
      </c>
      <c r="I72" s="20" t="e">
        <f t="shared" si="0"/>
        <v>#REF!</v>
      </c>
    </row>
    <row r="73" spans="1:9" ht="44.25" customHeight="1" hidden="1">
      <c r="A73" s="133" t="s">
        <v>945</v>
      </c>
      <c r="B73" s="155"/>
      <c r="C73" s="155" t="s">
        <v>237</v>
      </c>
      <c r="D73" s="155" t="s">
        <v>638</v>
      </c>
      <c r="E73" s="155" t="s">
        <v>130</v>
      </c>
      <c r="F73" s="157"/>
      <c r="G73" s="30">
        <f>SUM(G74)</f>
        <v>0</v>
      </c>
      <c r="H73" s="20" t="e">
        <f>SUM(H74)</f>
        <v>#REF!</v>
      </c>
      <c r="I73" s="20" t="e">
        <f t="shared" si="0"/>
        <v>#REF!</v>
      </c>
    </row>
    <row r="74" spans="1:10" ht="21.75" customHeight="1" hidden="1">
      <c r="A74" s="106" t="s">
        <v>598</v>
      </c>
      <c r="B74" s="155"/>
      <c r="C74" s="155" t="s">
        <v>237</v>
      </c>
      <c r="D74" s="155" t="s">
        <v>638</v>
      </c>
      <c r="E74" s="155" t="s">
        <v>130</v>
      </c>
      <c r="F74" s="156" t="s">
        <v>599</v>
      </c>
      <c r="G74" s="30"/>
      <c r="H74" s="20" t="e">
        <f>SUM('[1]Ведомств.'!G83)</f>
        <v>#REF!</v>
      </c>
      <c r="I74" s="20" t="e">
        <f t="shared" si="0"/>
        <v>#REF!</v>
      </c>
      <c r="J74" s="246">
        <f>SUM('ведомствен.2013'!G260)</f>
        <v>0</v>
      </c>
    </row>
    <row r="75" spans="1:10" s="22" customFormat="1" ht="42.75">
      <c r="A75" s="106" t="s">
        <v>131</v>
      </c>
      <c r="B75" s="155"/>
      <c r="C75" s="155" t="s">
        <v>237</v>
      </c>
      <c r="D75" s="155" t="s">
        <v>132</v>
      </c>
      <c r="E75" s="155"/>
      <c r="F75" s="156"/>
      <c r="G75" s="30">
        <f>SUM(G76)</f>
        <v>22025.5</v>
      </c>
      <c r="H75" s="20">
        <f>SUM(H76)</f>
        <v>12415.9</v>
      </c>
      <c r="I75" s="20">
        <f t="shared" si="0"/>
        <v>56.370570475131096</v>
      </c>
      <c r="J75" s="248"/>
    </row>
    <row r="76" spans="1:10" s="22" customFormat="1" ht="46.5" customHeight="1">
      <c r="A76" s="106" t="s">
        <v>594</v>
      </c>
      <c r="B76" s="155"/>
      <c r="C76" s="155" t="s">
        <v>237</v>
      </c>
      <c r="D76" s="155" t="s">
        <v>132</v>
      </c>
      <c r="E76" s="155" t="s">
        <v>595</v>
      </c>
      <c r="F76" s="156"/>
      <c r="G76" s="30">
        <f>SUM(G77+G81)</f>
        <v>22025.5</v>
      </c>
      <c r="H76" s="20">
        <f>SUM(H77+H81)</f>
        <v>12415.9</v>
      </c>
      <c r="I76" s="20">
        <f t="shared" si="0"/>
        <v>56.370570475131096</v>
      </c>
      <c r="J76" s="248"/>
    </row>
    <row r="77" spans="1:10" s="22" customFormat="1" ht="15" customHeight="1">
      <c r="A77" s="106" t="s">
        <v>602</v>
      </c>
      <c r="B77" s="155"/>
      <c r="C77" s="155" t="s">
        <v>237</v>
      </c>
      <c r="D77" s="155" t="s">
        <v>132</v>
      </c>
      <c r="E77" s="155" t="s">
        <v>604</v>
      </c>
      <c r="F77" s="156"/>
      <c r="G77" s="30">
        <f>SUM(G78+G79)</f>
        <v>20465.5</v>
      </c>
      <c r="H77" s="20">
        <f>SUM(H78+H79)</f>
        <v>11864.3</v>
      </c>
      <c r="I77" s="20">
        <f t="shared" si="0"/>
        <v>57.97219711221323</v>
      </c>
      <c r="J77" s="248"/>
    </row>
    <row r="78" spans="1:10" s="22" customFormat="1" ht="14.25" customHeight="1">
      <c r="A78" s="106" t="s">
        <v>598</v>
      </c>
      <c r="B78" s="155"/>
      <c r="C78" s="155" t="s">
        <v>603</v>
      </c>
      <c r="D78" s="155" t="s">
        <v>132</v>
      </c>
      <c r="E78" s="155" t="s">
        <v>604</v>
      </c>
      <c r="F78" s="158" t="s">
        <v>599</v>
      </c>
      <c r="G78" s="30">
        <v>5096.4</v>
      </c>
      <c r="H78" s="20">
        <v>2278</v>
      </c>
      <c r="I78" s="20">
        <f t="shared" si="0"/>
        <v>44.69821835020799</v>
      </c>
      <c r="J78" s="248">
        <f>SUM('ведомствен.2013'!G46+'ведомствен.2013'!G674)+'ведомствен.2013'!G719</f>
        <v>5096.4</v>
      </c>
    </row>
    <row r="79" spans="1:9" ht="28.5">
      <c r="A79" s="106" t="s">
        <v>133</v>
      </c>
      <c r="B79" s="155"/>
      <c r="C79" s="155" t="s">
        <v>603</v>
      </c>
      <c r="D79" s="155" t="s">
        <v>132</v>
      </c>
      <c r="E79" s="155" t="s">
        <v>134</v>
      </c>
      <c r="F79" s="156"/>
      <c r="G79" s="30">
        <f>SUM(G80)</f>
        <v>15369.1</v>
      </c>
      <c r="H79" s="20">
        <f>SUM(H80)</f>
        <v>9586.3</v>
      </c>
      <c r="I79" s="20">
        <f t="shared" si="0"/>
        <v>62.373854031791055</v>
      </c>
    </row>
    <row r="80" spans="1:10" s="25" customFormat="1" ht="15">
      <c r="A80" s="106" t="s">
        <v>598</v>
      </c>
      <c r="B80" s="155"/>
      <c r="C80" s="155" t="s">
        <v>603</v>
      </c>
      <c r="D80" s="155" t="s">
        <v>132</v>
      </c>
      <c r="E80" s="155" t="s">
        <v>134</v>
      </c>
      <c r="F80" s="158" t="s">
        <v>599</v>
      </c>
      <c r="G80" s="30">
        <v>15369.1</v>
      </c>
      <c r="H80" s="20">
        <v>9586.3</v>
      </c>
      <c r="I80" s="20">
        <f t="shared" si="0"/>
        <v>62.373854031791055</v>
      </c>
      <c r="J80" s="248">
        <f>SUM('ведомствен.2013'!G676)</f>
        <v>15369.1</v>
      </c>
    </row>
    <row r="81" spans="1:9" ht="28.5">
      <c r="A81" s="106" t="s">
        <v>135</v>
      </c>
      <c r="B81" s="155"/>
      <c r="C81" s="155" t="s">
        <v>603</v>
      </c>
      <c r="D81" s="155" t="s">
        <v>132</v>
      </c>
      <c r="E81" s="155" t="s">
        <v>136</v>
      </c>
      <c r="F81" s="158"/>
      <c r="G81" s="30">
        <f>SUM(G82)</f>
        <v>1560</v>
      </c>
      <c r="H81" s="20">
        <f>SUM(H82)</f>
        <v>551.6</v>
      </c>
      <c r="I81" s="20">
        <f t="shared" si="0"/>
        <v>35.35897435897436</v>
      </c>
    </row>
    <row r="82" spans="1:10" ht="14.25" customHeight="1">
      <c r="A82" s="106" t="s">
        <v>598</v>
      </c>
      <c r="B82" s="155"/>
      <c r="C82" s="155" t="s">
        <v>603</v>
      </c>
      <c r="D82" s="155" t="s">
        <v>132</v>
      </c>
      <c r="E82" s="155" t="s">
        <v>136</v>
      </c>
      <c r="F82" s="156" t="s">
        <v>599</v>
      </c>
      <c r="G82" s="30">
        <v>1560</v>
      </c>
      <c r="H82" s="20">
        <v>551.6</v>
      </c>
      <c r="I82" s="20">
        <f aca="true" t="shared" si="4" ref="I82:I157">SUM(H82/G82*100)</f>
        <v>35.35897435897436</v>
      </c>
      <c r="J82" s="246">
        <f>SUM('ведомствен.2013'!G48)</f>
        <v>1560</v>
      </c>
    </row>
    <row r="83" spans="1:9" ht="14.25" customHeight="1">
      <c r="A83" s="105" t="s">
        <v>137</v>
      </c>
      <c r="B83" s="159"/>
      <c r="C83" s="159" t="s">
        <v>237</v>
      </c>
      <c r="D83" s="159" t="s">
        <v>614</v>
      </c>
      <c r="E83" s="159"/>
      <c r="F83" s="157"/>
      <c r="G83" s="30">
        <f>SUM(G84)</f>
        <v>340</v>
      </c>
      <c r="H83" s="20">
        <f>SUM(H84)</f>
        <v>4219.8</v>
      </c>
      <c r="I83" s="20">
        <f t="shared" si="4"/>
        <v>1241.1176470588236</v>
      </c>
    </row>
    <row r="84" spans="1:9" ht="14.25" customHeight="1">
      <c r="A84" s="105" t="s">
        <v>137</v>
      </c>
      <c r="B84" s="159"/>
      <c r="C84" s="159" t="s">
        <v>237</v>
      </c>
      <c r="D84" s="159" t="s">
        <v>614</v>
      </c>
      <c r="E84" s="159" t="s">
        <v>138</v>
      </c>
      <c r="F84" s="157"/>
      <c r="G84" s="30">
        <f>SUM(G85+G87)</f>
        <v>340</v>
      </c>
      <c r="H84" s="20">
        <f>SUM(H85+H87)</f>
        <v>4219.8</v>
      </c>
      <c r="I84" s="20">
        <f t="shared" si="4"/>
        <v>1241.1176470588236</v>
      </c>
    </row>
    <row r="85" spans="1:9" ht="28.5" customHeight="1" hidden="1">
      <c r="A85" s="106" t="s">
        <v>139</v>
      </c>
      <c r="B85" s="159"/>
      <c r="C85" s="159" t="s">
        <v>237</v>
      </c>
      <c r="D85" s="159" t="s">
        <v>614</v>
      </c>
      <c r="E85" s="159" t="s">
        <v>140</v>
      </c>
      <c r="F85" s="157"/>
      <c r="G85" s="30">
        <f>SUM(G86:G86)</f>
        <v>0</v>
      </c>
      <c r="H85" s="20">
        <f>SUM(H86:H86)</f>
        <v>2142.4</v>
      </c>
      <c r="I85" s="20" t="e">
        <f t="shared" si="4"/>
        <v>#DIV/0!</v>
      </c>
    </row>
    <row r="86" spans="1:10" ht="15" customHeight="1" hidden="1">
      <c r="A86" s="106" t="s">
        <v>598</v>
      </c>
      <c r="B86" s="159"/>
      <c r="C86" s="159" t="s">
        <v>237</v>
      </c>
      <c r="D86" s="159" t="s">
        <v>614</v>
      </c>
      <c r="E86" s="159" t="s">
        <v>140</v>
      </c>
      <c r="F86" s="157" t="s">
        <v>599</v>
      </c>
      <c r="G86" s="30"/>
      <c r="H86" s="20">
        <v>2142.4</v>
      </c>
      <c r="I86" s="20" t="e">
        <f t="shared" si="4"/>
        <v>#DIV/0!</v>
      </c>
      <c r="J86" s="246">
        <f>SUM('ведомствен.2013'!G268)</f>
        <v>0</v>
      </c>
    </row>
    <row r="87" spans="1:9" ht="15">
      <c r="A87" s="106" t="s">
        <v>128</v>
      </c>
      <c r="B87" s="155"/>
      <c r="C87" s="155" t="s">
        <v>237</v>
      </c>
      <c r="D87" s="159" t="s">
        <v>614</v>
      </c>
      <c r="E87" s="155" t="s">
        <v>129</v>
      </c>
      <c r="F87" s="156"/>
      <c r="G87" s="91">
        <f>SUM(G88)</f>
        <v>340</v>
      </c>
      <c r="H87" s="20">
        <f>SUM(H88)</f>
        <v>2077.4</v>
      </c>
      <c r="I87" s="20">
        <f t="shared" si="4"/>
        <v>611</v>
      </c>
    </row>
    <row r="88" spans="1:10" ht="15">
      <c r="A88" s="106" t="s">
        <v>598</v>
      </c>
      <c r="B88" s="159"/>
      <c r="C88" s="159" t="s">
        <v>237</v>
      </c>
      <c r="D88" s="159" t="s">
        <v>614</v>
      </c>
      <c r="E88" s="155" t="s">
        <v>129</v>
      </c>
      <c r="F88" s="157" t="s">
        <v>599</v>
      </c>
      <c r="G88" s="91">
        <v>340</v>
      </c>
      <c r="H88" s="20">
        <v>2077.4</v>
      </c>
      <c r="I88" s="20">
        <f t="shared" si="4"/>
        <v>611</v>
      </c>
      <c r="J88" s="246">
        <f>SUM('ведомствен.2013'!G270)</f>
        <v>340</v>
      </c>
    </row>
    <row r="89" spans="1:9" ht="15" hidden="1">
      <c r="A89" s="106" t="s">
        <v>141</v>
      </c>
      <c r="B89" s="155"/>
      <c r="C89" s="155" t="s">
        <v>237</v>
      </c>
      <c r="D89" s="155" t="s">
        <v>166</v>
      </c>
      <c r="E89" s="155"/>
      <c r="F89" s="158"/>
      <c r="G89" s="30">
        <f>SUM(G90)</f>
        <v>0</v>
      </c>
      <c r="H89" s="20">
        <f>SUM(H90)</f>
        <v>5048</v>
      </c>
      <c r="I89" s="20" t="e">
        <f t="shared" si="4"/>
        <v>#DIV/0!</v>
      </c>
    </row>
    <row r="90" spans="1:9" ht="15" hidden="1">
      <c r="A90" s="106" t="s">
        <v>142</v>
      </c>
      <c r="B90" s="155"/>
      <c r="C90" s="155" t="s">
        <v>237</v>
      </c>
      <c r="D90" s="155" t="s">
        <v>166</v>
      </c>
      <c r="E90" s="155" t="s">
        <v>143</v>
      </c>
      <c r="F90" s="158"/>
      <c r="G90" s="30">
        <f>SUM(G92)</f>
        <v>0</v>
      </c>
      <c r="H90" s="20">
        <f>SUM(H92)</f>
        <v>5048</v>
      </c>
      <c r="I90" s="20" t="e">
        <f t="shared" si="4"/>
        <v>#DIV/0!</v>
      </c>
    </row>
    <row r="91" spans="1:9" ht="15" hidden="1">
      <c r="A91" s="106" t="s">
        <v>144</v>
      </c>
      <c r="B91" s="155"/>
      <c r="C91" s="155" t="s">
        <v>237</v>
      </c>
      <c r="D91" s="155" t="s">
        <v>166</v>
      </c>
      <c r="E91" s="155" t="s">
        <v>145</v>
      </c>
      <c r="F91" s="158"/>
      <c r="G91" s="30">
        <f>SUM(G92)</f>
        <v>0</v>
      </c>
      <c r="H91" s="20">
        <f>SUM(H92)</f>
        <v>5048</v>
      </c>
      <c r="I91" s="20" t="e">
        <f t="shared" si="4"/>
        <v>#DIV/0!</v>
      </c>
    </row>
    <row r="92" spans="1:9" ht="15" hidden="1">
      <c r="A92" s="106" t="s">
        <v>146</v>
      </c>
      <c r="B92" s="155"/>
      <c r="C92" s="155" t="s">
        <v>237</v>
      </c>
      <c r="D92" s="155" t="s">
        <v>166</v>
      </c>
      <c r="E92" s="155" t="s">
        <v>145</v>
      </c>
      <c r="F92" s="158" t="s">
        <v>147</v>
      </c>
      <c r="G92" s="30"/>
      <c r="H92" s="20">
        <v>5048</v>
      </c>
      <c r="I92" s="20" t="e">
        <f t="shared" si="4"/>
        <v>#DIV/0!</v>
      </c>
    </row>
    <row r="93" spans="1:10" s="22" customFormat="1" ht="15">
      <c r="A93" s="106" t="s">
        <v>148</v>
      </c>
      <c r="B93" s="155"/>
      <c r="C93" s="155" t="s">
        <v>237</v>
      </c>
      <c r="D93" s="155" t="s">
        <v>166</v>
      </c>
      <c r="E93" s="155"/>
      <c r="F93" s="156"/>
      <c r="G93" s="30">
        <f>SUM(G94)</f>
        <v>3310</v>
      </c>
      <c r="H93" s="20">
        <f>SUM(H94)</f>
        <v>0</v>
      </c>
      <c r="I93" s="20">
        <f t="shared" si="4"/>
        <v>0</v>
      </c>
      <c r="J93" s="248"/>
    </row>
    <row r="94" spans="1:10" s="22" customFormat="1" ht="15">
      <c r="A94" s="106" t="s">
        <v>148</v>
      </c>
      <c r="B94" s="155"/>
      <c r="C94" s="155" t="s">
        <v>237</v>
      </c>
      <c r="D94" s="155" t="s">
        <v>166</v>
      </c>
      <c r="E94" s="155" t="s">
        <v>150</v>
      </c>
      <c r="F94" s="156"/>
      <c r="G94" s="30">
        <f>SUM(G96)</f>
        <v>3310</v>
      </c>
      <c r="H94" s="20">
        <f>SUM(H96)</f>
        <v>0</v>
      </c>
      <c r="I94" s="20">
        <f t="shared" si="4"/>
        <v>0</v>
      </c>
      <c r="J94" s="248"/>
    </row>
    <row r="95" spans="1:10" s="22" customFormat="1" ht="15">
      <c r="A95" s="106" t="s">
        <v>128</v>
      </c>
      <c r="B95" s="155"/>
      <c r="C95" s="155" t="s">
        <v>237</v>
      </c>
      <c r="D95" s="155" t="s">
        <v>166</v>
      </c>
      <c r="E95" s="155" t="s">
        <v>129</v>
      </c>
      <c r="F95" s="156"/>
      <c r="G95" s="30">
        <f>SUM(G96)</f>
        <v>3310</v>
      </c>
      <c r="H95" s="20">
        <f>SUM(H96)</f>
        <v>0</v>
      </c>
      <c r="I95" s="20">
        <f t="shared" si="4"/>
        <v>0</v>
      </c>
      <c r="J95" s="248"/>
    </row>
    <row r="96" spans="1:10" s="22" customFormat="1" ht="15.75" customHeight="1">
      <c r="A96" s="105" t="s">
        <v>151</v>
      </c>
      <c r="B96" s="159"/>
      <c r="C96" s="155" t="s">
        <v>237</v>
      </c>
      <c r="D96" s="155" t="s">
        <v>166</v>
      </c>
      <c r="E96" s="155" t="s">
        <v>129</v>
      </c>
      <c r="F96" s="157" t="s">
        <v>147</v>
      </c>
      <c r="G96" s="30">
        <v>3310</v>
      </c>
      <c r="H96" s="20"/>
      <c r="I96" s="20">
        <f t="shared" si="4"/>
        <v>0</v>
      </c>
      <c r="J96" s="246">
        <f>SUM('ведомствен.2013'!G683)</f>
        <v>3310</v>
      </c>
    </row>
    <row r="97" spans="1:9" ht="14.25" customHeight="1">
      <c r="A97" s="106" t="s">
        <v>607</v>
      </c>
      <c r="B97" s="155"/>
      <c r="C97" s="155" t="s">
        <v>237</v>
      </c>
      <c r="D97" s="155" t="s">
        <v>904</v>
      </c>
      <c r="E97" s="155"/>
      <c r="F97" s="157"/>
      <c r="G97" s="30">
        <f>SUM(G98+G111+G118+G121+G124+G140+G103+G108)+G114+G116</f>
        <v>75506.3</v>
      </c>
      <c r="H97" s="20">
        <f>SUM(H98+H111+H118+H121+H124+H140+H103+H108)</f>
        <v>7427.299999999999</v>
      </c>
      <c r="I97" s="20">
        <f t="shared" si="4"/>
        <v>9.836662636097913</v>
      </c>
    </row>
    <row r="98" spans="1:9" ht="21" customHeight="1" hidden="1">
      <c r="A98" s="106" t="s">
        <v>153</v>
      </c>
      <c r="B98" s="155"/>
      <c r="C98" s="155" t="s">
        <v>237</v>
      </c>
      <c r="D98" s="155" t="s">
        <v>904</v>
      </c>
      <c r="E98" s="155" t="s">
        <v>154</v>
      </c>
      <c r="F98" s="156"/>
      <c r="G98" s="30">
        <f>SUM(G99+G101)</f>
        <v>0</v>
      </c>
      <c r="H98" s="20">
        <f>SUM(H99+H101)</f>
        <v>2749.5</v>
      </c>
      <c r="I98" s="20" t="e">
        <f t="shared" si="4"/>
        <v>#DIV/0!</v>
      </c>
    </row>
    <row r="99" spans="1:9" ht="27.75" customHeight="1" hidden="1">
      <c r="A99" s="106" t="s">
        <v>926</v>
      </c>
      <c r="B99" s="155"/>
      <c r="C99" s="155" t="s">
        <v>237</v>
      </c>
      <c r="D99" s="155" t="s">
        <v>904</v>
      </c>
      <c r="E99" s="155" t="s">
        <v>927</v>
      </c>
      <c r="F99" s="156"/>
      <c r="G99" s="30">
        <f>SUM(G100)</f>
        <v>0</v>
      </c>
      <c r="H99" s="20">
        <f>SUM(H100)</f>
        <v>2749.5</v>
      </c>
      <c r="I99" s="20" t="e">
        <f t="shared" si="4"/>
        <v>#DIV/0!</v>
      </c>
    </row>
    <row r="100" spans="1:9" ht="18.75" customHeight="1" hidden="1">
      <c r="A100" s="106" t="s">
        <v>598</v>
      </c>
      <c r="B100" s="155"/>
      <c r="C100" s="155" t="s">
        <v>237</v>
      </c>
      <c r="D100" s="155" t="s">
        <v>904</v>
      </c>
      <c r="E100" s="155" t="s">
        <v>927</v>
      </c>
      <c r="F100" s="156" t="s">
        <v>599</v>
      </c>
      <c r="G100" s="30"/>
      <c r="H100" s="20">
        <v>2749.5</v>
      </c>
      <c r="I100" s="20" t="e">
        <f t="shared" si="4"/>
        <v>#DIV/0!</v>
      </c>
    </row>
    <row r="101" spans="1:9" ht="27" customHeight="1" hidden="1">
      <c r="A101" s="106" t="s">
        <v>928</v>
      </c>
      <c r="B101" s="155"/>
      <c r="C101" s="155" t="s">
        <v>237</v>
      </c>
      <c r="D101" s="155" t="s">
        <v>904</v>
      </c>
      <c r="E101" s="155" t="s">
        <v>929</v>
      </c>
      <c r="F101" s="156"/>
      <c r="G101" s="30">
        <f>SUM(G102)</f>
        <v>0</v>
      </c>
      <c r="H101" s="20">
        <f>SUM(H102)</f>
        <v>0</v>
      </c>
      <c r="I101" s="20" t="e">
        <f t="shared" si="4"/>
        <v>#DIV/0!</v>
      </c>
    </row>
    <row r="102" spans="1:9" ht="18.75" customHeight="1" hidden="1">
      <c r="A102" s="106" t="s">
        <v>598</v>
      </c>
      <c r="B102" s="155"/>
      <c r="C102" s="155" t="s">
        <v>237</v>
      </c>
      <c r="D102" s="155" t="s">
        <v>904</v>
      </c>
      <c r="E102" s="155" t="s">
        <v>929</v>
      </c>
      <c r="F102" s="156" t="s">
        <v>599</v>
      </c>
      <c r="G102" s="30"/>
      <c r="H102" s="20"/>
      <c r="I102" s="20" t="e">
        <f t="shared" si="4"/>
        <v>#DIV/0!</v>
      </c>
    </row>
    <row r="103" spans="1:9" ht="44.25" customHeight="1" hidden="1">
      <c r="A103" s="106" t="s">
        <v>594</v>
      </c>
      <c r="B103" s="155"/>
      <c r="C103" s="155" t="s">
        <v>237</v>
      </c>
      <c r="D103" s="155" t="s">
        <v>904</v>
      </c>
      <c r="E103" s="155" t="s">
        <v>595</v>
      </c>
      <c r="F103" s="156"/>
      <c r="G103" s="30">
        <f>SUM(G106+G105)</f>
        <v>0</v>
      </c>
      <c r="H103" s="20">
        <f>SUM(H106+H105)</f>
        <v>836.4</v>
      </c>
      <c r="I103" s="20" t="e">
        <f t="shared" si="4"/>
        <v>#DIV/0!</v>
      </c>
    </row>
    <row r="104" spans="1:9" ht="18.75" customHeight="1" hidden="1">
      <c r="A104" s="106" t="s">
        <v>602</v>
      </c>
      <c r="B104" s="155"/>
      <c r="C104" s="155" t="s">
        <v>237</v>
      </c>
      <c r="D104" s="155" t="s">
        <v>904</v>
      </c>
      <c r="E104" s="155" t="s">
        <v>604</v>
      </c>
      <c r="F104" s="156"/>
      <c r="G104" s="30">
        <f>SUM(G105)</f>
        <v>0</v>
      </c>
      <c r="H104" s="20">
        <f>SUM(H105)</f>
        <v>0</v>
      </c>
      <c r="I104" s="20" t="e">
        <f t="shared" si="4"/>
        <v>#DIV/0!</v>
      </c>
    </row>
    <row r="105" spans="1:9" ht="22.5" customHeight="1" hidden="1">
      <c r="A105" s="106" t="s">
        <v>598</v>
      </c>
      <c r="B105" s="155"/>
      <c r="C105" s="155" t="s">
        <v>237</v>
      </c>
      <c r="D105" s="155" t="s">
        <v>904</v>
      </c>
      <c r="E105" s="155" t="s">
        <v>604</v>
      </c>
      <c r="F105" s="158" t="s">
        <v>599</v>
      </c>
      <c r="G105" s="30"/>
      <c r="H105" s="20"/>
      <c r="I105" s="20" t="e">
        <f t="shared" si="4"/>
        <v>#DIV/0!</v>
      </c>
    </row>
    <row r="106" spans="1:9" ht="18" customHeight="1" hidden="1">
      <c r="A106" s="106" t="s">
        <v>930</v>
      </c>
      <c r="B106" s="155"/>
      <c r="C106" s="155" t="s">
        <v>237</v>
      </c>
      <c r="D106" s="155" t="s">
        <v>904</v>
      </c>
      <c r="E106" s="155" t="s">
        <v>931</v>
      </c>
      <c r="F106" s="157"/>
      <c r="G106" s="30">
        <f>SUM(G107)</f>
        <v>0</v>
      </c>
      <c r="H106" s="20">
        <f>SUM(H107)</f>
        <v>836.4</v>
      </c>
      <c r="I106" s="20" t="e">
        <f t="shared" si="4"/>
        <v>#DIV/0!</v>
      </c>
    </row>
    <row r="107" spans="1:9" ht="17.25" customHeight="1" hidden="1">
      <c r="A107" s="108" t="s">
        <v>932</v>
      </c>
      <c r="B107" s="155"/>
      <c r="C107" s="155" t="s">
        <v>237</v>
      </c>
      <c r="D107" s="155" t="s">
        <v>904</v>
      </c>
      <c r="E107" s="155" t="s">
        <v>931</v>
      </c>
      <c r="F107" s="157" t="s">
        <v>933</v>
      </c>
      <c r="G107" s="30"/>
      <c r="H107" s="20">
        <v>836.4</v>
      </c>
      <c r="I107" s="20" t="e">
        <f t="shared" si="4"/>
        <v>#DIV/0!</v>
      </c>
    </row>
    <row r="108" spans="1:9" ht="21.75" customHeight="1" hidden="1">
      <c r="A108" s="106" t="s">
        <v>148</v>
      </c>
      <c r="B108" s="155"/>
      <c r="C108" s="155" t="s">
        <v>237</v>
      </c>
      <c r="D108" s="155" t="s">
        <v>904</v>
      </c>
      <c r="E108" s="155" t="s">
        <v>150</v>
      </c>
      <c r="F108" s="156"/>
      <c r="G108" s="30">
        <f>SUM(G110)</f>
        <v>0</v>
      </c>
      <c r="H108" s="20">
        <f>SUM(H110)</f>
        <v>536.9</v>
      </c>
      <c r="I108" s="20" t="e">
        <f t="shared" si="4"/>
        <v>#DIV/0!</v>
      </c>
    </row>
    <row r="109" spans="1:9" ht="22.5" customHeight="1" hidden="1">
      <c r="A109" s="106" t="s">
        <v>128</v>
      </c>
      <c r="B109" s="155"/>
      <c r="C109" s="155" t="s">
        <v>237</v>
      </c>
      <c r="D109" s="155" t="s">
        <v>904</v>
      </c>
      <c r="E109" s="155" t="s">
        <v>129</v>
      </c>
      <c r="F109" s="156"/>
      <c r="G109" s="30">
        <f>SUM(G110)</f>
        <v>0</v>
      </c>
      <c r="H109" s="20">
        <f>SUM(H110)</f>
        <v>536.9</v>
      </c>
      <c r="I109" s="20" t="e">
        <f t="shared" si="4"/>
        <v>#DIV/0!</v>
      </c>
    </row>
    <row r="110" spans="1:9" ht="25.5" customHeight="1" hidden="1">
      <c r="A110" s="106" t="s">
        <v>598</v>
      </c>
      <c r="B110" s="155"/>
      <c r="C110" s="155" t="s">
        <v>237</v>
      </c>
      <c r="D110" s="155" t="s">
        <v>904</v>
      </c>
      <c r="E110" s="155" t="s">
        <v>129</v>
      </c>
      <c r="F110" s="156" t="s">
        <v>599</v>
      </c>
      <c r="G110" s="30"/>
      <c r="H110" s="20">
        <f>423.2+113.7</f>
        <v>536.9</v>
      </c>
      <c r="I110" s="20" t="e">
        <f t="shared" si="4"/>
        <v>#DIV/0!</v>
      </c>
    </row>
    <row r="111" spans="1:9" ht="42.75">
      <c r="A111" s="133" t="s">
        <v>934</v>
      </c>
      <c r="B111" s="155"/>
      <c r="C111" s="155" t="s">
        <v>237</v>
      </c>
      <c r="D111" s="155" t="s">
        <v>904</v>
      </c>
      <c r="E111" s="155" t="s">
        <v>621</v>
      </c>
      <c r="F111" s="156"/>
      <c r="G111" s="30">
        <f>SUM(G112)</f>
        <v>8321</v>
      </c>
      <c r="H111" s="20">
        <f>SUM(H112)</f>
        <v>917.7</v>
      </c>
      <c r="I111" s="20">
        <f t="shared" si="4"/>
        <v>11.028722509313784</v>
      </c>
    </row>
    <row r="112" spans="1:9" ht="42.75">
      <c r="A112" s="133" t="s">
        <v>622</v>
      </c>
      <c r="B112" s="155"/>
      <c r="C112" s="155" t="s">
        <v>237</v>
      </c>
      <c r="D112" s="155" t="s">
        <v>904</v>
      </c>
      <c r="E112" s="155" t="s">
        <v>935</v>
      </c>
      <c r="F112" s="156"/>
      <c r="G112" s="30">
        <f>SUM(G113)</f>
        <v>8321</v>
      </c>
      <c r="H112" s="20">
        <f>SUM(H113)</f>
        <v>917.7</v>
      </c>
      <c r="I112" s="20">
        <f t="shared" si="4"/>
        <v>11.028722509313784</v>
      </c>
    </row>
    <row r="113" spans="1:10" ht="15">
      <c r="A113" s="106" t="s">
        <v>598</v>
      </c>
      <c r="B113" s="155"/>
      <c r="C113" s="155" t="s">
        <v>237</v>
      </c>
      <c r="D113" s="155" t="s">
        <v>904</v>
      </c>
      <c r="E113" s="155" t="s">
        <v>935</v>
      </c>
      <c r="F113" s="156" t="s">
        <v>599</v>
      </c>
      <c r="G113" s="30">
        <v>8321</v>
      </c>
      <c r="H113" s="20">
        <v>917.7</v>
      </c>
      <c r="I113" s="20">
        <f t="shared" si="4"/>
        <v>11.028722509313784</v>
      </c>
      <c r="J113" s="246">
        <f>SUM('ведомствен.2013'!G285)</f>
        <v>8321</v>
      </c>
    </row>
    <row r="114" spans="1:9" ht="28.5">
      <c r="A114" s="106" t="s">
        <v>306</v>
      </c>
      <c r="B114" s="155"/>
      <c r="C114" s="155" t="s">
        <v>237</v>
      </c>
      <c r="D114" s="155" t="s">
        <v>904</v>
      </c>
      <c r="E114" s="155" t="s">
        <v>307</v>
      </c>
      <c r="F114" s="156"/>
      <c r="G114" s="30">
        <f>SUM(G115)</f>
        <v>6638.3</v>
      </c>
      <c r="H114" s="20"/>
      <c r="I114" s="20"/>
    </row>
    <row r="115" spans="1:10" ht="15">
      <c r="A115" s="106" t="s">
        <v>598</v>
      </c>
      <c r="B115" s="155"/>
      <c r="C115" s="155" t="s">
        <v>237</v>
      </c>
      <c r="D115" s="155" t="s">
        <v>904</v>
      </c>
      <c r="E115" s="155" t="s">
        <v>307</v>
      </c>
      <c r="F115" s="156" t="s">
        <v>599</v>
      </c>
      <c r="G115" s="30">
        <v>6638.3</v>
      </c>
      <c r="H115" s="20"/>
      <c r="I115" s="20"/>
      <c r="J115" s="246">
        <f>SUM('ведомствен.2013'!G25+'ведомствен.2013'!G51+'ведомствен.2013'!G287+'ведомствен.2013'!G686)</f>
        <v>6638.3</v>
      </c>
    </row>
    <row r="116" spans="1:9" ht="28.5">
      <c r="A116" s="106" t="s">
        <v>308</v>
      </c>
      <c r="B116" s="155"/>
      <c r="C116" s="155" t="s">
        <v>237</v>
      </c>
      <c r="D116" s="155" t="s">
        <v>904</v>
      </c>
      <c r="E116" s="155" t="s">
        <v>309</v>
      </c>
      <c r="F116" s="156"/>
      <c r="G116" s="30">
        <f>SUM(G117)</f>
        <v>18461.8</v>
      </c>
      <c r="H116" s="20"/>
      <c r="I116" s="20"/>
    </row>
    <row r="117" spans="1:10" ht="15">
      <c r="A117" s="106" t="s">
        <v>598</v>
      </c>
      <c r="B117" s="155"/>
      <c r="C117" s="155" t="s">
        <v>237</v>
      </c>
      <c r="D117" s="155" t="s">
        <v>904</v>
      </c>
      <c r="E117" s="155" t="s">
        <v>309</v>
      </c>
      <c r="F117" s="156" t="s">
        <v>599</v>
      </c>
      <c r="G117" s="30">
        <v>18461.8</v>
      </c>
      <c r="H117" s="20"/>
      <c r="I117" s="20"/>
      <c r="J117" s="246">
        <f>SUM('ведомствен.2013'!G27+'ведомствен.2013'!G289+'ведомствен.2013'!G688)+'ведомствен.2013'!G53</f>
        <v>18461.8</v>
      </c>
    </row>
    <row r="118" spans="1:9" ht="28.5">
      <c r="A118" s="106" t="s">
        <v>609</v>
      </c>
      <c r="B118" s="155"/>
      <c r="C118" s="155" t="s">
        <v>237</v>
      </c>
      <c r="D118" s="155" t="s">
        <v>904</v>
      </c>
      <c r="E118" s="155" t="s">
        <v>610</v>
      </c>
      <c r="F118" s="158"/>
      <c r="G118" s="30">
        <f>SUM(G119)</f>
        <v>39313.8</v>
      </c>
      <c r="H118" s="20">
        <f>SUM(H119)</f>
        <v>1069.4</v>
      </c>
      <c r="I118" s="20">
        <f t="shared" si="4"/>
        <v>2.7201644206360105</v>
      </c>
    </row>
    <row r="119" spans="1:9" ht="15">
      <c r="A119" s="106" t="s">
        <v>611</v>
      </c>
      <c r="B119" s="155"/>
      <c r="C119" s="155" t="s">
        <v>237</v>
      </c>
      <c r="D119" s="155" t="s">
        <v>904</v>
      </c>
      <c r="E119" s="155" t="s">
        <v>936</v>
      </c>
      <c r="F119" s="158"/>
      <c r="G119" s="30">
        <f>SUM(G120)</f>
        <v>39313.8</v>
      </c>
      <c r="H119" s="20">
        <f>SUM(H120)</f>
        <v>1069.4</v>
      </c>
      <c r="I119" s="20">
        <f t="shared" si="4"/>
        <v>2.7201644206360105</v>
      </c>
    </row>
    <row r="120" spans="1:10" ht="15.75" customHeight="1">
      <c r="A120" s="106" t="s">
        <v>598</v>
      </c>
      <c r="B120" s="155"/>
      <c r="C120" s="155" t="s">
        <v>237</v>
      </c>
      <c r="D120" s="155" t="s">
        <v>904</v>
      </c>
      <c r="E120" s="155" t="s">
        <v>936</v>
      </c>
      <c r="F120" s="158" t="s">
        <v>599</v>
      </c>
      <c r="G120" s="30">
        <v>39313.8</v>
      </c>
      <c r="H120" s="20">
        <v>1069.4</v>
      </c>
      <c r="I120" s="20">
        <f t="shared" si="4"/>
        <v>2.7201644206360105</v>
      </c>
      <c r="J120" s="246">
        <f>SUM('ведомствен.2013'!G292+'ведомствен.2013'!G30+'ведомствен.2013'!G997)+'ведомствен.2013'!G691+'ведомствен.2013'!G56</f>
        <v>39313.799999999996</v>
      </c>
    </row>
    <row r="121" spans="1:9" ht="31.5" customHeight="1" hidden="1">
      <c r="A121" s="105" t="s">
        <v>937</v>
      </c>
      <c r="B121" s="155"/>
      <c r="C121" s="155" t="s">
        <v>237</v>
      </c>
      <c r="D121" s="155" t="s">
        <v>904</v>
      </c>
      <c r="E121" s="155" t="s">
        <v>183</v>
      </c>
      <c r="F121" s="156"/>
      <c r="G121" s="30">
        <f>SUM(G123)</f>
        <v>0</v>
      </c>
      <c r="H121" s="20">
        <f>SUM(H123)</f>
        <v>0</v>
      </c>
      <c r="I121" s="20" t="e">
        <f t="shared" si="4"/>
        <v>#DIV/0!</v>
      </c>
    </row>
    <row r="122" spans="1:9" ht="31.5" customHeight="1" hidden="1">
      <c r="A122" s="105" t="s">
        <v>639</v>
      </c>
      <c r="B122" s="155"/>
      <c r="C122" s="155" t="s">
        <v>237</v>
      </c>
      <c r="D122" s="155" t="s">
        <v>904</v>
      </c>
      <c r="E122" s="155" t="s">
        <v>640</v>
      </c>
      <c r="F122" s="156"/>
      <c r="G122" s="30">
        <f>SUM(G123)</f>
        <v>0</v>
      </c>
      <c r="H122" s="20">
        <f>SUM(H123)</f>
        <v>0</v>
      </c>
      <c r="I122" s="20" t="e">
        <f t="shared" si="4"/>
        <v>#DIV/0!</v>
      </c>
    </row>
    <row r="123" spans="1:9" ht="18" customHeight="1" hidden="1">
      <c r="A123" s="105" t="s">
        <v>641</v>
      </c>
      <c r="B123" s="155"/>
      <c r="C123" s="155" t="s">
        <v>237</v>
      </c>
      <c r="D123" s="155" t="s">
        <v>904</v>
      </c>
      <c r="E123" s="155" t="s">
        <v>640</v>
      </c>
      <c r="F123" s="156" t="s">
        <v>642</v>
      </c>
      <c r="G123" s="30"/>
      <c r="H123" s="20"/>
      <c r="I123" s="20" t="e">
        <f t="shared" si="4"/>
        <v>#DIV/0!</v>
      </c>
    </row>
    <row r="124" spans="1:9" ht="30.75" customHeight="1">
      <c r="A124" s="105" t="s">
        <v>629</v>
      </c>
      <c r="B124" s="155"/>
      <c r="C124" s="155" t="s">
        <v>237</v>
      </c>
      <c r="D124" s="155" t="s">
        <v>904</v>
      </c>
      <c r="E124" s="159" t="s">
        <v>643</v>
      </c>
      <c r="F124" s="157"/>
      <c r="G124" s="30">
        <f>SUM(G127)+G125</f>
        <v>2771.4</v>
      </c>
      <c r="H124" s="20">
        <f>SUM(H127)</f>
        <v>1317.4</v>
      </c>
      <c r="I124" s="20">
        <f t="shared" si="4"/>
        <v>47.535541603521686</v>
      </c>
    </row>
    <row r="125" spans="1:9" ht="31.5" customHeight="1" hidden="1">
      <c r="A125" s="106" t="s">
        <v>482</v>
      </c>
      <c r="B125" s="155"/>
      <c r="C125" s="155" t="s">
        <v>237</v>
      </c>
      <c r="D125" s="155" t="s">
        <v>904</v>
      </c>
      <c r="E125" s="159" t="s">
        <v>644</v>
      </c>
      <c r="F125" s="157"/>
      <c r="G125" s="30">
        <f>SUM(G126)</f>
        <v>0</v>
      </c>
      <c r="H125" s="20"/>
      <c r="I125" s="20"/>
    </row>
    <row r="126" spans="1:10" ht="25.5" customHeight="1" hidden="1">
      <c r="A126" s="105" t="s">
        <v>483</v>
      </c>
      <c r="B126" s="155"/>
      <c r="C126" s="155" t="s">
        <v>237</v>
      </c>
      <c r="D126" s="155" t="s">
        <v>904</v>
      </c>
      <c r="E126" s="159" t="s">
        <v>644</v>
      </c>
      <c r="F126" s="157" t="s">
        <v>933</v>
      </c>
      <c r="G126" s="30"/>
      <c r="H126" s="20"/>
      <c r="I126" s="20"/>
      <c r="J126" s="246">
        <f>SUM('ведомствен.2013'!G723)</f>
        <v>0</v>
      </c>
    </row>
    <row r="127" spans="1:9" ht="30.75" customHeight="1">
      <c r="A127" s="106" t="s">
        <v>361</v>
      </c>
      <c r="B127" s="155"/>
      <c r="C127" s="155" t="s">
        <v>237</v>
      </c>
      <c r="D127" s="155" t="s">
        <v>904</v>
      </c>
      <c r="E127" s="159" t="s">
        <v>808</v>
      </c>
      <c r="F127" s="157"/>
      <c r="G127" s="30">
        <f>SUM(G131)+G129+G132</f>
        <v>2771.4</v>
      </c>
      <c r="H127" s="20">
        <f>SUM(H131)</f>
        <v>1317.4</v>
      </c>
      <c r="I127" s="20">
        <f t="shared" si="4"/>
        <v>47.535541603521686</v>
      </c>
    </row>
    <row r="128" spans="1:9" ht="72" customHeight="1" hidden="1">
      <c r="A128" s="106" t="s">
        <v>632</v>
      </c>
      <c r="B128" s="155"/>
      <c r="C128" s="155" t="s">
        <v>237</v>
      </c>
      <c r="D128" s="155" t="s">
        <v>904</v>
      </c>
      <c r="E128" s="155" t="s">
        <v>570</v>
      </c>
      <c r="F128" s="156"/>
      <c r="G128" s="30">
        <f>SUM(G129)</f>
        <v>0</v>
      </c>
      <c r="H128" s="20">
        <v>41.9</v>
      </c>
      <c r="I128" s="20" t="e">
        <f>SUM(H128/G128*100)</f>
        <v>#DIV/0!</v>
      </c>
    </row>
    <row r="129" spans="1:10" ht="44.25" customHeight="1" hidden="1">
      <c r="A129" s="106" t="s">
        <v>363</v>
      </c>
      <c r="B129" s="155"/>
      <c r="C129" s="155" t="s">
        <v>237</v>
      </c>
      <c r="D129" s="155" t="s">
        <v>904</v>
      </c>
      <c r="E129" s="159" t="s">
        <v>570</v>
      </c>
      <c r="F129" s="157" t="s">
        <v>875</v>
      </c>
      <c r="G129" s="30"/>
      <c r="H129" s="20">
        <v>1317.4</v>
      </c>
      <c r="I129" s="20" t="e">
        <f>SUM(H129/G129*100)</f>
        <v>#DIV/0!</v>
      </c>
      <c r="J129" s="246">
        <f>SUM('ведомствен.2013'!G299)</f>
        <v>0</v>
      </c>
    </row>
    <row r="130" spans="1:9" ht="29.25" customHeight="1">
      <c r="A130" s="106" t="s">
        <v>809</v>
      </c>
      <c r="B130" s="155"/>
      <c r="C130" s="155" t="s">
        <v>237</v>
      </c>
      <c r="D130" s="155" t="s">
        <v>904</v>
      </c>
      <c r="E130" s="159" t="s">
        <v>810</v>
      </c>
      <c r="F130" s="157"/>
      <c r="G130" s="30">
        <f>SUM(G131)</f>
        <v>2690.8</v>
      </c>
      <c r="H130" s="20"/>
      <c r="I130" s="20"/>
    </row>
    <row r="131" spans="1:10" ht="42" customHeight="1">
      <c r="A131" s="106" t="s">
        <v>362</v>
      </c>
      <c r="B131" s="155"/>
      <c r="C131" s="155" t="s">
        <v>237</v>
      </c>
      <c r="D131" s="155" t="s">
        <v>904</v>
      </c>
      <c r="E131" s="159" t="s">
        <v>810</v>
      </c>
      <c r="F131" s="157" t="s">
        <v>485</v>
      </c>
      <c r="G131" s="30">
        <v>2690.8</v>
      </c>
      <c r="H131" s="20">
        <v>1317.4</v>
      </c>
      <c r="I131" s="20">
        <f t="shared" si="4"/>
        <v>48.95941727367325</v>
      </c>
      <c r="J131" s="246">
        <f>SUM('ведомствен.2013'!G301)</f>
        <v>2690.8</v>
      </c>
    </row>
    <row r="132" spans="1:9" ht="33" customHeight="1">
      <c r="A132" s="106" t="s">
        <v>711</v>
      </c>
      <c r="B132" s="155"/>
      <c r="C132" s="155" t="s">
        <v>237</v>
      </c>
      <c r="D132" s="155" t="s">
        <v>904</v>
      </c>
      <c r="E132" s="155" t="s">
        <v>160</v>
      </c>
      <c r="F132" s="156"/>
      <c r="G132" s="30">
        <f>SUM(G134+G136+G138)</f>
        <v>80.6</v>
      </c>
      <c r="H132" s="20"/>
      <c r="I132" s="20"/>
    </row>
    <row r="133" spans="1:10" ht="29.25" customHeight="1" hidden="1">
      <c r="A133" s="106" t="s">
        <v>711</v>
      </c>
      <c r="B133" s="155"/>
      <c r="C133" s="155" t="s">
        <v>237</v>
      </c>
      <c r="D133" s="155" t="s">
        <v>904</v>
      </c>
      <c r="E133" s="155" t="s">
        <v>160</v>
      </c>
      <c r="F133" s="156" t="s">
        <v>566</v>
      </c>
      <c r="G133" s="30"/>
      <c r="H133" s="20"/>
      <c r="I133" s="20"/>
      <c r="J133" s="246">
        <f>SUM('ведомствен.2013'!G303)</f>
        <v>0</v>
      </c>
    </row>
    <row r="134" spans="1:9" ht="38.25" customHeight="1">
      <c r="A134" s="106" t="s">
        <v>437</v>
      </c>
      <c r="B134" s="155"/>
      <c r="C134" s="155" t="s">
        <v>237</v>
      </c>
      <c r="D134" s="155" t="s">
        <v>904</v>
      </c>
      <c r="E134" s="155" t="s">
        <v>161</v>
      </c>
      <c r="F134" s="156"/>
      <c r="G134" s="30">
        <f>SUM(G135)</f>
        <v>40.3</v>
      </c>
      <c r="H134" s="20"/>
      <c r="I134" s="20"/>
    </row>
    <row r="135" spans="1:10" ht="34.5" customHeight="1">
      <c r="A135" s="106" t="s">
        <v>711</v>
      </c>
      <c r="B135" s="155"/>
      <c r="C135" s="155" t="s">
        <v>237</v>
      </c>
      <c r="D135" s="155" t="s">
        <v>904</v>
      </c>
      <c r="E135" s="155" t="s">
        <v>161</v>
      </c>
      <c r="F135" s="156" t="s">
        <v>566</v>
      </c>
      <c r="G135" s="30">
        <v>40.3</v>
      </c>
      <c r="H135" s="20"/>
      <c r="I135" s="20"/>
      <c r="J135" s="246">
        <f>SUM('ведомствен.2013'!G305)</f>
        <v>40.3</v>
      </c>
    </row>
    <row r="136" spans="1:9" ht="30.75" customHeight="1">
      <c r="A136" s="106" t="s">
        <v>159</v>
      </c>
      <c r="B136" s="155"/>
      <c r="C136" s="155" t="s">
        <v>237</v>
      </c>
      <c r="D136" s="155" t="s">
        <v>904</v>
      </c>
      <c r="E136" s="155" t="s">
        <v>158</v>
      </c>
      <c r="F136" s="156"/>
      <c r="G136" s="30">
        <f>SUM(G137)</f>
        <v>40.3</v>
      </c>
      <c r="H136" s="20"/>
      <c r="I136" s="20"/>
    </row>
    <row r="137" spans="1:10" ht="31.5" customHeight="1">
      <c r="A137" s="106" t="s">
        <v>711</v>
      </c>
      <c r="B137" s="155"/>
      <c r="C137" s="155" t="s">
        <v>237</v>
      </c>
      <c r="D137" s="155" t="s">
        <v>904</v>
      </c>
      <c r="E137" s="155" t="s">
        <v>158</v>
      </c>
      <c r="F137" s="156" t="s">
        <v>566</v>
      </c>
      <c r="G137" s="30">
        <v>40.3</v>
      </c>
      <c r="H137" s="20"/>
      <c r="I137" s="20"/>
      <c r="J137" s="246">
        <f>SUM('ведомствен.2013'!G307)</f>
        <v>40.3</v>
      </c>
    </row>
    <row r="138" spans="1:9" ht="29.25" customHeight="1" hidden="1">
      <c r="A138" s="106" t="s">
        <v>838</v>
      </c>
      <c r="B138" s="155"/>
      <c r="C138" s="155" t="s">
        <v>237</v>
      </c>
      <c r="D138" s="155" t="s">
        <v>904</v>
      </c>
      <c r="E138" s="155" t="s">
        <v>839</v>
      </c>
      <c r="F138" s="156"/>
      <c r="G138" s="30">
        <f>SUM(G139)</f>
        <v>0</v>
      </c>
      <c r="H138" s="20"/>
      <c r="I138" s="20"/>
    </row>
    <row r="139" spans="1:10" ht="29.25" customHeight="1" hidden="1">
      <c r="A139" s="106" t="s">
        <v>711</v>
      </c>
      <c r="B139" s="155"/>
      <c r="C139" s="155" t="s">
        <v>237</v>
      </c>
      <c r="D139" s="155" t="s">
        <v>904</v>
      </c>
      <c r="E139" s="155" t="s">
        <v>839</v>
      </c>
      <c r="F139" s="156" t="s">
        <v>566</v>
      </c>
      <c r="G139" s="30"/>
      <c r="H139" s="20"/>
      <c r="I139" s="20"/>
      <c r="J139" s="246">
        <f>SUM('ведомствен.2013'!G309)</f>
        <v>0</v>
      </c>
    </row>
    <row r="140" spans="1:12" ht="18" customHeight="1" hidden="1">
      <c r="A140" s="106" t="s">
        <v>634</v>
      </c>
      <c r="B140" s="155"/>
      <c r="C140" s="155" t="s">
        <v>237</v>
      </c>
      <c r="D140" s="155" t="s">
        <v>904</v>
      </c>
      <c r="E140" s="155" t="s">
        <v>635</v>
      </c>
      <c r="F140" s="158"/>
      <c r="G140" s="30">
        <f>SUM(G141)</f>
        <v>0</v>
      </c>
      <c r="H140" s="20">
        <f>SUM(H141)</f>
        <v>0</v>
      </c>
      <c r="I140" s="20" t="e">
        <f t="shared" si="4"/>
        <v>#DIV/0!</v>
      </c>
      <c r="L140" s="95"/>
    </row>
    <row r="141" spans="1:9" ht="16.5" customHeight="1" hidden="1">
      <c r="A141" s="106" t="s">
        <v>598</v>
      </c>
      <c r="B141" s="155"/>
      <c r="C141" s="155" t="s">
        <v>237</v>
      </c>
      <c r="D141" s="155" t="s">
        <v>904</v>
      </c>
      <c r="E141" s="155" t="s">
        <v>635</v>
      </c>
      <c r="F141" s="158" t="s">
        <v>599</v>
      </c>
      <c r="G141" s="30">
        <f>SUM(G142+G143)</f>
        <v>0</v>
      </c>
      <c r="H141" s="20">
        <f>SUM(H142+H143)</f>
        <v>0</v>
      </c>
      <c r="I141" s="20" t="e">
        <f t="shared" si="4"/>
        <v>#DIV/0!</v>
      </c>
    </row>
    <row r="142" spans="1:9" ht="21" customHeight="1" hidden="1">
      <c r="A142" s="106" t="s">
        <v>645</v>
      </c>
      <c r="B142" s="155"/>
      <c r="C142" s="155" t="s">
        <v>237</v>
      </c>
      <c r="D142" s="155" t="s">
        <v>904</v>
      </c>
      <c r="E142" s="155" t="s">
        <v>646</v>
      </c>
      <c r="F142" s="158" t="s">
        <v>599</v>
      </c>
      <c r="G142" s="30"/>
      <c r="H142" s="20"/>
      <c r="I142" s="20" t="e">
        <f t="shared" si="4"/>
        <v>#DIV/0!</v>
      </c>
    </row>
    <row r="143" spans="1:9" ht="27.75" customHeight="1" hidden="1">
      <c r="A143" s="106" t="s">
        <v>647</v>
      </c>
      <c r="B143" s="155"/>
      <c r="C143" s="155" t="s">
        <v>237</v>
      </c>
      <c r="D143" s="155" t="s">
        <v>152</v>
      </c>
      <c r="E143" s="155" t="s">
        <v>648</v>
      </c>
      <c r="F143" s="158" t="s">
        <v>599</v>
      </c>
      <c r="G143" s="30"/>
      <c r="H143" s="20"/>
      <c r="I143" s="20" t="e">
        <f t="shared" si="4"/>
        <v>#DIV/0!</v>
      </c>
    </row>
    <row r="144" spans="1:12" s="19" customFormat="1" ht="30">
      <c r="A144" s="134" t="s">
        <v>649</v>
      </c>
      <c r="B144" s="189"/>
      <c r="C144" s="214" t="s">
        <v>601</v>
      </c>
      <c r="D144" s="214"/>
      <c r="E144" s="214"/>
      <c r="F144" s="215"/>
      <c r="G144" s="224">
        <f>SUM(G145+G172)+G195+G168</f>
        <v>26731.699999999997</v>
      </c>
      <c r="H144" s="26">
        <f>SUM(H145+H172)+H195</f>
        <v>52801.7</v>
      </c>
      <c r="I144" s="26">
        <f t="shared" si="4"/>
        <v>197.52466173120305</v>
      </c>
      <c r="J144" s="247"/>
      <c r="K144" s="19">
        <f>SUM(J168:J194)</f>
        <v>26731.699999999997</v>
      </c>
      <c r="L144" s="19">
        <f>SUM('ведомствен.2013'!G314+'ведомствен.2013'!G724+'ведомствен.2013'!G998)</f>
        <v>26731.699999999997</v>
      </c>
    </row>
    <row r="145" spans="1:9" ht="15" hidden="1">
      <c r="A145" s="106" t="s">
        <v>650</v>
      </c>
      <c r="B145" s="155"/>
      <c r="C145" s="155" t="s">
        <v>601</v>
      </c>
      <c r="D145" s="155" t="s">
        <v>239</v>
      </c>
      <c r="E145" s="155"/>
      <c r="F145" s="157"/>
      <c r="G145" s="30">
        <f>SUM(G146)</f>
        <v>0</v>
      </c>
      <c r="H145" s="20">
        <f>SUM(H146)</f>
        <v>36922.5</v>
      </c>
      <c r="I145" s="20" t="e">
        <f t="shared" si="4"/>
        <v>#DIV/0!</v>
      </c>
    </row>
    <row r="146" spans="1:9" ht="15" hidden="1">
      <c r="A146" s="106" t="s">
        <v>650</v>
      </c>
      <c r="B146" s="155"/>
      <c r="C146" s="155" t="s">
        <v>601</v>
      </c>
      <c r="D146" s="155" t="s">
        <v>239</v>
      </c>
      <c r="E146" s="155"/>
      <c r="F146" s="156"/>
      <c r="G146" s="30">
        <f>SUM(G147+G164)</f>
        <v>0</v>
      </c>
      <c r="H146" s="20">
        <f>SUM(H147+H164)</f>
        <v>36922.5</v>
      </c>
      <c r="I146" s="20" t="e">
        <f t="shared" si="4"/>
        <v>#DIV/0!</v>
      </c>
    </row>
    <row r="147" spans="1:9" ht="18.75" customHeight="1" hidden="1">
      <c r="A147" s="133" t="s">
        <v>651</v>
      </c>
      <c r="B147" s="155"/>
      <c r="C147" s="155" t="s">
        <v>601</v>
      </c>
      <c r="D147" s="155" t="s">
        <v>239</v>
      </c>
      <c r="E147" s="175" t="s">
        <v>946</v>
      </c>
      <c r="F147" s="156"/>
      <c r="G147" s="30">
        <f>SUM(G148+G150+G152+G154+G157+G162)</f>
        <v>0</v>
      </c>
      <c r="H147" s="20">
        <f>SUM(H148+H150+H152+H154+H157+H162)</f>
        <v>36646.8</v>
      </c>
      <c r="I147" s="20" t="e">
        <f t="shared" si="4"/>
        <v>#DIV/0!</v>
      </c>
    </row>
    <row r="148" spans="1:9" ht="57" hidden="1">
      <c r="A148" s="133" t="s">
        <v>947</v>
      </c>
      <c r="B148" s="155"/>
      <c r="C148" s="155" t="s">
        <v>601</v>
      </c>
      <c r="D148" s="155" t="s">
        <v>239</v>
      </c>
      <c r="E148" s="175" t="s">
        <v>948</v>
      </c>
      <c r="F148" s="156"/>
      <c r="G148" s="30">
        <f>SUM(G149)</f>
        <v>0</v>
      </c>
      <c r="H148" s="20">
        <f>SUM(H149)</f>
        <v>2461.2</v>
      </c>
      <c r="I148" s="20" t="e">
        <f t="shared" si="4"/>
        <v>#DIV/0!</v>
      </c>
    </row>
    <row r="149" spans="1:9" ht="28.5" hidden="1">
      <c r="A149" s="133" t="s">
        <v>393</v>
      </c>
      <c r="B149" s="155"/>
      <c r="C149" s="155" t="s">
        <v>601</v>
      </c>
      <c r="D149" s="155" t="s">
        <v>239</v>
      </c>
      <c r="E149" s="175" t="s">
        <v>948</v>
      </c>
      <c r="F149" s="156" t="s">
        <v>394</v>
      </c>
      <c r="G149" s="30"/>
      <c r="H149" s="20">
        <v>2461.2</v>
      </c>
      <c r="I149" s="20" t="e">
        <f t="shared" si="4"/>
        <v>#DIV/0!</v>
      </c>
    </row>
    <row r="150" spans="1:9" ht="15" hidden="1">
      <c r="A150" s="133" t="s">
        <v>395</v>
      </c>
      <c r="B150" s="155"/>
      <c r="C150" s="155" t="s">
        <v>601</v>
      </c>
      <c r="D150" s="155" t="s">
        <v>239</v>
      </c>
      <c r="E150" s="175" t="s">
        <v>396</v>
      </c>
      <c r="F150" s="156"/>
      <c r="G150" s="30">
        <f>SUM(G151)</f>
        <v>0</v>
      </c>
      <c r="H150" s="20">
        <f>SUM(H151)</f>
        <v>25107.2</v>
      </c>
      <c r="I150" s="20" t="e">
        <f t="shared" si="4"/>
        <v>#DIV/0!</v>
      </c>
    </row>
    <row r="151" spans="1:9" ht="41.25" customHeight="1" hidden="1">
      <c r="A151" s="133" t="s">
        <v>393</v>
      </c>
      <c r="B151" s="155"/>
      <c r="C151" s="155" t="s">
        <v>601</v>
      </c>
      <c r="D151" s="155" t="s">
        <v>239</v>
      </c>
      <c r="E151" s="175" t="s">
        <v>396</v>
      </c>
      <c r="F151" s="156" t="s">
        <v>394</v>
      </c>
      <c r="G151" s="30"/>
      <c r="H151" s="20">
        <v>25107.2</v>
      </c>
      <c r="I151" s="20" t="e">
        <f t="shared" si="4"/>
        <v>#DIV/0!</v>
      </c>
    </row>
    <row r="152" spans="1:9" ht="31.5" customHeight="1" hidden="1">
      <c r="A152" s="133" t="s">
        <v>397</v>
      </c>
      <c r="B152" s="155"/>
      <c r="C152" s="155" t="s">
        <v>601</v>
      </c>
      <c r="D152" s="155" t="s">
        <v>239</v>
      </c>
      <c r="E152" s="175" t="s">
        <v>398</v>
      </c>
      <c r="F152" s="156"/>
      <c r="G152" s="30">
        <f>SUM(G153)</f>
        <v>0</v>
      </c>
      <c r="H152" s="20">
        <f>SUM(H153)</f>
        <v>7951.2</v>
      </c>
      <c r="I152" s="20" t="e">
        <f t="shared" si="4"/>
        <v>#DIV/0!</v>
      </c>
    </row>
    <row r="153" spans="1:9" ht="28.5" hidden="1">
      <c r="A153" s="133" t="s">
        <v>393</v>
      </c>
      <c r="B153" s="155"/>
      <c r="C153" s="155" t="s">
        <v>601</v>
      </c>
      <c r="D153" s="155" t="s">
        <v>239</v>
      </c>
      <c r="E153" s="175" t="s">
        <v>398</v>
      </c>
      <c r="F153" s="156" t="s">
        <v>394</v>
      </c>
      <c r="G153" s="30"/>
      <c r="H153" s="20">
        <v>7951.2</v>
      </c>
      <c r="I153" s="20" t="e">
        <f t="shared" si="4"/>
        <v>#DIV/0!</v>
      </c>
    </row>
    <row r="154" spans="1:9" ht="15" hidden="1">
      <c r="A154" s="133" t="s">
        <v>399</v>
      </c>
      <c r="B154" s="155"/>
      <c r="C154" s="155" t="s">
        <v>601</v>
      </c>
      <c r="D154" s="155" t="s">
        <v>239</v>
      </c>
      <c r="E154" s="175" t="s">
        <v>400</v>
      </c>
      <c r="F154" s="156"/>
      <c r="G154" s="30">
        <f>SUM(G155)</f>
        <v>0</v>
      </c>
      <c r="H154" s="20">
        <f>SUM(H155)</f>
        <v>73.1</v>
      </c>
      <c r="I154" s="20" t="e">
        <f t="shared" si="4"/>
        <v>#DIV/0!</v>
      </c>
    </row>
    <row r="155" spans="1:9" ht="30.75" customHeight="1" hidden="1">
      <c r="A155" s="133" t="s">
        <v>1021</v>
      </c>
      <c r="B155" s="155"/>
      <c r="C155" s="155" t="s">
        <v>601</v>
      </c>
      <c r="D155" s="155" t="s">
        <v>239</v>
      </c>
      <c r="E155" s="175" t="s">
        <v>1022</v>
      </c>
      <c r="F155" s="156"/>
      <c r="G155" s="30">
        <f>SUM(G156)</f>
        <v>0</v>
      </c>
      <c r="H155" s="20">
        <f>SUM(H156)</f>
        <v>73.1</v>
      </c>
      <c r="I155" s="20" t="e">
        <f t="shared" si="4"/>
        <v>#DIV/0!</v>
      </c>
    </row>
    <row r="156" spans="1:9" ht="28.5" hidden="1">
      <c r="A156" s="133" t="s">
        <v>393</v>
      </c>
      <c r="B156" s="155"/>
      <c r="C156" s="155" t="s">
        <v>601</v>
      </c>
      <c r="D156" s="155" t="s">
        <v>239</v>
      </c>
      <c r="E156" s="175" t="s">
        <v>1022</v>
      </c>
      <c r="F156" s="156" t="s">
        <v>394</v>
      </c>
      <c r="G156" s="30"/>
      <c r="H156" s="20">
        <v>73.1</v>
      </c>
      <c r="I156" s="20" t="e">
        <f t="shared" si="4"/>
        <v>#DIV/0!</v>
      </c>
    </row>
    <row r="157" spans="1:9" ht="15" hidden="1">
      <c r="A157" s="106" t="s">
        <v>1023</v>
      </c>
      <c r="B157" s="155"/>
      <c r="C157" s="155" t="s">
        <v>1024</v>
      </c>
      <c r="D157" s="155" t="s">
        <v>239</v>
      </c>
      <c r="E157" s="175" t="s">
        <v>1025</v>
      </c>
      <c r="F157" s="156"/>
      <c r="G157" s="30">
        <f>SUM(G158+G160)</f>
        <v>0</v>
      </c>
      <c r="H157" s="20">
        <f>SUM(H158+H160)</f>
        <v>66.8</v>
      </c>
      <c r="I157" s="20" t="e">
        <f t="shared" si="4"/>
        <v>#DIV/0!</v>
      </c>
    </row>
    <row r="158" spans="1:9" ht="28.5" hidden="1">
      <c r="A158" s="133" t="s">
        <v>1026</v>
      </c>
      <c r="B158" s="155"/>
      <c r="C158" s="155" t="s">
        <v>1024</v>
      </c>
      <c r="D158" s="155" t="s">
        <v>239</v>
      </c>
      <c r="E158" s="175" t="s">
        <v>1027</v>
      </c>
      <c r="F158" s="156"/>
      <c r="G158" s="30">
        <f>SUM(G159)</f>
        <v>0</v>
      </c>
      <c r="H158" s="20">
        <f>SUM(H159)</f>
        <v>0</v>
      </c>
      <c r="I158" s="20" t="e">
        <f aca="true" t="shared" si="5" ref="I158:I249">SUM(H158/G158*100)</f>
        <v>#DIV/0!</v>
      </c>
    </row>
    <row r="159" spans="1:9" ht="28.5" hidden="1">
      <c r="A159" s="133" t="s">
        <v>393</v>
      </c>
      <c r="B159" s="155"/>
      <c r="C159" s="155" t="s">
        <v>1024</v>
      </c>
      <c r="D159" s="155" t="s">
        <v>239</v>
      </c>
      <c r="E159" s="175" t="s">
        <v>1027</v>
      </c>
      <c r="F159" s="156" t="s">
        <v>394</v>
      </c>
      <c r="G159" s="30"/>
      <c r="H159" s="20"/>
      <c r="I159" s="20" t="e">
        <f t="shared" si="5"/>
        <v>#DIV/0!</v>
      </c>
    </row>
    <row r="160" spans="1:9" ht="15" hidden="1">
      <c r="A160" s="133" t="s">
        <v>1028</v>
      </c>
      <c r="B160" s="155"/>
      <c r="C160" s="155" t="s">
        <v>1024</v>
      </c>
      <c r="D160" s="155" t="s">
        <v>239</v>
      </c>
      <c r="E160" s="175" t="s">
        <v>1029</v>
      </c>
      <c r="F160" s="156"/>
      <c r="G160" s="30">
        <f>SUM(G161)</f>
        <v>0</v>
      </c>
      <c r="H160" s="20">
        <f>SUM(H161)</f>
        <v>66.8</v>
      </c>
      <c r="I160" s="20" t="e">
        <f t="shared" si="5"/>
        <v>#DIV/0!</v>
      </c>
    </row>
    <row r="161" spans="1:9" ht="28.5" hidden="1">
      <c r="A161" s="133" t="s">
        <v>393</v>
      </c>
      <c r="B161" s="155"/>
      <c r="C161" s="155" t="s">
        <v>1024</v>
      </c>
      <c r="D161" s="155" t="s">
        <v>239</v>
      </c>
      <c r="E161" s="175" t="s">
        <v>1029</v>
      </c>
      <c r="F161" s="156" t="s">
        <v>394</v>
      </c>
      <c r="G161" s="30"/>
      <c r="H161" s="20">
        <v>66.8</v>
      </c>
      <c r="I161" s="20" t="e">
        <f t="shared" si="5"/>
        <v>#DIV/0!</v>
      </c>
    </row>
    <row r="162" spans="1:9" ht="27" customHeight="1" hidden="1">
      <c r="A162" s="106" t="s">
        <v>1030</v>
      </c>
      <c r="B162" s="155"/>
      <c r="C162" s="155" t="s">
        <v>1024</v>
      </c>
      <c r="D162" s="155" t="s">
        <v>239</v>
      </c>
      <c r="E162" s="175" t="s">
        <v>1031</v>
      </c>
      <c r="F162" s="156"/>
      <c r="G162" s="30">
        <f>SUM(G163)</f>
        <v>0</v>
      </c>
      <c r="H162" s="20">
        <f>SUM(H163)</f>
        <v>987.3</v>
      </c>
      <c r="I162" s="20" t="e">
        <f t="shared" si="5"/>
        <v>#DIV/0!</v>
      </c>
    </row>
    <row r="163" spans="1:9" ht="18.75" customHeight="1" hidden="1">
      <c r="A163" s="133" t="s">
        <v>1032</v>
      </c>
      <c r="B163" s="155"/>
      <c r="C163" s="155" t="s">
        <v>1024</v>
      </c>
      <c r="D163" s="155" t="s">
        <v>239</v>
      </c>
      <c r="E163" s="175" t="s">
        <v>1031</v>
      </c>
      <c r="F163" s="156" t="s">
        <v>1033</v>
      </c>
      <c r="G163" s="30"/>
      <c r="H163" s="20">
        <v>987.3</v>
      </c>
      <c r="I163" s="20" t="e">
        <f t="shared" si="5"/>
        <v>#DIV/0!</v>
      </c>
    </row>
    <row r="164" spans="1:9" ht="15" hidden="1">
      <c r="A164" s="127" t="s">
        <v>634</v>
      </c>
      <c r="B164" s="165"/>
      <c r="C164" s="165" t="s">
        <v>601</v>
      </c>
      <c r="D164" s="165" t="s">
        <v>239</v>
      </c>
      <c r="E164" s="192" t="s">
        <v>635</v>
      </c>
      <c r="F164" s="184"/>
      <c r="G164" s="30">
        <f>SUM(G165)</f>
        <v>0</v>
      </c>
      <c r="H164" s="20">
        <f>SUM(H165)</f>
        <v>275.7</v>
      </c>
      <c r="I164" s="20" t="e">
        <f t="shared" si="5"/>
        <v>#DIV/0!</v>
      </c>
    </row>
    <row r="165" spans="1:9" ht="28.5" hidden="1">
      <c r="A165" s="133" t="s">
        <v>393</v>
      </c>
      <c r="B165" s="165"/>
      <c r="C165" s="165" t="s">
        <v>601</v>
      </c>
      <c r="D165" s="165" t="s">
        <v>239</v>
      </c>
      <c r="E165" s="165" t="s">
        <v>1034</v>
      </c>
      <c r="F165" s="166" t="s">
        <v>394</v>
      </c>
      <c r="G165" s="30">
        <f>SUM(G166)</f>
        <v>0</v>
      </c>
      <c r="H165" s="20">
        <f>SUM(H166)</f>
        <v>275.7</v>
      </c>
      <c r="I165" s="20" t="e">
        <f t="shared" si="5"/>
        <v>#DIV/0!</v>
      </c>
    </row>
    <row r="166" spans="1:9" ht="42" customHeight="1" hidden="1">
      <c r="A166" s="128" t="s">
        <v>211</v>
      </c>
      <c r="B166" s="191"/>
      <c r="C166" s="165" t="s">
        <v>601</v>
      </c>
      <c r="D166" s="165" t="s">
        <v>239</v>
      </c>
      <c r="E166" s="165" t="s">
        <v>1035</v>
      </c>
      <c r="F166" s="166" t="s">
        <v>394</v>
      </c>
      <c r="G166" s="225"/>
      <c r="H166" s="27">
        <v>275.7</v>
      </c>
      <c r="I166" s="20" t="e">
        <f t="shared" si="5"/>
        <v>#DIV/0!</v>
      </c>
    </row>
    <row r="167" spans="1:9" ht="42.75" customHeight="1" hidden="1">
      <c r="A167" s="128" t="s">
        <v>1040</v>
      </c>
      <c r="B167" s="191"/>
      <c r="C167" s="165" t="s">
        <v>601</v>
      </c>
      <c r="D167" s="165" t="s">
        <v>239</v>
      </c>
      <c r="E167" s="165" t="s">
        <v>1041</v>
      </c>
      <c r="F167" s="166" t="s">
        <v>394</v>
      </c>
      <c r="G167" s="225"/>
      <c r="H167" s="27"/>
      <c r="I167" s="20" t="e">
        <f t="shared" si="5"/>
        <v>#DIV/0!</v>
      </c>
    </row>
    <row r="168" spans="1:10" s="25" customFormat="1" ht="18.75" customHeight="1">
      <c r="A168" s="106" t="s">
        <v>488</v>
      </c>
      <c r="B168" s="159"/>
      <c r="C168" s="159" t="s">
        <v>601</v>
      </c>
      <c r="D168" s="159" t="s">
        <v>625</v>
      </c>
      <c r="E168" s="159"/>
      <c r="F168" s="157"/>
      <c r="G168" s="30">
        <f>SUM(G170)</f>
        <v>4716.4</v>
      </c>
      <c r="H168" s="20">
        <f>SUM(H170)</f>
        <v>0</v>
      </c>
      <c r="I168" s="20">
        <f>SUM(H168/G168*100)</f>
        <v>0</v>
      </c>
      <c r="J168" s="250"/>
    </row>
    <row r="169" spans="1:10" s="25" customFormat="1" ht="27.75" customHeight="1">
      <c r="A169" s="105" t="s">
        <v>153</v>
      </c>
      <c r="B169" s="159"/>
      <c r="C169" s="159" t="s">
        <v>601</v>
      </c>
      <c r="D169" s="159" t="s">
        <v>625</v>
      </c>
      <c r="E169" s="159" t="s">
        <v>154</v>
      </c>
      <c r="F169" s="157"/>
      <c r="G169" s="30">
        <f>SUM(G170)</f>
        <v>4716.4</v>
      </c>
      <c r="H169" s="20"/>
      <c r="I169" s="20"/>
      <c r="J169" s="250"/>
    </row>
    <row r="170" spans="1:10" s="25" customFormat="1" ht="15">
      <c r="A170" s="105" t="s">
        <v>926</v>
      </c>
      <c r="B170" s="159"/>
      <c r="C170" s="159" t="s">
        <v>601</v>
      </c>
      <c r="D170" s="159" t="s">
        <v>625</v>
      </c>
      <c r="E170" s="159" t="s">
        <v>927</v>
      </c>
      <c r="F170" s="157"/>
      <c r="G170" s="30">
        <f>SUM(G171)</f>
        <v>4716.4</v>
      </c>
      <c r="H170" s="20">
        <f>SUM(H171)</f>
        <v>0</v>
      </c>
      <c r="I170" s="20">
        <f>SUM(H170/G170*100)</f>
        <v>0</v>
      </c>
      <c r="J170" s="250"/>
    </row>
    <row r="171" spans="1:10" s="25" customFormat="1" ht="20.25" customHeight="1">
      <c r="A171" s="105" t="s">
        <v>598</v>
      </c>
      <c r="B171" s="159"/>
      <c r="C171" s="159" t="s">
        <v>601</v>
      </c>
      <c r="D171" s="159" t="s">
        <v>625</v>
      </c>
      <c r="E171" s="159" t="s">
        <v>927</v>
      </c>
      <c r="F171" s="157" t="s">
        <v>599</v>
      </c>
      <c r="G171" s="30">
        <v>4716.4</v>
      </c>
      <c r="H171" s="20"/>
      <c r="I171" s="20">
        <f>SUM(H171/G171*100)</f>
        <v>0</v>
      </c>
      <c r="J171" s="250">
        <f>SUM('ведомствен.2013'!G318)</f>
        <v>4716.4</v>
      </c>
    </row>
    <row r="172" spans="1:9" ht="45.75" customHeight="1">
      <c r="A172" s="133" t="s">
        <v>0</v>
      </c>
      <c r="B172" s="155"/>
      <c r="C172" s="159" t="s">
        <v>601</v>
      </c>
      <c r="D172" s="159" t="s">
        <v>1</v>
      </c>
      <c r="E172" s="159"/>
      <c r="F172" s="157"/>
      <c r="G172" s="30">
        <f>SUM(G176+G181+G184+G187)+G174+G190</f>
        <v>22015.3</v>
      </c>
      <c r="H172" s="20">
        <f>SUM(H176+H181+H184+H187)+H174</f>
        <v>15879.199999999997</v>
      </c>
      <c r="I172" s="20">
        <f t="shared" si="5"/>
        <v>72.1280200587773</v>
      </c>
    </row>
    <row r="173" spans="1:9" ht="18" customHeight="1" hidden="1">
      <c r="A173" s="106" t="s">
        <v>148</v>
      </c>
      <c r="B173" s="155"/>
      <c r="C173" s="159" t="s">
        <v>601</v>
      </c>
      <c r="D173" s="159" t="s">
        <v>1</v>
      </c>
      <c r="E173" s="159" t="s">
        <v>150</v>
      </c>
      <c r="F173" s="157"/>
      <c r="G173" s="30">
        <f>SUM(G174)</f>
        <v>0</v>
      </c>
      <c r="H173" s="20">
        <f>SUM(H174)</f>
        <v>0</v>
      </c>
      <c r="I173" s="20" t="e">
        <f t="shared" si="5"/>
        <v>#DIV/0!</v>
      </c>
    </row>
    <row r="174" spans="1:9" ht="18.75" customHeight="1" hidden="1">
      <c r="A174" s="106" t="s">
        <v>128</v>
      </c>
      <c r="B174" s="155"/>
      <c r="C174" s="159" t="s">
        <v>601</v>
      </c>
      <c r="D174" s="159" t="s">
        <v>1</v>
      </c>
      <c r="E174" s="159" t="s">
        <v>129</v>
      </c>
      <c r="F174" s="157"/>
      <c r="G174" s="30">
        <f>SUM(G175)</f>
        <v>0</v>
      </c>
      <c r="H174" s="20">
        <f>SUM(H175)</f>
        <v>0</v>
      </c>
      <c r="I174" s="20" t="e">
        <f t="shared" si="5"/>
        <v>#DIV/0!</v>
      </c>
    </row>
    <row r="175" spans="1:9" ht="18" customHeight="1" hidden="1">
      <c r="A175" s="106" t="s">
        <v>598</v>
      </c>
      <c r="B175" s="155"/>
      <c r="C175" s="159" t="s">
        <v>601</v>
      </c>
      <c r="D175" s="159" t="s">
        <v>1</v>
      </c>
      <c r="E175" s="159" t="s">
        <v>129</v>
      </c>
      <c r="F175" s="157" t="s">
        <v>599</v>
      </c>
      <c r="G175" s="30"/>
      <c r="H175" s="20"/>
      <c r="I175" s="20" t="e">
        <f t="shared" si="5"/>
        <v>#DIV/0!</v>
      </c>
    </row>
    <row r="176" spans="1:9" ht="30.75" customHeight="1">
      <c r="A176" s="133" t="s">
        <v>2</v>
      </c>
      <c r="B176" s="155"/>
      <c r="C176" s="159" t="s">
        <v>601</v>
      </c>
      <c r="D176" s="159" t="s">
        <v>1</v>
      </c>
      <c r="E176" s="159" t="s">
        <v>3</v>
      </c>
      <c r="F176" s="157"/>
      <c r="G176" s="30">
        <f>SUM(G177)+G179</f>
        <v>6332.5</v>
      </c>
      <c r="H176" s="20">
        <f>SUM(H177)+H179</f>
        <v>10264.099999999999</v>
      </c>
      <c r="I176" s="20">
        <f t="shared" si="5"/>
        <v>162.08606395578363</v>
      </c>
    </row>
    <row r="177" spans="1:9" ht="43.5" customHeight="1">
      <c r="A177" s="133" t="s">
        <v>4</v>
      </c>
      <c r="B177" s="155"/>
      <c r="C177" s="159" t="s">
        <v>601</v>
      </c>
      <c r="D177" s="159" t="s">
        <v>1</v>
      </c>
      <c r="E177" s="159" t="s">
        <v>5</v>
      </c>
      <c r="F177" s="157"/>
      <c r="G177" s="30">
        <f>SUM(G178)</f>
        <v>1332.5</v>
      </c>
      <c r="H177" s="20">
        <f>SUM(H178)</f>
        <v>438.8</v>
      </c>
      <c r="I177" s="20">
        <f t="shared" si="5"/>
        <v>32.930581613508444</v>
      </c>
    </row>
    <row r="178" spans="1:10" ht="18.75" customHeight="1">
      <c r="A178" s="106" t="s">
        <v>598</v>
      </c>
      <c r="B178" s="155"/>
      <c r="C178" s="159" t="s">
        <v>601</v>
      </c>
      <c r="D178" s="159" t="s">
        <v>1</v>
      </c>
      <c r="E178" s="159" t="s">
        <v>5</v>
      </c>
      <c r="F178" s="157" t="s">
        <v>599</v>
      </c>
      <c r="G178" s="30">
        <v>1332.5</v>
      </c>
      <c r="H178" s="20">
        <v>438.8</v>
      </c>
      <c r="I178" s="20">
        <f t="shared" si="5"/>
        <v>32.930581613508444</v>
      </c>
      <c r="J178" s="246">
        <f>SUM('ведомствен.2013'!G325)</f>
        <v>1332.5</v>
      </c>
    </row>
    <row r="179" spans="1:9" ht="28.5">
      <c r="A179" s="106" t="s">
        <v>332</v>
      </c>
      <c r="B179" s="155"/>
      <c r="C179" s="159" t="s">
        <v>601</v>
      </c>
      <c r="D179" s="159" t="s">
        <v>1</v>
      </c>
      <c r="E179" s="159" t="s">
        <v>333</v>
      </c>
      <c r="F179" s="157"/>
      <c r="G179" s="30">
        <f>SUM(G180)</f>
        <v>5000</v>
      </c>
      <c r="H179" s="20">
        <f>SUM(H180)</f>
        <v>9825.3</v>
      </c>
      <c r="I179" s="20">
        <f t="shared" si="5"/>
        <v>196.50599999999997</v>
      </c>
    </row>
    <row r="180" spans="1:10" ht="18.75" customHeight="1">
      <c r="A180" s="106" t="s">
        <v>146</v>
      </c>
      <c r="B180" s="155"/>
      <c r="C180" s="159" t="s">
        <v>601</v>
      </c>
      <c r="D180" s="159" t="s">
        <v>1</v>
      </c>
      <c r="E180" s="159" t="s">
        <v>333</v>
      </c>
      <c r="F180" s="157" t="s">
        <v>147</v>
      </c>
      <c r="G180" s="30">
        <v>5000</v>
      </c>
      <c r="H180" s="20">
        <v>9825.3</v>
      </c>
      <c r="I180" s="20">
        <f t="shared" si="5"/>
        <v>196.50599999999997</v>
      </c>
      <c r="J180" s="246">
        <f>SUM('ведомствен.2013'!G327)</f>
        <v>5000</v>
      </c>
    </row>
    <row r="181" spans="1:9" ht="18.75" customHeight="1">
      <c r="A181" s="133" t="s">
        <v>334</v>
      </c>
      <c r="B181" s="165"/>
      <c r="C181" s="165" t="s">
        <v>601</v>
      </c>
      <c r="D181" s="165" t="s">
        <v>1</v>
      </c>
      <c r="E181" s="165" t="s">
        <v>335</v>
      </c>
      <c r="F181" s="166"/>
      <c r="G181" s="30">
        <f>SUM(G182)</f>
        <v>346.9</v>
      </c>
      <c r="H181" s="20">
        <f>SUM(H182)</f>
        <v>227.3</v>
      </c>
      <c r="I181" s="20">
        <f t="shared" si="5"/>
        <v>65.52320553473623</v>
      </c>
    </row>
    <row r="182" spans="1:9" ht="31.5" customHeight="1">
      <c r="A182" s="133" t="s">
        <v>336</v>
      </c>
      <c r="B182" s="165"/>
      <c r="C182" s="165" t="s">
        <v>601</v>
      </c>
      <c r="D182" s="165" t="s">
        <v>1</v>
      </c>
      <c r="E182" s="165" t="s">
        <v>337</v>
      </c>
      <c r="F182" s="166"/>
      <c r="G182" s="30">
        <f>SUM(G183)</f>
        <v>346.9</v>
      </c>
      <c r="H182" s="20">
        <f>SUM(H183)</f>
        <v>227.3</v>
      </c>
      <c r="I182" s="20">
        <f t="shared" si="5"/>
        <v>65.52320553473623</v>
      </c>
    </row>
    <row r="183" spans="1:10" ht="19.5" customHeight="1">
      <c r="A183" s="106" t="s">
        <v>598</v>
      </c>
      <c r="B183" s="165"/>
      <c r="C183" s="165" t="s">
        <v>601</v>
      </c>
      <c r="D183" s="165" t="s">
        <v>1</v>
      </c>
      <c r="E183" s="165" t="s">
        <v>337</v>
      </c>
      <c r="F183" s="166" t="s">
        <v>599</v>
      </c>
      <c r="G183" s="30">
        <v>346.9</v>
      </c>
      <c r="H183" s="20">
        <v>227.3</v>
      </c>
      <c r="I183" s="20">
        <f t="shared" si="5"/>
        <v>65.52320553473623</v>
      </c>
      <c r="J183" s="246">
        <f>SUM('ведомствен.2013'!G330)</f>
        <v>346.9</v>
      </c>
    </row>
    <row r="184" spans="1:9" ht="45.75" customHeight="1">
      <c r="A184" s="106" t="s">
        <v>484</v>
      </c>
      <c r="B184" s="155"/>
      <c r="C184" s="159" t="s">
        <v>601</v>
      </c>
      <c r="D184" s="159" t="s">
        <v>1</v>
      </c>
      <c r="E184" s="159" t="s">
        <v>338</v>
      </c>
      <c r="F184" s="157"/>
      <c r="G184" s="30">
        <f>SUM(G185)</f>
        <v>13053.9</v>
      </c>
      <c r="H184" s="20">
        <f>SUM(H185)</f>
        <v>5387.8</v>
      </c>
      <c r="I184" s="20">
        <f t="shared" si="5"/>
        <v>41.27348914883675</v>
      </c>
    </row>
    <row r="185" spans="1:9" ht="29.25" customHeight="1">
      <c r="A185" s="106" t="s">
        <v>482</v>
      </c>
      <c r="B185" s="155"/>
      <c r="C185" s="159" t="s">
        <v>601</v>
      </c>
      <c r="D185" s="159" t="s">
        <v>1</v>
      </c>
      <c r="E185" s="159" t="s">
        <v>339</v>
      </c>
      <c r="F185" s="157"/>
      <c r="G185" s="30">
        <f>SUM(G186)</f>
        <v>13053.9</v>
      </c>
      <c r="H185" s="20">
        <f>SUM(H186)</f>
        <v>5387.8</v>
      </c>
      <c r="I185" s="20">
        <f t="shared" si="5"/>
        <v>41.27348914883675</v>
      </c>
    </row>
    <row r="186" spans="1:10" ht="18" customHeight="1">
      <c r="A186" s="108" t="s">
        <v>483</v>
      </c>
      <c r="B186" s="120"/>
      <c r="C186" s="180" t="s">
        <v>601</v>
      </c>
      <c r="D186" s="180" t="s">
        <v>1</v>
      </c>
      <c r="E186" s="180" t="s">
        <v>339</v>
      </c>
      <c r="F186" s="158" t="s">
        <v>933</v>
      </c>
      <c r="G186" s="30">
        <v>13053.9</v>
      </c>
      <c r="H186" s="20">
        <v>5387.8</v>
      </c>
      <c r="I186" s="20">
        <f t="shared" si="5"/>
        <v>41.27348914883675</v>
      </c>
      <c r="J186" s="246">
        <f>SUM('ведомствен.2013'!G333)+'ведомствен.2013'!G728</f>
        <v>13053.9</v>
      </c>
    </row>
    <row r="187" spans="1:10" s="28" customFormat="1" ht="16.5" customHeight="1" hidden="1">
      <c r="A187" s="106" t="s">
        <v>340</v>
      </c>
      <c r="B187" s="120"/>
      <c r="C187" s="180" t="s">
        <v>601</v>
      </c>
      <c r="D187" s="180" t="s">
        <v>1</v>
      </c>
      <c r="E187" s="180" t="s">
        <v>341</v>
      </c>
      <c r="F187" s="158"/>
      <c r="G187" s="30">
        <f>SUM(G189)</f>
        <v>0</v>
      </c>
      <c r="H187" s="20">
        <f>SUM(H189)</f>
        <v>0</v>
      </c>
      <c r="I187" s="20" t="e">
        <f t="shared" si="5"/>
        <v>#DIV/0!</v>
      </c>
      <c r="J187" s="251"/>
    </row>
    <row r="188" spans="1:10" s="28" customFormat="1" ht="16.5" customHeight="1" hidden="1">
      <c r="A188" s="133" t="s">
        <v>342</v>
      </c>
      <c r="B188" s="155"/>
      <c r="C188" s="159" t="s">
        <v>601</v>
      </c>
      <c r="D188" s="159" t="s">
        <v>1</v>
      </c>
      <c r="E188" s="165" t="s">
        <v>343</v>
      </c>
      <c r="F188" s="157"/>
      <c r="G188" s="30">
        <f>SUM(G189)</f>
        <v>0</v>
      </c>
      <c r="H188" s="20">
        <f>SUM(H189)</f>
        <v>0</v>
      </c>
      <c r="I188" s="20" t="e">
        <f t="shared" si="5"/>
        <v>#DIV/0!</v>
      </c>
      <c r="J188" s="251"/>
    </row>
    <row r="189" spans="1:9" ht="58.5" customHeight="1" hidden="1">
      <c r="A189" s="133" t="s">
        <v>344</v>
      </c>
      <c r="B189" s="155"/>
      <c r="C189" s="159" t="s">
        <v>601</v>
      </c>
      <c r="D189" s="159" t="s">
        <v>1</v>
      </c>
      <c r="E189" s="165" t="s">
        <v>343</v>
      </c>
      <c r="F189" s="157" t="s">
        <v>345</v>
      </c>
      <c r="G189" s="30"/>
      <c r="H189" s="20"/>
      <c r="I189" s="20" t="e">
        <f t="shared" si="5"/>
        <v>#DIV/0!</v>
      </c>
    </row>
    <row r="190" spans="1:9" ht="24" customHeight="1">
      <c r="A190" s="106" t="s">
        <v>634</v>
      </c>
      <c r="B190" s="155"/>
      <c r="C190" s="159" t="s">
        <v>601</v>
      </c>
      <c r="D190" s="159" t="s">
        <v>1</v>
      </c>
      <c r="E190" s="155" t="s">
        <v>635</v>
      </c>
      <c r="F190" s="157"/>
      <c r="G190" s="91">
        <f>SUM(G193)+G191</f>
        <v>2282</v>
      </c>
      <c r="H190" s="20"/>
      <c r="I190" s="20"/>
    </row>
    <row r="191" spans="1:9" ht="29.25" customHeight="1">
      <c r="A191" s="105" t="s">
        <v>693</v>
      </c>
      <c r="B191" s="155"/>
      <c r="C191" s="180" t="s">
        <v>601</v>
      </c>
      <c r="D191" s="180" t="s">
        <v>1</v>
      </c>
      <c r="E191" s="159" t="s">
        <v>646</v>
      </c>
      <c r="F191" s="157"/>
      <c r="G191" s="30">
        <f>SUM(G192)</f>
        <v>1900</v>
      </c>
      <c r="H191" s="20"/>
      <c r="I191" s="20"/>
    </row>
    <row r="192" spans="1:10" ht="24" customHeight="1">
      <c r="A192" s="106" t="s">
        <v>598</v>
      </c>
      <c r="B192" s="155"/>
      <c r="C192" s="180" t="s">
        <v>601</v>
      </c>
      <c r="D192" s="180" t="s">
        <v>1</v>
      </c>
      <c r="E192" s="159" t="s">
        <v>646</v>
      </c>
      <c r="F192" s="157" t="s">
        <v>599</v>
      </c>
      <c r="G192" s="30">
        <v>1900</v>
      </c>
      <c r="H192" s="20"/>
      <c r="I192" s="20"/>
      <c r="J192" s="246">
        <f>SUM('ведомствен.2013'!G343)</f>
        <v>1900</v>
      </c>
    </row>
    <row r="193" spans="1:9" ht="51" customHeight="1">
      <c r="A193" s="106" t="s">
        <v>678</v>
      </c>
      <c r="B193" s="155"/>
      <c r="C193" s="159" t="s">
        <v>601</v>
      </c>
      <c r="D193" s="159" t="s">
        <v>1</v>
      </c>
      <c r="E193" s="155" t="s">
        <v>679</v>
      </c>
      <c r="F193" s="158"/>
      <c r="G193" s="30">
        <f>SUM(G194)</f>
        <v>382</v>
      </c>
      <c r="H193" s="20"/>
      <c r="I193" s="20"/>
    </row>
    <row r="194" spans="1:10" ht="27.75" customHeight="1">
      <c r="A194" s="106" t="s">
        <v>598</v>
      </c>
      <c r="B194" s="155"/>
      <c r="C194" s="159" t="s">
        <v>601</v>
      </c>
      <c r="D194" s="159" t="s">
        <v>1</v>
      </c>
      <c r="E194" s="155" t="s">
        <v>679</v>
      </c>
      <c r="F194" s="158" t="s">
        <v>599</v>
      </c>
      <c r="G194" s="30">
        <v>382</v>
      </c>
      <c r="H194" s="20"/>
      <c r="I194" s="20"/>
      <c r="J194" s="246">
        <f>SUM('ведомствен.2013'!G1002)+'ведомствен.2013'!G345</f>
        <v>382</v>
      </c>
    </row>
    <row r="195" spans="1:9" ht="28.5" customHeight="1" hidden="1">
      <c r="A195" s="133" t="s">
        <v>346</v>
      </c>
      <c r="B195" s="155"/>
      <c r="C195" s="159" t="s">
        <v>601</v>
      </c>
      <c r="D195" s="159" t="s">
        <v>152</v>
      </c>
      <c r="E195" s="165"/>
      <c r="F195" s="157"/>
      <c r="G195" s="30">
        <f>SUM(G196+G199)</f>
        <v>0</v>
      </c>
      <c r="H195" s="20">
        <f>SUM(H196+H199)</f>
        <v>0</v>
      </c>
      <c r="I195" s="20" t="e">
        <f t="shared" si="5"/>
        <v>#DIV/0!</v>
      </c>
    </row>
    <row r="196" spans="1:9" ht="15.75" customHeight="1" hidden="1">
      <c r="A196" s="133" t="s">
        <v>340</v>
      </c>
      <c r="B196" s="155"/>
      <c r="C196" s="159" t="s">
        <v>601</v>
      </c>
      <c r="D196" s="159" t="s">
        <v>152</v>
      </c>
      <c r="E196" s="165" t="s">
        <v>341</v>
      </c>
      <c r="F196" s="157"/>
      <c r="G196" s="30">
        <f>SUM(G197)</f>
        <v>0</v>
      </c>
      <c r="H196" s="20">
        <f>SUM(H197)</f>
        <v>0</v>
      </c>
      <c r="I196" s="20" t="e">
        <f t="shared" si="5"/>
        <v>#DIV/0!</v>
      </c>
    </row>
    <row r="197" spans="1:9" ht="16.5" customHeight="1" hidden="1">
      <c r="A197" s="133" t="s">
        <v>347</v>
      </c>
      <c r="B197" s="155"/>
      <c r="C197" s="159" t="s">
        <v>601</v>
      </c>
      <c r="D197" s="159" t="s">
        <v>152</v>
      </c>
      <c r="E197" s="165" t="s">
        <v>343</v>
      </c>
      <c r="F197" s="157"/>
      <c r="G197" s="30">
        <f>SUM(G198)</f>
        <v>0</v>
      </c>
      <c r="H197" s="20">
        <f>SUM(H198)</f>
        <v>0</v>
      </c>
      <c r="I197" s="20" t="e">
        <f t="shared" si="5"/>
        <v>#DIV/0!</v>
      </c>
    </row>
    <row r="198" spans="1:9" ht="13.5" customHeight="1" hidden="1">
      <c r="A198" s="105" t="s">
        <v>641</v>
      </c>
      <c r="B198" s="155"/>
      <c r="C198" s="159" t="s">
        <v>601</v>
      </c>
      <c r="D198" s="159" t="s">
        <v>152</v>
      </c>
      <c r="E198" s="165" t="s">
        <v>343</v>
      </c>
      <c r="F198" s="157" t="s">
        <v>642</v>
      </c>
      <c r="G198" s="30"/>
      <c r="H198" s="20"/>
      <c r="I198" s="20" t="e">
        <f t="shared" si="5"/>
        <v>#DIV/0!</v>
      </c>
    </row>
    <row r="199" spans="1:9" ht="15" customHeight="1" hidden="1">
      <c r="A199" s="133" t="s">
        <v>340</v>
      </c>
      <c r="B199" s="155"/>
      <c r="C199" s="159" t="s">
        <v>601</v>
      </c>
      <c r="D199" s="159" t="s">
        <v>348</v>
      </c>
      <c r="E199" s="165" t="s">
        <v>341</v>
      </c>
      <c r="F199" s="157"/>
      <c r="G199" s="30">
        <f>SUM(G200)</f>
        <v>0</v>
      </c>
      <c r="H199" s="20">
        <f>SUM(H200)</f>
        <v>0</v>
      </c>
      <c r="I199" s="20" t="e">
        <f t="shared" si="5"/>
        <v>#DIV/0!</v>
      </c>
    </row>
    <row r="200" spans="1:9" ht="42.75" customHeight="1" hidden="1">
      <c r="A200" s="133" t="s">
        <v>347</v>
      </c>
      <c r="B200" s="155"/>
      <c r="C200" s="159" t="s">
        <v>601</v>
      </c>
      <c r="D200" s="159" t="s">
        <v>348</v>
      </c>
      <c r="E200" s="165" t="s">
        <v>343</v>
      </c>
      <c r="F200" s="157"/>
      <c r="G200" s="30"/>
      <c r="H200" s="20"/>
      <c r="I200" s="20" t="e">
        <f t="shared" si="5"/>
        <v>#DIV/0!</v>
      </c>
    </row>
    <row r="201" spans="1:9" ht="14.25" customHeight="1" hidden="1">
      <c r="A201" s="105" t="s">
        <v>641</v>
      </c>
      <c r="B201" s="155"/>
      <c r="C201" s="159" t="s">
        <v>601</v>
      </c>
      <c r="D201" s="159" t="s">
        <v>348</v>
      </c>
      <c r="E201" s="165" t="s">
        <v>343</v>
      </c>
      <c r="F201" s="157" t="s">
        <v>642</v>
      </c>
      <c r="G201" s="30">
        <f>SUM('[1]Ведомств.'!F141)</f>
        <v>0</v>
      </c>
      <c r="H201" s="20" t="e">
        <f>SUM('[1]Ведомств.'!G141)</f>
        <v>#REF!</v>
      </c>
      <c r="I201" s="20" t="e">
        <f t="shared" si="5"/>
        <v>#REF!</v>
      </c>
    </row>
    <row r="202" spans="1:9" ht="15" customHeight="1" hidden="1">
      <c r="A202" s="133"/>
      <c r="B202" s="155"/>
      <c r="C202" s="159"/>
      <c r="D202" s="159"/>
      <c r="E202" s="165"/>
      <c r="F202" s="157"/>
      <c r="G202" s="30"/>
      <c r="H202" s="20"/>
      <c r="I202" s="20" t="e">
        <f t="shared" si="5"/>
        <v>#DIV/0!</v>
      </c>
    </row>
    <row r="203" spans="1:13" s="19" customFormat="1" ht="15.75">
      <c r="A203" s="134" t="s">
        <v>624</v>
      </c>
      <c r="B203" s="189"/>
      <c r="C203" s="189" t="s">
        <v>625</v>
      </c>
      <c r="D203" s="189"/>
      <c r="E203" s="189"/>
      <c r="F203" s="216"/>
      <c r="G203" s="224">
        <f>SUM(G204+G247)+G223</f>
        <v>194888.7</v>
      </c>
      <c r="H203" s="26" t="e">
        <f>SUM(H204+H247)</f>
        <v>#REF!</v>
      </c>
      <c r="I203" s="26" t="e">
        <f t="shared" si="5"/>
        <v>#REF!</v>
      </c>
      <c r="J203" s="247"/>
      <c r="K203" s="19">
        <f>SUM(J204:J272)</f>
        <v>194888.7</v>
      </c>
      <c r="L203" s="19">
        <f>SUM('ведомствен.2013'!G58+'ведомствен.2013'!G352+'ведомствен.2013'!G729+'ведомствен.2013'!G1006)</f>
        <v>194888.7</v>
      </c>
      <c r="M203" s="19">
        <f>SUM(K203-L203)</f>
        <v>0</v>
      </c>
    </row>
    <row r="204" spans="1:9" ht="14.25" customHeight="1">
      <c r="A204" s="106" t="s">
        <v>626</v>
      </c>
      <c r="B204" s="155"/>
      <c r="C204" s="155" t="s">
        <v>625</v>
      </c>
      <c r="D204" s="155" t="s">
        <v>627</v>
      </c>
      <c r="E204" s="155"/>
      <c r="F204" s="156"/>
      <c r="G204" s="30">
        <f>SUM(G212)+G207+G205+G220</f>
        <v>90500.20000000001</v>
      </c>
      <c r="H204" s="20">
        <f>SUM(H212)+H207+H205</f>
        <v>55910.700000000004</v>
      </c>
      <c r="I204" s="20">
        <f t="shared" si="5"/>
        <v>61.779642475928235</v>
      </c>
    </row>
    <row r="205" spans="1:9" ht="33" customHeight="1">
      <c r="A205" s="106" t="s">
        <v>349</v>
      </c>
      <c r="B205" s="155"/>
      <c r="C205" s="155" t="s">
        <v>625</v>
      </c>
      <c r="D205" s="155" t="s">
        <v>627</v>
      </c>
      <c r="E205" s="159" t="s">
        <v>350</v>
      </c>
      <c r="F205" s="157"/>
      <c r="G205" s="30">
        <f>SUM(G206)+G209+G210</f>
        <v>35509.3</v>
      </c>
      <c r="H205" s="20">
        <f>SUM(H206)+H209+H210</f>
        <v>25204.300000000003</v>
      </c>
      <c r="I205" s="20">
        <f t="shared" si="5"/>
        <v>70.97943355684285</v>
      </c>
    </row>
    <row r="206" spans="1:10" ht="16.5" customHeight="1">
      <c r="A206" s="106" t="s">
        <v>351</v>
      </c>
      <c r="B206" s="155"/>
      <c r="C206" s="155" t="s">
        <v>625</v>
      </c>
      <c r="D206" s="155" t="s">
        <v>627</v>
      </c>
      <c r="E206" s="159" t="s">
        <v>350</v>
      </c>
      <c r="F206" s="156" t="s">
        <v>352</v>
      </c>
      <c r="G206" s="30">
        <v>35509.3</v>
      </c>
      <c r="H206" s="20">
        <v>24333.9</v>
      </c>
      <c r="I206" s="20">
        <f t="shared" si="5"/>
        <v>68.52824471335678</v>
      </c>
      <c r="J206" s="246">
        <f>SUM('ведомствен.2013'!G61+'ведомствен.2013'!G732)+'ведомствен.2013'!G355</f>
        <v>35509.3</v>
      </c>
    </row>
    <row r="207" spans="1:9" ht="11.25" customHeight="1" hidden="1">
      <c r="A207" s="106" t="s">
        <v>148</v>
      </c>
      <c r="B207" s="155"/>
      <c r="C207" s="155" t="s">
        <v>625</v>
      </c>
      <c r="D207" s="155" t="s">
        <v>627</v>
      </c>
      <c r="E207" s="159" t="s">
        <v>150</v>
      </c>
      <c r="F207" s="157"/>
      <c r="G207" s="30">
        <f>SUM(G208)</f>
        <v>0</v>
      </c>
      <c r="H207" s="20">
        <f>SUM(H208)</f>
        <v>0</v>
      </c>
      <c r="I207" s="20" t="e">
        <f t="shared" si="5"/>
        <v>#DIV/0!</v>
      </c>
    </row>
    <row r="208" spans="1:9" ht="22.5" customHeight="1" hidden="1">
      <c r="A208" s="106" t="s">
        <v>353</v>
      </c>
      <c r="B208" s="155"/>
      <c r="C208" s="155" t="s">
        <v>625</v>
      </c>
      <c r="D208" s="155" t="s">
        <v>627</v>
      </c>
      <c r="E208" s="159" t="s">
        <v>150</v>
      </c>
      <c r="F208" s="157" t="s">
        <v>354</v>
      </c>
      <c r="G208" s="30"/>
      <c r="H208" s="20"/>
      <c r="I208" s="20" t="e">
        <f t="shared" si="5"/>
        <v>#DIV/0!</v>
      </c>
    </row>
    <row r="209" spans="1:9" ht="21.75" customHeight="1" hidden="1">
      <c r="A209" s="106" t="s">
        <v>598</v>
      </c>
      <c r="B209" s="155"/>
      <c r="C209" s="155" t="s">
        <v>625</v>
      </c>
      <c r="D209" s="155" t="s">
        <v>627</v>
      </c>
      <c r="E209" s="159" t="s">
        <v>350</v>
      </c>
      <c r="F209" s="157" t="s">
        <v>599</v>
      </c>
      <c r="G209" s="30"/>
      <c r="H209" s="20"/>
      <c r="I209" s="20" t="e">
        <f t="shared" si="5"/>
        <v>#DIV/0!</v>
      </c>
    </row>
    <row r="210" spans="1:9" ht="25.5" customHeight="1" hidden="1">
      <c r="A210" s="129" t="s">
        <v>186</v>
      </c>
      <c r="B210" s="155"/>
      <c r="C210" s="155" t="s">
        <v>625</v>
      </c>
      <c r="D210" s="155" t="s">
        <v>627</v>
      </c>
      <c r="E210" s="159" t="s">
        <v>187</v>
      </c>
      <c r="F210" s="157"/>
      <c r="G210" s="30">
        <f>SUM(G211)</f>
        <v>0</v>
      </c>
      <c r="H210" s="20">
        <f>SUM(H211)</f>
        <v>870.4</v>
      </c>
      <c r="I210" s="20" t="e">
        <f t="shared" si="5"/>
        <v>#DIV/0!</v>
      </c>
    </row>
    <row r="211" spans="1:9" ht="19.5" customHeight="1" hidden="1">
      <c r="A211" s="106" t="s">
        <v>351</v>
      </c>
      <c r="B211" s="155"/>
      <c r="C211" s="155" t="s">
        <v>625</v>
      </c>
      <c r="D211" s="155" t="s">
        <v>627</v>
      </c>
      <c r="E211" s="159" t="s">
        <v>187</v>
      </c>
      <c r="F211" s="157" t="s">
        <v>352</v>
      </c>
      <c r="G211" s="30"/>
      <c r="H211" s="20">
        <v>870.4</v>
      </c>
      <c r="I211" s="20" t="e">
        <f t="shared" si="5"/>
        <v>#DIV/0!</v>
      </c>
    </row>
    <row r="212" spans="1:9" ht="15" customHeight="1">
      <c r="A212" s="106" t="s">
        <v>628</v>
      </c>
      <c r="B212" s="155"/>
      <c r="C212" s="155" t="s">
        <v>625</v>
      </c>
      <c r="D212" s="155" t="s">
        <v>627</v>
      </c>
      <c r="E212" s="155" t="s">
        <v>162</v>
      </c>
      <c r="F212" s="156"/>
      <c r="G212" s="30">
        <f>SUM(G215)+G213</f>
        <v>54990.9</v>
      </c>
      <c r="H212" s="20">
        <f>SUM(H215)</f>
        <v>30706.4</v>
      </c>
      <c r="I212" s="20">
        <f t="shared" si="5"/>
        <v>55.83905700761399</v>
      </c>
    </row>
    <row r="213" spans="1:9" ht="16.5" customHeight="1" hidden="1">
      <c r="A213" s="105" t="s">
        <v>251</v>
      </c>
      <c r="B213" s="183"/>
      <c r="C213" s="183" t="s">
        <v>625</v>
      </c>
      <c r="D213" s="183" t="s">
        <v>627</v>
      </c>
      <c r="E213" s="183" t="s">
        <v>252</v>
      </c>
      <c r="F213" s="184"/>
      <c r="G213" s="225">
        <f>SUM(G214)</f>
        <v>0</v>
      </c>
      <c r="H213" s="20"/>
      <c r="I213" s="20"/>
    </row>
    <row r="214" spans="1:10" ht="16.5" customHeight="1" hidden="1">
      <c r="A214" s="105" t="s">
        <v>598</v>
      </c>
      <c r="B214" s="183"/>
      <c r="C214" s="183" t="s">
        <v>625</v>
      </c>
      <c r="D214" s="183" t="s">
        <v>627</v>
      </c>
      <c r="E214" s="183" t="s">
        <v>252</v>
      </c>
      <c r="F214" s="184" t="s">
        <v>599</v>
      </c>
      <c r="G214" s="225"/>
      <c r="H214" s="20"/>
      <c r="I214" s="20"/>
      <c r="J214" s="246">
        <f>SUM('ведомствен.2013'!G1009)</f>
        <v>0</v>
      </c>
    </row>
    <row r="215" spans="1:9" ht="27" customHeight="1">
      <c r="A215" s="106" t="s">
        <v>361</v>
      </c>
      <c r="B215" s="155"/>
      <c r="C215" s="155" t="s">
        <v>625</v>
      </c>
      <c r="D215" s="155" t="s">
        <v>627</v>
      </c>
      <c r="E215" s="155" t="s">
        <v>551</v>
      </c>
      <c r="F215" s="156"/>
      <c r="G215" s="30">
        <f>SUM(G216)+G217+G219</f>
        <v>54990.9</v>
      </c>
      <c r="H215" s="20">
        <f>SUM(H216)+H217</f>
        <v>30706.4</v>
      </c>
      <c r="I215" s="20">
        <f t="shared" si="5"/>
        <v>55.83905700761399</v>
      </c>
    </row>
    <row r="216" spans="1:9" ht="29.25" customHeight="1">
      <c r="A216" s="106" t="s">
        <v>809</v>
      </c>
      <c r="B216" s="155"/>
      <c r="C216" s="155" t="s">
        <v>625</v>
      </c>
      <c r="D216" s="155" t="s">
        <v>627</v>
      </c>
      <c r="E216" s="155" t="s">
        <v>552</v>
      </c>
      <c r="F216" s="156"/>
      <c r="G216" s="30">
        <v>54990.9</v>
      </c>
      <c r="H216" s="20">
        <v>30706.4</v>
      </c>
      <c r="I216" s="20">
        <f t="shared" si="5"/>
        <v>55.83905700761399</v>
      </c>
    </row>
    <row r="217" spans="1:9" ht="57" customHeight="1" hidden="1">
      <c r="A217" s="106" t="s">
        <v>189</v>
      </c>
      <c r="B217" s="155"/>
      <c r="C217" s="155" t="s">
        <v>625</v>
      </c>
      <c r="D217" s="155" t="s">
        <v>627</v>
      </c>
      <c r="E217" s="155" t="s">
        <v>190</v>
      </c>
      <c r="F217" s="156"/>
      <c r="G217" s="30"/>
      <c r="H217" s="20">
        <f>SUM(H218)</f>
        <v>0</v>
      </c>
      <c r="I217" s="20" t="e">
        <f t="shared" si="5"/>
        <v>#DIV/0!</v>
      </c>
    </row>
    <row r="218" spans="1:9" ht="15" hidden="1">
      <c r="A218" s="106" t="s">
        <v>351</v>
      </c>
      <c r="B218" s="155"/>
      <c r="C218" s="155" t="s">
        <v>625</v>
      </c>
      <c r="D218" s="155" t="s">
        <v>627</v>
      </c>
      <c r="E218" s="155" t="s">
        <v>190</v>
      </c>
      <c r="F218" s="156" t="s">
        <v>352</v>
      </c>
      <c r="G218" s="30"/>
      <c r="H218" s="20"/>
      <c r="I218" s="20" t="e">
        <f t="shared" si="5"/>
        <v>#DIV/0!</v>
      </c>
    </row>
    <row r="219" spans="1:9" ht="15" customHeight="1" hidden="1">
      <c r="A219" s="106" t="s">
        <v>598</v>
      </c>
      <c r="B219" s="155"/>
      <c r="C219" s="155" t="s">
        <v>625</v>
      </c>
      <c r="D219" s="155" t="s">
        <v>627</v>
      </c>
      <c r="E219" s="155" t="s">
        <v>188</v>
      </c>
      <c r="F219" s="156" t="s">
        <v>599</v>
      </c>
      <c r="G219" s="30"/>
      <c r="H219" s="20"/>
      <c r="I219" s="20"/>
    </row>
    <row r="220" spans="1:10" s="116" customFormat="1" ht="28.5" customHeight="1" hidden="1">
      <c r="A220" s="133" t="s">
        <v>330</v>
      </c>
      <c r="B220" s="183"/>
      <c r="C220" s="183" t="s">
        <v>625</v>
      </c>
      <c r="D220" s="183" t="s">
        <v>627</v>
      </c>
      <c r="E220" s="183" t="s">
        <v>1015</v>
      </c>
      <c r="F220" s="184"/>
      <c r="G220" s="225">
        <f>SUM(G221)</f>
        <v>0</v>
      </c>
      <c r="H220" s="27"/>
      <c r="I220" s="27"/>
      <c r="J220" s="252"/>
    </row>
    <row r="221" spans="1:10" s="116" customFormat="1" ht="28.5" customHeight="1" hidden="1">
      <c r="A221" s="133" t="s">
        <v>331</v>
      </c>
      <c r="B221" s="183"/>
      <c r="C221" s="183" t="s">
        <v>995</v>
      </c>
      <c r="D221" s="183" t="s">
        <v>627</v>
      </c>
      <c r="E221" s="183" t="s">
        <v>1017</v>
      </c>
      <c r="F221" s="184"/>
      <c r="G221" s="225">
        <f>SUM(G246)</f>
        <v>0</v>
      </c>
      <c r="H221" s="27"/>
      <c r="I221" s="27"/>
      <c r="J221" s="252"/>
    </row>
    <row r="222" spans="1:10" s="2" customFormat="1" ht="43.5" customHeight="1">
      <c r="A222" s="110" t="s">
        <v>362</v>
      </c>
      <c r="B222" s="171"/>
      <c r="C222" s="171" t="s">
        <v>625</v>
      </c>
      <c r="D222" s="171" t="s">
        <v>627</v>
      </c>
      <c r="E222" s="171" t="s">
        <v>552</v>
      </c>
      <c r="F222" s="161" t="s">
        <v>485</v>
      </c>
      <c r="G222" s="225">
        <v>54990.9</v>
      </c>
      <c r="H222" s="27"/>
      <c r="I222" s="27"/>
      <c r="J222" s="253">
        <f>SUM('ведомствен.2013'!G360)</f>
        <v>54990.9</v>
      </c>
    </row>
    <row r="223" spans="1:10" s="124" customFormat="1" ht="24.75" customHeight="1">
      <c r="A223" s="105" t="s">
        <v>670</v>
      </c>
      <c r="B223" s="159"/>
      <c r="C223" s="159" t="s">
        <v>625</v>
      </c>
      <c r="D223" s="159" t="s">
        <v>1</v>
      </c>
      <c r="E223" s="159"/>
      <c r="F223" s="157"/>
      <c r="G223" s="91">
        <f>SUM(G231+G233+G238+G228+G224+G226)</f>
        <v>83955.5</v>
      </c>
      <c r="H223" s="123"/>
      <c r="I223" s="123"/>
      <c r="J223" s="254"/>
    </row>
    <row r="224" spans="1:10" s="22" customFormat="1" ht="28.5" hidden="1">
      <c r="A224" s="164" t="s">
        <v>695</v>
      </c>
      <c r="B224" s="165"/>
      <c r="C224" s="159" t="s">
        <v>625</v>
      </c>
      <c r="D224" s="159" t="s">
        <v>1</v>
      </c>
      <c r="E224" s="165" t="s">
        <v>694</v>
      </c>
      <c r="F224" s="166"/>
      <c r="G224" s="30">
        <f>SUM(G225)</f>
        <v>0</v>
      </c>
      <c r="H224" s="20"/>
      <c r="I224" s="20"/>
      <c r="J224" s="248">
        <f>SUM('ведомствен.2013'!G70)</f>
        <v>0</v>
      </c>
    </row>
    <row r="225" spans="1:10" s="22" customFormat="1" ht="15" hidden="1">
      <c r="A225" s="105" t="s">
        <v>598</v>
      </c>
      <c r="B225" s="165"/>
      <c r="C225" s="159" t="s">
        <v>625</v>
      </c>
      <c r="D225" s="159" t="s">
        <v>1</v>
      </c>
      <c r="E225" s="165" t="s">
        <v>694</v>
      </c>
      <c r="F225" s="166" t="s">
        <v>599</v>
      </c>
      <c r="G225" s="30"/>
      <c r="H225" s="20"/>
      <c r="I225" s="20"/>
      <c r="J225" s="248"/>
    </row>
    <row r="226" spans="1:10" s="22" customFormat="1" ht="42.75" hidden="1">
      <c r="A226" s="164" t="s">
        <v>696</v>
      </c>
      <c r="B226" s="165"/>
      <c r="C226" s="159" t="s">
        <v>625</v>
      </c>
      <c r="D226" s="159" t="s">
        <v>1</v>
      </c>
      <c r="E226" s="165" t="s">
        <v>697</v>
      </c>
      <c r="F226" s="166"/>
      <c r="G226" s="30">
        <f>SUM(G227)</f>
        <v>0</v>
      </c>
      <c r="H226" s="20"/>
      <c r="I226" s="20"/>
      <c r="J226" s="248">
        <f>SUM('ведомствен.2013'!G72)</f>
        <v>0</v>
      </c>
    </row>
    <row r="227" spans="1:10" s="22" customFormat="1" ht="15" hidden="1">
      <c r="A227" s="106" t="s">
        <v>598</v>
      </c>
      <c r="B227" s="165"/>
      <c r="C227" s="159" t="s">
        <v>625</v>
      </c>
      <c r="D227" s="159" t="s">
        <v>1</v>
      </c>
      <c r="E227" s="165" t="s">
        <v>697</v>
      </c>
      <c r="F227" s="166" t="s">
        <v>599</v>
      </c>
      <c r="G227" s="30"/>
      <c r="H227" s="20"/>
      <c r="I227" s="20"/>
      <c r="J227" s="248"/>
    </row>
    <row r="228" spans="1:10" s="124" customFormat="1" ht="43.5" customHeight="1">
      <c r="A228" s="109" t="s">
        <v>438</v>
      </c>
      <c r="B228" s="165"/>
      <c r="C228" s="159" t="s">
        <v>625</v>
      </c>
      <c r="D228" s="159" t="s">
        <v>1</v>
      </c>
      <c r="E228" s="165" t="s">
        <v>439</v>
      </c>
      <c r="F228" s="166"/>
      <c r="G228" s="91">
        <f>SUM(G230+G229)</f>
        <v>82975.5</v>
      </c>
      <c r="H228" s="123"/>
      <c r="I228" s="123"/>
      <c r="J228" s="254"/>
    </row>
    <row r="229" spans="1:10" s="124" customFormat="1" ht="19.5" customHeight="1">
      <c r="A229" s="106" t="s">
        <v>641</v>
      </c>
      <c r="B229" s="165"/>
      <c r="C229" s="159" t="s">
        <v>625</v>
      </c>
      <c r="D229" s="159" t="s">
        <v>1</v>
      </c>
      <c r="E229" s="165" t="s">
        <v>439</v>
      </c>
      <c r="F229" s="166" t="s">
        <v>642</v>
      </c>
      <c r="G229" s="91">
        <v>400.9</v>
      </c>
      <c r="H229" s="123"/>
      <c r="I229" s="123"/>
      <c r="J229" s="254">
        <f>SUM('ведомствен.2013'!G364)</f>
        <v>400.9</v>
      </c>
    </row>
    <row r="230" spans="1:10" s="124" customFormat="1" ht="19.5" customHeight="1">
      <c r="A230" s="106" t="s">
        <v>598</v>
      </c>
      <c r="B230" s="165"/>
      <c r="C230" s="159" t="s">
        <v>625</v>
      </c>
      <c r="D230" s="159" t="s">
        <v>1</v>
      </c>
      <c r="E230" s="165" t="s">
        <v>439</v>
      </c>
      <c r="F230" s="166" t="s">
        <v>599</v>
      </c>
      <c r="G230" s="91">
        <v>82574.6</v>
      </c>
      <c r="H230" s="123"/>
      <c r="I230" s="123"/>
      <c r="J230" s="254">
        <f>SUM('ведомствен.2013'!G365)</f>
        <v>82574.6</v>
      </c>
    </row>
    <row r="231" spans="1:10" s="124" customFormat="1" ht="43.5" customHeight="1" hidden="1">
      <c r="A231" s="131" t="s">
        <v>191</v>
      </c>
      <c r="B231" s="159"/>
      <c r="C231" s="159" t="s">
        <v>625</v>
      </c>
      <c r="D231" s="159" t="s">
        <v>149</v>
      </c>
      <c r="E231" s="159" t="s">
        <v>192</v>
      </c>
      <c r="F231" s="157"/>
      <c r="G231" s="91">
        <f>SUM(G232)</f>
        <v>0</v>
      </c>
      <c r="H231" s="123"/>
      <c r="I231" s="123"/>
      <c r="J231" s="254"/>
    </row>
    <row r="232" spans="1:10" s="124" customFormat="1" ht="43.5" customHeight="1" hidden="1">
      <c r="A232" s="106" t="s">
        <v>598</v>
      </c>
      <c r="B232" s="159"/>
      <c r="C232" s="159" t="s">
        <v>625</v>
      </c>
      <c r="D232" s="159" t="s">
        <v>149</v>
      </c>
      <c r="E232" s="159" t="s">
        <v>192</v>
      </c>
      <c r="F232" s="157" t="s">
        <v>599</v>
      </c>
      <c r="G232" s="91">
        <f>5050-2000-3050</f>
        <v>0</v>
      </c>
      <c r="H232" s="123"/>
      <c r="I232" s="123"/>
      <c r="J232" s="254"/>
    </row>
    <row r="233" spans="1:10" s="124" customFormat="1" ht="39.75" customHeight="1" hidden="1">
      <c r="A233" s="106" t="s">
        <v>167</v>
      </c>
      <c r="B233" s="155"/>
      <c r="C233" s="159" t="s">
        <v>625</v>
      </c>
      <c r="D233" s="159" t="s">
        <v>149</v>
      </c>
      <c r="E233" s="155" t="s">
        <v>168</v>
      </c>
      <c r="F233" s="157"/>
      <c r="G233" s="91">
        <f>SUM(G234)</f>
        <v>0</v>
      </c>
      <c r="H233" s="123"/>
      <c r="I233" s="123"/>
      <c r="J233" s="254"/>
    </row>
    <row r="234" spans="1:10" s="124" customFormat="1" ht="43.5" customHeight="1" hidden="1">
      <c r="A234" s="106" t="s">
        <v>193</v>
      </c>
      <c r="B234" s="155"/>
      <c r="C234" s="159" t="s">
        <v>625</v>
      </c>
      <c r="D234" s="159" t="s">
        <v>149</v>
      </c>
      <c r="E234" s="155" t="s">
        <v>194</v>
      </c>
      <c r="F234" s="157"/>
      <c r="G234" s="91">
        <f>SUM(G235)</f>
        <v>0</v>
      </c>
      <c r="H234" s="123"/>
      <c r="I234" s="123"/>
      <c r="J234" s="254"/>
    </row>
    <row r="235" spans="1:10" s="124" customFormat="1" ht="43.5" customHeight="1" hidden="1">
      <c r="A235" s="106" t="s">
        <v>598</v>
      </c>
      <c r="B235" s="155"/>
      <c r="C235" s="159" t="s">
        <v>625</v>
      </c>
      <c r="D235" s="159" t="s">
        <v>149</v>
      </c>
      <c r="E235" s="155" t="s">
        <v>194</v>
      </c>
      <c r="F235" s="157" t="s">
        <v>599</v>
      </c>
      <c r="G235" s="91"/>
      <c r="H235" s="123"/>
      <c r="I235" s="123"/>
      <c r="J235" s="254"/>
    </row>
    <row r="236" spans="1:10" s="124" customFormat="1" ht="43.5" customHeight="1" hidden="1">
      <c r="A236" s="106" t="s">
        <v>167</v>
      </c>
      <c r="B236" s="155"/>
      <c r="C236" s="159" t="s">
        <v>625</v>
      </c>
      <c r="D236" s="159" t="s">
        <v>149</v>
      </c>
      <c r="E236" s="155" t="s">
        <v>168</v>
      </c>
      <c r="F236" s="157"/>
      <c r="G236" s="91">
        <f>SUM(G237)</f>
        <v>0</v>
      </c>
      <c r="H236" s="123"/>
      <c r="I236" s="123"/>
      <c r="J236" s="254"/>
    </row>
    <row r="237" spans="1:10" s="124" customFormat="1" ht="43.5" customHeight="1" hidden="1">
      <c r="A237" s="106" t="s">
        <v>193</v>
      </c>
      <c r="B237" s="155"/>
      <c r="C237" s="159" t="s">
        <v>625</v>
      </c>
      <c r="D237" s="159" t="s">
        <v>149</v>
      </c>
      <c r="E237" s="155" t="s">
        <v>168</v>
      </c>
      <c r="F237" s="157" t="s">
        <v>181</v>
      </c>
      <c r="G237" s="91"/>
      <c r="H237" s="123"/>
      <c r="I237" s="123"/>
      <c r="J237" s="254"/>
    </row>
    <row r="238" spans="1:10" s="124" customFormat="1" ht="24.75" customHeight="1">
      <c r="A238" s="106" t="s">
        <v>634</v>
      </c>
      <c r="B238" s="155"/>
      <c r="C238" s="159" t="s">
        <v>625</v>
      </c>
      <c r="D238" s="159" t="s">
        <v>1</v>
      </c>
      <c r="E238" s="155" t="s">
        <v>635</v>
      </c>
      <c r="F238" s="157"/>
      <c r="G238" s="91">
        <f>SUM(G241)+G239</f>
        <v>980</v>
      </c>
      <c r="H238" s="123"/>
      <c r="I238" s="123"/>
      <c r="J238" s="254"/>
    </row>
    <row r="239" spans="1:10" s="124" customFormat="1" ht="42.75" customHeight="1">
      <c r="A239" s="106" t="s">
        <v>258</v>
      </c>
      <c r="B239" s="155"/>
      <c r="C239" s="159" t="s">
        <v>625</v>
      </c>
      <c r="D239" s="159" t="s">
        <v>1</v>
      </c>
      <c r="E239" s="155" t="s">
        <v>260</v>
      </c>
      <c r="F239" s="157"/>
      <c r="G239" s="91">
        <f>SUM(G240)</f>
        <v>480</v>
      </c>
      <c r="H239" s="123"/>
      <c r="I239" s="123"/>
      <c r="J239" s="254"/>
    </row>
    <row r="240" spans="1:10" s="124" customFormat="1" ht="24.75" customHeight="1">
      <c r="A240" s="106" t="s">
        <v>598</v>
      </c>
      <c r="B240" s="155"/>
      <c r="C240" s="159" t="s">
        <v>625</v>
      </c>
      <c r="D240" s="159" t="s">
        <v>1</v>
      </c>
      <c r="E240" s="155" t="s">
        <v>260</v>
      </c>
      <c r="F240" s="157" t="s">
        <v>599</v>
      </c>
      <c r="G240" s="91">
        <v>480</v>
      </c>
      <c r="H240" s="123"/>
      <c r="I240" s="123"/>
      <c r="J240" s="254">
        <f>SUM('ведомствен.2013'!G368)</f>
        <v>480</v>
      </c>
    </row>
    <row r="241" spans="1:10" s="124" customFormat="1" ht="43.5" customHeight="1">
      <c r="A241" s="106" t="s">
        <v>259</v>
      </c>
      <c r="B241" s="155"/>
      <c r="C241" s="159" t="s">
        <v>625</v>
      </c>
      <c r="D241" s="159" t="s">
        <v>1</v>
      </c>
      <c r="E241" s="155" t="s">
        <v>671</v>
      </c>
      <c r="F241" s="157"/>
      <c r="G241" s="91">
        <f>SUM(G242)</f>
        <v>500</v>
      </c>
      <c r="H241" s="123"/>
      <c r="I241" s="123"/>
      <c r="J241" s="254"/>
    </row>
    <row r="242" spans="1:10" s="124" customFormat="1" ht="27.75" customHeight="1">
      <c r="A242" s="106" t="s">
        <v>598</v>
      </c>
      <c r="B242" s="159"/>
      <c r="C242" s="159" t="s">
        <v>625</v>
      </c>
      <c r="D242" s="159" t="s">
        <v>1</v>
      </c>
      <c r="E242" s="155" t="s">
        <v>671</v>
      </c>
      <c r="F242" s="157" t="s">
        <v>599</v>
      </c>
      <c r="G242" s="92">
        <v>500</v>
      </c>
      <c r="H242" s="123"/>
      <c r="I242" s="123"/>
      <c r="J242" s="254">
        <f>SUM('ведомствен.2013'!G370)</f>
        <v>500</v>
      </c>
    </row>
    <row r="243" spans="1:10" s="2" customFormat="1" ht="43.5" customHeight="1" hidden="1">
      <c r="A243" s="110"/>
      <c r="B243" s="171"/>
      <c r="C243" s="171"/>
      <c r="D243" s="171"/>
      <c r="E243" s="171"/>
      <c r="F243" s="161"/>
      <c r="G243" s="225"/>
      <c r="H243" s="27"/>
      <c r="I243" s="27"/>
      <c r="J243" s="253"/>
    </row>
    <row r="244" spans="1:10" s="2" customFormat="1" ht="43.5" customHeight="1" hidden="1">
      <c r="A244" s="110"/>
      <c r="B244" s="171"/>
      <c r="C244" s="171"/>
      <c r="D244" s="171"/>
      <c r="E244" s="171"/>
      <c r="F244" s="161"/>
      <c r="G244" s="225"/>
      <c r="H244" s="27"/>
      <c r="I244" s="27"/>
      <c r="J244" s="253"/>
    </row>
    <row r="245" spans="1:10" s="2" customFormat="1" ht="43.5" customHeight="1" hidden="1">
      <c r="A245" s="110"/>
      <c r="B245" s="171"/>
      <c r="C245" s="171"/>
      <c r="D245" s="171"/>
      <c r="E245" s="171"/>
      <c r="F245" s="161"/>
      <c r="G245" s="225"/>
      <c r="H245" s="27"/>
      <c r="I245" s="27"/>
      <c r="J245" s="253"/>
    </row>
    <row r="246" spans="1:10" s="116" customFormat="1" ht="15" hidden="1">
      <c r="A246" s="106" t="s">
        <v>351</v>
      </c>
      <c r="B246" s="183"/>
      <c r="C246" s="183" t="s">
        <v>625</v>
      </c>
      <c r="D246" s="183" t="s">
        <v>627</v>
      </c>
      <c r="E246" s="183" t="s">
        <v>1017</v>
      </c>
      <c r="F246" s="184" t="s">
        <v>352</v>
      </c>
      <c r="G246" s="225"/>
      <c r="H246" s="27"/>
      <c r="I246" s="27"/>
      <c r="J246" s="252"/>
    </row>
    <row r="247" spans="1:9" ht="14.25" customHeight="1">
      <c r="A247" s="105" t="s">
        <v>165</v>
      </c>
      <c r="B247" s="159"/>
      <c r="C247" s="159" t="s">
        <v>625</v>
      </c>
      <c r="D247" s="159" t="s">
        <v>149</v>
      </c>
      <c r="E247" s="159"/>
      <c r="F247" s="157"/>
      <c r="G247" s="30">
        <f>SUM(G248+G253+G263)+G259</f>
        <v>20433</v>
      </c>
      <c r="H247" s="20" t="e">
        <f>SUM(H248+H253+H263+#REF!)</f>
        <v>#REF!</v>
      </c>
      <c r="I247" s="20" t="e">
        <f t="shared" si="5"/>
        <v>#REF!</v>
      </c>
    </row>
    <row r="248" spans="1:9" ht="28.5" customHeight="1">
      <c r="A248" s="106" t="s">
        <v>609</v>
      </c>
      <c r="B248" s="159"/>
      <c r="C248" s="159" t="s">
        <v>625</v>
      </c>
      <c r="D248" s="159" t="s">
        <v>149</v>
      </c>
      <c r="E248" s="155" t="s">
        <v>610</v>
      </c>
      <c r="F248" s="157"/>
      <c r="G248" s="91">
        <f>SUM(G250)</f>
        <v>1771.5</v>
      </c>
      <c r="H248" s="20">
        <f>SUM(H249)</f>
        <v>0</v>
      </c>
      <c r="I248" s="20">
        <f t="shared" si="5"/>
        <v>0</v>
      </c>
    </row>
    <row r="249" spans="1:9" ht="18.75" customHeight="1">
      <c r="A249" s="106" t="s">
        <v>431</v>
      </c>
      <c r="B249" s="159"/>
      <c r="C249" s="159" t="s">
        <v>625</v>
      </c>
      <c r="D249" s="159" t="s">
        <v>149</v>
      </c>
      <c r="E249" s="155" t="s">
        <v>432</v>
      </c>
      <c r="F249" s="157"/>
      <c r="G249" s="91">
        <f>SUM(G250)</f>
        <v>1771.5</v>
      </c>
      <c r="H249" s="20"/>
      <c r="I249" s="20">
        <f t="shared" si="5"/>
        <v>0</v>
      </c>
    </row>
    <row r="250" spans="1:10" s="28" customFormat="1" ht="19.5" customHeight="1">
      <c r="A250" s="106" t="s">
        <v>598</v>
      </c>
      <c r="B250" s="159"/>
      <c r="C250" s="159" t="s">
        <v>625</v>
      </c>
      <c r="D250" s="159" t="s">
        <v>149</v>
      </c>
      <c r="E250" s="155" t="s">
        <v>432</v>
      </c>
      <c r="F250" s="157" t="s">
        <v>599</v>
      </c>
      <c r="G250" s="91">
        <v>1771.5</v>
      </c>
      <c r="H250" s="20">
        <f>SUM(H251)</f>
        <v>200</v>
      </c>
      <c r="I250" s="20">
        <f>SUM(H250/G250*100)</f>
        <v>11.289867344058708</v>
      </c>
      <c r="J250" s="251">
        <f>SUM('ведомствен.2013'!G374)</f>
        <v>1771.5</v>
      </c>
    </row>
    <row r="251" spans="1:10" s="28" customFormat="1" ht="38.25" customHeight="1" hidden="1">
      <c r="A251" s="106" t="s">
        <v>809</v>
      </c>
      <c r="B251" s="155"/>
      <c r="C251" s="159" t="s">
        <v>625</v>
      </c>
      <c r="D251" s="159" t="s">
        <v>149</v>
      </c>
      <c r="E251" s="155" t="s">
        <v>360</v>
      </c>
      <c r="F251" s="157"/>
      <c r="G251" s="30">
        <f>SUM(G252)</f>
        <v>0</v>
      </c>
      <c r="H251" s="20">
        <f>SUM(H252)</f>
        <v>200</v>
      </c>
      <c r="I251" s="20" t="e">
        <f>SUM(H251/G251*100)</f>
        <v>#DIV/0!</v>
      </c>
      <c r="J251" s="251"/>
    </row>
    <row r="252" spans="1:10" s="28" customFormat="1" ht="51.75" customHeight="1" hidden="1">
      <c r="A252" s="106" t="s">
        <v>362</v>
      </c>
      <c r="B252" s="155"/>
      <c r="C252" s="159" t="s">
        <v>625</v>
      </c>
      <c r="D252" s="159" t="s">
        <v>149</v>
      </c>
      <c r="E252" s="155" t="s">
        <v>360</v>
      </c>
      <c r="F252" s="157" t="s">
        <v>485</v>
      </c>
      <c r="G252" s="30"/>
      <c r="H252" s="20">
        <v>200</v>
      </c>
      <c r="I252" s="20" t="e">
        <f>SUM(H252/G252*100)</f>
        <v>#DIV/0!</v>
      </c>
      <c r="J252" s="246">
        <f>SUM('ведомствен.2013'!G379)</f>
        <v>0</v>
      </c>
    </row>
    <row r="253" spans="1:9" ht="28.5">
      <c r="A253" s="106" t="s">
        <v>167</v>
      </c>
      <c r="B253" s="155"/>
      <c r="C253" s="159" t="s">
        <v>625</v>
      </c>
      <c r="D253" s="159" t="s">
        <v>149</v>
      </c>
      <c r="E253" s="155" t="s">
        <v>168</v>
      </c>
      <c r="F253" s="157"/>
      <c r="G253" s="30">
        <f>SUM(G254)+G256</f>
        <v>9648.3</v>
      </c>
      <c r="H253" s="20">
        <f>SUM(H254)</f>
        <v>200</v>
      </c>
      <c r="I253" s="20">
        <f aca="true" t="shared" si="6" ref="I253:I326">SUM(H253/G253*100)</f>
        <v>2.072904034907704</v>
      </c>
    </row>
    <row r="254" spans="1:9" ht="18" customHeight="1">
      <c r="A254" s="106" t="s">
        <v>193</v>
      </c>
      <c r="B254" s="155"/>
      <c r="C254" s="159" t="s">
        <v>625</v>
      </c>
      <c r="D254" s="159" t="s">
        <v>149</v>
      </c>
      <c r="E254" s="155" t="s">
        <v>194</v>
      </c>
      <c r="F254" s="157"/>
      <c r="G254" s="30">
        <f>SUM(G255)</f>
        <v>2968.9</v>
      </c>
      <c r="H254" s="20">
        <f>SUM(H255)</f>
        <v>200</v>
      </c>
      <c r="I254" s="20">
        <f t="shared" si="6"/>
        <v>6.736501734649196</v>
      </c>
    </row>
    <row r="255" spans="1:11" ht="15.75" customHeight="1">
      <c r="A255" s="106" t="s">
        <v>598</v>
      </c>
      <c r="B255" s="155"/>
      <c r="C255" s="159" t="s">
        <v>625</v>
      </c>
      <c r="D255" s="159" t="s">
        <v>149</v>
      </c>
      <c r="E255" s="155" t="s">
        <v>194</v>
      </c>
      <c r="F255" s="157" t="s">
        <v>599</v>
      </c>
      <c r="G255" s="30">
        <v>2968.9</v>
      </c>
      <c r="H255" s="20">
        <v>200</v>
      </c>
      <c r="I255" s="20">
        <f t="shared" si="6"/>
        <v>6.736501734649196</v>
      </c>
      <c r="J255" s="246">
        <f>SUM('ведомствен.2013'!G382)</f>
        <v>2968.9</v>
      </c>
      <c r="K255" s="90"/>
    </row>
    <row r="256" spans="1:9" s="28" customFormat="1" ht="15">
      <c r="A256" s="106" t="s">
        <v>481</v>
      </c>
      <c r="B256" s="155"/>
      <c r="C256" s="159" t="s">
        <v>625</v>
      </c>
      <c r="D256" s="159" t="s">
        <v>149</v>
      </c>
      <c r="E256" s="155" t="s">
        <v>389</v>
      </c>
      <c r="F256" s="157"/>
      <c r="G256" s="91">
        <f>SUM(G257)</f>
        <v>6679.4</v>
      </c>
      <c r="H256" s="20">
        <f>SUM(H257)</f>
        <v>200</v>
      </c>
      <c r="I256" s="20">
        <f>SUM(H256/G256*100)</f>
        <v>2.994280923436237</v>
      </c>
    </row>
    <row r="257" spans="1:9" s="28" customFormat="1" ht="40.5" customHeight="1">
      <c r="A257" s="106" t="s">
        <v>809</v>
      </c>
      <c r="B257" s="155"/>
      <c r="C257" s="159" t="s">
        <v>625</v>
      </c>
      <c r="D257" s="159" t="s">
        <v>149</v>
      </c>
      <c r="E257" s="155" t="s">
        <v>390</v>
      </c>
      <c r="F257" s="157"/>
      <c r="G257" s="91">
        <f>SUM(G258)</f>
        <v>6679.4</v>
      </c>
      <c r="H257" s="20">
        <f>SUM(H258)</f>
        <v>200</v>
      </c>
      <c r="I257" s="20">
        <f>SUM(H257/G257*100)</f>
        <v>2.994280923436237</v>
      </c>
    </row>
    <row r="258" spans="1:10" s="28" customFormat="1" ht="49.5" customHeight="1">
      <c r="A258" s="106" t="s">
        <v>362</v>
      </c>
      <c r="B258" s="155"/>
      <c r="C258" s="159" t="s">
        <v>625</v>
      </c>
      <c r="D258" s="159" t="s">
        <v>149</v>
      </c>
      <c r="E258" s="155" t="s">
        <v>390</v>
      </c>
      <c r="F258" s="157" t="s">
        <v>485</v>
      </c>
      <c r="G258" s="91">
        <v>6679.4</v>
      </c>
      <c r="H258" s="20">
        <v>200</v>
      </c>
      <c r="I258" s="20">
        <f>SUM(H258/G258*100)</f>
        <v>2.994280923436237</v>
      </c>
      <c r="J258" s="28">
        <f>SUM('ведомствен.2013'!G385)</f>
        <v>6679.4</v>
      </c>
    </row>
    <row r="259" spans="1:11" ht="15.75" customHeight="1" hidden="1">
      <c r="A259" s="110" t="s">
        <v>340</v>
      </c>
      <c r="B259" s="172"/>
      <c r="C259" s="159" t="s">
        <v>625</v>
      </c>
      <c r="D259" s="159" t="s">
        <v>149</v>
      </c>
      <c r="E259" s="172" t="s">
        <v>341</v>
      </c>
      <c r="F259" s="157"/>
      <c r="G259" s="30">
        <f>SUM(G260)</f>
        <v>0</v>
      </c>
      <c r="H259" s="20"/>
      <c r="I259" s="20"/>
      <c r="K259" s="90"/>
    </row>
    <row r="260" spans="1:11" ht="15.75" customHeight="1" hidden="1">
      <c r="A260" s="105" t="s">
        <v>225</v>
      </c>
      <c r="B260" s="172"/>
      <c r="C260" s="159" t="s">
        <v>625</v>
      </c>
      <c r="D260" s="159" t="s">
        <v>149</v>
      </c>
      <c r="E260" s="172" t="s">
        <v>226</v>
      </c>
      <c r="F260" s="157"/>
      <c r="G260" s="30">
        <f>SUM(G261)</f>
        <v>0</v>
      </c>
      <c r="H260" s="20"/>
      <c r="I260" s="20"/>
      <c r="K260" s="90"/>
    </row>
    <row r="261" spans="1:9" ht="28.5" customHeight="1" hidden="1">
      <c r="A261" s="110" t="s">
        <v>840</v>
      </c>
      <c r="B261" s="159"/>
      <c r="C261" s="159" t="s">
        <v>625</v>
      </c>
      <c r="D261" s="159" t="s">
        <v>149</v>
      </c>
      <c r="E261" s="172" t="s">
        <v>509</v>
      </c>
      <c r="F261" s="157"/>
      <c r="G261" s="30">
        <f>SUM(G262)</f>
        <v>0</v>
      </c>
      <c r="H261" s="20">
        <f>SUM(H262)</f>
        <v>0</v>
      </c>
      <c r="I261" s="20" t="e">
        <f t="shared" si="6"/>
        <v>#DIV/0!</v>
      </c>
    </row>
    <row r="262" spans="1:10" ht="15" customHeight="1" hidden="1">
      <c r="A262" s="106" t="s">
        <v>598</v>
      </c>
      <c r="B262" s="159"/>
      <c r="C262" s="159" t="s">
        <v>625</v>
      </c>
      <c r="D262" s="159" t="s">
        <v>149</v>
      </c>
      <c r="E262" s="172" t="s">
        <v>509</v>
      </c>
      <c r="F262" s="157" t="s">
        <v>599</v>
      </c>
      <c r="G262" s="30"/>
      <c r="H262" s="20"/>
      <c r="I262" s="20" t="e">
        <f t="shared" si="6"/>
        <v>#DIV/0!</v>
      </c>
      <c r="J262" s="246">
        <f>SUM('ведомствен.2013'!G388)</f>
        <v>0</v>
      </c>
    </row>
    <row r="263" spans="1:9" ht="22.5" customHeight="1">
      <c r="A263" s="106" t="s">
        <v>634</v>
      </c>
      <c r="B263" s="155"/>
      <c r="C263" s="159" t="s">
        <v>625</v>
      </c>
      <c r="D263" s="159" t="s">
        <v>149</v>
      </c>
      <c r="E263" s="155" t="s">
        <v>635</v>
      </c>
      <c r="F263" s="157"/>
      <c r="G263" s="30">
        <f>SUM(G264,G271)+G266+G268</f>
        <v>9013.2</v>
      </c>
      <c r="H263" s="20">
        <f>SUM(H264)</f>
        <v>0</v>
      </c>
      <c r="I263" s="20">
        <f t="shared" si="6"/>
        <v>0</v>
      </c>
    </row>
    <row r="264" spans="1:9" ht="42" customHeight="1">
      <c r="A264" s="126" t="s">
        <v>302</v>
      </c>
      <c r="B264" s="155"/>
      <c r="C264" s="159" t="s">
        <v>625</v>
      </c>
      <c r="D264" s="159" t="s">
        <v>149</v>
      </c>
      <c r="E264" s="155" t="s">
        <v>195</v>
      </c>
      <c r="F264" s="157"/>
      <c r="G264" s="30">
        <f>SUM(G265)</f>
        <v>900</v>
      </c>
      <c r="H264" s="20">
        <f>SUM(H265)</f>
        <v>0</v>
      </c>
      <c r="I264" s="20">
        <f t="shared" si="6"/>
        <v>0</v>
      </c>
    </row>
    <row r="265" spans="1:10" ht="23.25" customHeight="1">
      <c r="A265" s="106" t="s">
        <v>598</v>
      </c>
      <c r="B265" s="159"/>
      <c r="C265" s="159" t="s">
        <v>625</v>
      </c>
      <c r="D265" s="159" t="s">
        <v>149</v>
      </c>
      <c r="E265" s="155" t="s">
        <v>195</v>
      </c>
      <c r="F265" s="157" t="s">
        <v>599</v>
      </c>
      <c r="G265" s="225">
        <v>900</v>
      </c>
      <c r="H265" s="27"/>
      <c r="I265" s="20">
        <f t="shared" si="6"/>
        <v>0</v>
      </c>
      <c r="J265" s="246">
        <f>SUM('ведомствен.2013'!G391)</f>
        <v>900</v>
      </c>
    </row>
    <row r="266" spans="1:10" s="28" customFormat="1" ht="30.75" customHeight="1">
      <c r="A266" s="106" t="s">
        <v>299</v>
      </c>
      <c r="B266" s="159"/>
      <c r="C266" s="159" t="s">
        <v>625</v>
      </c>
      <c r="D266" s="159" t="s">
        <v>149</v>
      </c>
      <c r="E266" s="155" t="s">
        <v>661</v>
      </c>
      <c r="F266" s="157"/>
      <c r="G266" s="225">
        <f>SUM(G267)</f>
        <v>635</v>
      </c>
      <c r="H266" s="27"/>
      <c r="I266" s="20"/>
      <c r="J266" s="251"/>
    </row>
    <row r="267" spans="1:10" s="28" customFormat="1" ht="18" customHeight="1">
      <c r="A267" s="106" t="s">
        <v>641</v>
      </c>
      <c r="B267" s="159"/>
      <c r="C267" s="159" t="s">
        <v>625</v>
      </c>
      <c r="D267" s="159" t="s">
        <v>149</v>
      </c>
      <c r="E267" s="155" t="s">
        <v>661</v>
      </c>
      <c r="F267" s="157" t="s">
        <v>642</v>
      </c>
      <c r="G267" s="225">
        <v>635</v>
      </c>
      <c r="H267" s="27"/>
      <c r="I267" s="20"/>
      <c r="J267" s="251">
        <f>SUM('ведомствен.2013'!G393)</f>
        <v>635</v>
      </c>
    </row>
    <row r="268" spans="1:10" s="28" customFormat="1" ht="37.5" customHeight="1">
      <c r="A268" s="105" t="s">
        <v>212</v>
      </c>
      <c r="B268" s="159"/>
      <c r="C268" s="159" t="s">
        <v>625</v>
      </c>
      <c r="D268" s="159" t="s">
        <v>149</v>
      </c>
      <c r="E268" s="155" t="s">
        <v>462</v>
      </c>
      <c r="F268" s="157"/>
      <c r="G268" s="225">
        <f>SUM(G269)</f>
        <v>1950</v>
      </c>
      <c r="H268" s="27"/>
      <c r="I268" s="20">
        <f>SUM(H268/G268*100)</f>
        <v>0</v>
      </c>
      <c r="J268" s="251"/>
    </row>
    <row r="269" spans="1:10" s="28" customFormat="1" ht="38.25" customHeight="1">
      <c r="A269" s="126" t="s">
        <v>508</v>
      </c>
      <c r="B269" s="159"/>
      <c r="C269" s="159" t="s">
        <v>625</v>
      </c>
      <c r="D269" s="159" t="s">
        <v>149</v>
      </c>
      <c r="E269" s="155" t="s">
        <v>196</v>
      </c>
      <c r="F269" s="157"/>
      <c r="G269" s="225">
        <f>SUM(G270)</f>
        <v>1950</v>
      </c>
      <c r="H269" s="27"/>
      <c r="I269" s="20">
        <f>SUM(H269/G269*100)</f>
        <v>0</v>
      </c>
      <c r="J269" s="251"/>
    </row>
    <row r="270" spans="1:10" s="28" customFormat="1" ht="21" customHeight="1">
      <c r="A270" s="106" t="s">
        <v>598</v>
      </c>
      <c r="B270" s="159"/>
      <c r="C270" s="159" t="s">
        <v>625</v>
      </c>
      <c r="D270" s="159" t="s">
        <v>149</v>
      </c>
      <c r="E270" s="155" t="s">
        <v>196</v>
      </c>
      <c r="F270" s="157" t="s">
        <v>599</v>
      </c>
      <c r="G270" s="225">
        <v>1950</v>
      </c>
      <c r="H270" s="27"/>
      <c r="I270" s="20">
        <f>SUM(H270/G270*100)</f>
        <v>0</v>
      </c>
      <c r="J270" s="251">
        <f>SUM('ведомствен.2013'!G396)</f>
        <v>1950</v>
      </c>
    </row>
    <row r="271" spans="1:9" ht="29.25" customHeight="1">
      <c r="A271" s="106" t="s">
        <v>26</v>
      </c>
      <c r="B271" s="159"/>
      <c r="C271" s="159" t="s">
        <v>625</v>
      </c>
      <c r="D271" s="159" t="s">
        <v>149</v>
      </c>
      <c r="E271" s="155" t="s">
        <v>475</v>
      </c>
      <c r="F271" s="157"/>
      <c r="G271" s="30">
        <f>SUM(G272)</f>
        <v>5528.2</v>
      </c>
      <c r="H271" s="20"/>
      <c r="I271" s="20"/>
    </row>
    <row r="272" spans="1:10" ht="49.5" customHeight="1">
      <c r="A272" s="106" t="s">
        <v>362</v>
      </c>
      <c r="B272" s="159"/>
      <c r="C272" s="159" t="s">
        <v>625</v>
      </c>
      <c r="D272" s="159" t="s">
        <v>149</v>
      </c>
      <c r="E272" s="155" t="s">
        <v>475</v>
      </c>
      <c r="F272" s="157" t="s">
        <v>485</v>
      </c>
      <c r="G272" s="30">
        <v>5528.2</v>
      </c>
      <c r="H272" s="20"/>
      <c r="I272" s="20">
        <f>SUM(H272/G272*100)</f>
        <v>0</v>
      </c>
      <c r="J272" s="246">
        <f>SUM('ведомствен.2013'!G398)</f>
        <v>5528.2</v>
      </c>
    </row>
    <row r="273" spans="1:12" s="19" customFormat="1" ht="15.75">
      <c r="A273" s="135" t="s">
        <v>197</v>
      </c>
      <c r="B273" s="214"/>
      <c r="C273" s="214" t="s">
        <v>638</v>
      </c>
      <c r="D273" s="214"/>
      <c r="E273" s="214"/>
      <c r="F273" s="217"/>
      <c r="G273" s="224">
        <f>SUM(G274+G326+G373+G401)</f>
        <v>147703.5</v>
      </c>
      <c r="H273" s="26" t="e">
        <f>SUM(H274+H326+H362+H401)</f>
        <v>#REF!</v>
      </c>
      <c r="I273" s="26" t="e">
        <f t="shared" si="6"/>
        <v>#REF!</v>
      </c>
      <c r="J273" s="247"/>
      <c r="K273" s="19">
        <f>SUM(J274:J439)</f>
        <v>147703.5</v>
      </c>
      <c r="L273" s="19">
        <f>SUM('ведомствен.2013'!G1022+'ведомствен.2013'!G735+'ведомствен.2013'!G399+'ведомствен.2013'!G89)</f>
        <v>147703.5</v>
      </c>
    </row>
    <row r="274" spans="1:9" ht="15">
      <c r="A274" s="106" t="s">
        <v>198</v>
      </c>
      <c r="B274" s="155"/>
      <c r="C274" s="155" t="s">
        <v>638</v>
      </c>
      <c r="D274" s="155" t="s">
        <v>237</v>
      </c>
      <c r="E274" s="155"/>
      <c r="F274" s="156"/>
      <c r="G274" s="30">
        <f>SUM(G296+G319+G287+G301+G275+G317+G314)</f>
        <v>3176.3</v>
      </c>
      <c r="H274" s="20" t="e">
        <f>SUM(H296+H319+H287+H301+H275)</f>
        <v>#REF!</v>
      </c>
      <c r="I274" s="20" t="e">
        <f t="shared" si="6"/>
        <v>#REF!</v>
      </c>
    </row>
    <row r="275" spans="1:13" ht="42.75">
      <c r="A275" s="136" t="s">
        <v>199</v>
      </c>
      <c r="B275" s="155"/>
      <c r="C275" s="155" t="s">
        <v>638</v>
      </c>
      <c r="D275" s="155" t="s">
        <v>237</v>
      </c>
      <c r="E275" s="155" t="s">
        <v>200</v>
      </c>
      <c r="F275" s="156"/>
      <c r="G275" s="30">
        <f>SUM(G276+G283)</f>
        <v>3076.3</v>
      </c>
      <c r="H275" s="20">
        <f>SUM(H276+H283)</f>
        <v>23798.300000000003</v>
      </c>
      <c r="I275" s="20">
        <f t="shared" si="6"/>
        <v>773.6014042843676</v>
      </c>
      <c r="M275" s="95">
        <f>SUM(K273-G273)</f>
        <v>0</v>
      </c>
    </row>
    <row r="276" spans="1:13" ht="77.25" customHeight="1" hidden="1">
      <c r="A276" s="136" t="s">
        <v>201</v>
      </c>
      <c r="B276" s="155"/>
      <c r="C276" s="155" t="s">
        <v>638</v>
      </c>
      <c r="D276" s="155" t="s">
        <v>237</v>
      </c>
      <c r="E276" s="155" t="s">
        <v>202</v>
      </c>
      <c r="F276" s="156"/>
      <c r="G276" s="30">
        <f>SUM(G277)+G279+G281</f>
        <v>0</v>
      </c>
      <c r="H276" s="20">
        <f>SUM(H277)+H279+H281</f>
        <v>20414.4</v>
      </c>
      <c r="I276" s="20" t="e">
        <f t="shared" si="6"/>
        <v>#DIV/0!</v>
      </c>
      <c r="M276" s="95"/>
    </row>
    <row r="277" spans="1:9" ht="61.5" customHeight="1" hidden="1">
      <c r="A277" s="136" t="s">
        <v>385</v>
      </c>
      <c r="B277" s="155"/>
      <c r="C277" s="155" t="s">
        <v>638</v>
      </c>
      <c r="D277" s="155" t="s">
        <v>237</v>
      </c>
      <c r="E277" s="155" t="s">
        <v>386</v>
      </c>
      <c r="F277" s="156"/>
      <c r="G277" s="30">
        <f>SUM(G278)</f>
        <v>0</v>
      </c>
      <c r="H277" s="20">
        <f>SUM(H278)</f>
        <v>15652.8</v>
      </c>
      <c r="I277" s="20" t="e">
        <f t="shared" si="6"/>
        <v>#DIV/0!</v>
      </c>
    </row>
    <row r="278" spans="1:10" ht="19.5" customHeight="1" hidden="1">
      <c r="A278" s="106" t="s">
        <v>351</v>
      </c>
      <c r="B278" s="155"/>
      <c r="C278" s="155" t="s">
        <v>638</v>
      </c>
      <c r="D278" s="155" t="s">
        <v>237</v>
      </c>
      <c r="E278" s="155" t="s">
        <v>386</v>
      </c>
      <c r="F278" s="156" t="s">
        <v>352</v>
      </c>
      <c r="G278" s="30"/>
      <c r="H278" s="20">
        <v>15652.8</v>
      </c>
      <c r="I278" s="20" t="e">
        <f t="shared" si="6"/>
        <v>#DIV/0!</v>
      </c>
      <c r="J278" s="246">
        <f>SUM('ведомствен.2013'!G94)</f>
        <v>0</v>
      </c>
    </row>
    <row r="279" spans="1:9" ht="58.5" customHeight="1" hidden="1">
      <c r="A279" s="126" t="s">
        <v>434</v>
      </c>
      <c r="B279" s="167"/>
      <c r="C279" s="155" t="s">
        <v>638</v>
      </c>
      <c r="D279" s="155" t="s">
        <v>237</v>
      </c>
      <c r="E279" s="155" t="s">
        <v>435</v>
      </c>
      <c r="F279" s="156"/>
      <c r="G279" s="30">
        <f>SUM(G280)</f>
        <v>0</v>
      </c>
      <c r="H279" s="20">
        <f>SUM(H280)</f>
        <v>0</v>
      </c>
      <c r="I279" s="20" t="e">
        <f t="shared" si="6"/>
        <v>#DIV/0!</v>
      </c>
    </row>
    <row r="280" spans="1:10" ht="21" customHeight="1" hidden="1">
      <c r="A280" s="109" t="s">
        <v>641</v>
      </c>
      <c r="B280" s="167"/>
      <c r="C280" s="155" t="s">
        <v>638</v>
      </c>
      <c r="D280" s="155" t="s">
        <v>237</v>
      </c>
      <c r="E280" s="155" t="s">
        <v>435</v>
      </c>
      <c r="F280" s="156" t="s">
        <v>642</v>
      </c>
      <c r="G280" s="30"/>
      <c r="H280" s="20"/>
      <c r="I280" s="20" t="e">
        <f t="shared" si="6"/>
        <v>#DIV/0!</v>
      </c>
      <c r="J280" s="246">
        <f>SUM('ведомствен.2013'!G406)</f>
        <v>0</v>
      </c>
    </row>
    <row r="281" spans="1:9" ht="90.75" customHeight="1" hidden="1">
      <c r="A281" s="126" t="s">
        <v>409</v>
      </c>
      <c r="B281" s="167"/>
      <c r="C281" s="155" t="s">
        <v>638</v>
      </c>
      <c r="D281" s="155" t="s">
        <v>237</v>
      </c>
      <c r="E281" s="155" t="s">
        <v>652</v>
      </c>
      <c r="F281" s="156"/>
      <c r="G281" s="30">
        <f>SUM(G282)</f>
        <v>0</v>
      </c>
      <c r="H281" s="20">
        <f>SUM(H282)</f>
        <v>4761.6</v>
      </c>
      <c r="I281" s="20" t="e">
        <f t="shared" si="6"/>
        <v>#DIV/0!</v>
      </c>
    </row>
    <row r="282" spans="1:9" ht="21" customHeight="1" hidden="1">
      <c r="A282" s="109" t="s">
        <v>641</v>
      </c>
      <c r="B282" s="167"/>
      <c r="C282" s="155" t="s">
        <v>638</v>
      </c>
      <c r="D282" s="155" t="s">
        <v>237</v>
      </c>
      <c r="E282" s="155" t="s">
        <v>652</v>
      </c>
      <c r="F282" s="156" t="s">
        <v>642</v>
      </c>
      <c r="G282" s="30"/>
      <c r="H282" s="20">
        <v>4761.6</v>
      </c>
      <c r="I282" s="20" t="e">
        <f t="shared" si="6"/>
        <v>#DIV/0!</v>
      </c>
    </row>
    <row r="283" spans="1:9" ht="42.75">
      <c r="A283" s="137" t="s">
        <v>203</v>
      </c>
      <c r="B283" s="155"/>
      <c r="C283" s="155" t="s">
        <v>638</v>
      </c>
      <c r="D283" s="155" t="s">
        <v>237</v>
      </c>
      <c r="E283" s="155" t="s">
        <v>204</v>
      </c>
      <c r="F283" s="156"/>
      <c r="G283" s="30">
        <f>SUM(G284)+G294+G290</f>
        <v>3076.3</v>
      </c>
      <c r="H283" s="20">
        <f>SUM(H284)+H294+H290</f>
        <v>3383.9</v>
      </c>
      <c r="I283" s="20">
        <f t="shared" si="6"/>
        <v>109.9990248025225</v>
      </c>
    </row>
    <row r="284" spans="1:9" ht="28.5">
      <c r="A284" s="105" t="s">
        <v>205</v>
      </c>
      <c r="B284" s="167"/>
      <c r="C284" s="155" t="s">
        <v>638</v>
      </c>
      <c r="D284" s="155" t="s">
        <v>237</v>
      </c>
      <c r="E284" s="155" t="s">
        <v>206</v>
      </c>
      <c r="F284" s="156"/>
      <c r="G284" s="30">
        <f>SUM(G285+G286)</f>
        <v>100</v>
      </c>
      <c r="H284" s="20">
        <f>SUM(H285+H286)</f>
        <v>1562</v>
      </c>
      <c r="I284" s="20">
        <f t="shared" si="6"/>
        <v>1562</v>
      </c>
    </row>
    <row r="285" spans="1:10" ht="17.25" customHeight="1">
      <c r="A285" s="138" t="s">
        <v>351</v>
      </c>
      <c r="B285" s="167"/>
      <c r="C285" s="155" t="s">
        <v>638</v>
      </c>
      <c r="D285" s="155" t="s">
        <v>237</v>
      </c>
      <c r="E285" s="155" t="s">
        <v>206</v>
      </c>
      <c r="F285" s="156" t="s">
        <v>352</v>
      </c>
      <c r="G285" s="30">
        <v>100</v>
      </c>
      <c r="H285" s="20">
        <v>233.9</v>
      </c>
      <c r="I285" s="20">
        <f t="shared" si="6"/>
        <v>233.9</v>
      </c>
      <c r="J285" s="246">
        <f>SUM('ведомствен.2013'!G411)</f>
        <v>100</v>
      </c>
    </row>
    <row r="286" spans="1:9" ht="12.75" customHeight="1" hidden="1">
      <c r="A286" s="138" t="s">
        <v>207</v>
      </c>
      <c r="B286" s="167"/>
      <c r="C286" s="155" t="s">
        <v>638</v>
      </c>
      <c r="D286" s="155" t="s">
        <v>237</v>
      </c>
      <c r="E286" s="155" t="s">
        <v>206</v>
      </c>
      <c r="F286" s="156" t="s">
        <v>208</v>
      </c>
      <c r="G286" s="30"/>
      <c r="H286" s="20">
        <v>1328.1</v>
      </c>
      <c r="I286" s="20" t="e">
        <f t="shared" si="6"/>
        <v>#DIV/0!</v>
      </c>
    </row>
    <row r="287" spans="1:9" ht="28.5" hidden="1">
      <c r="A287" s="105" t="s">
        <v>937</v>
      </c>
      <c r="B287" s="155"/>
      <c r="C287" s="155" t="s">
        <v>638</v>
      </c>
      <c r="D287" s="155" t="s">
        <v>237</v>
      </c>
      <c r="E287" s="155" t="s">
        <v>183</v>
      </c>
      <c r="F287" s="156"/>
      <c r="G287" s="30">
        <f>SUM(G288)</f>
        <v>0</v>
      </c>
      <c r="H287" s="20">
        <f>SUM(H288)</f>
        <v>0</v>
      </c>
      <c r="I287" s="20" t="e">
        <f t="shared" si="6"/>
        <v>#DIV/0!</v>
      </c>
    </row>
    <row r="288" spans="1:9" ht="28.5" hidden="1">
      <c r="A288" s="105" t="s">
        <v>639</v>
      </c>
      <c r="B288" s="155"/>
      <c r="C288" s="155" t="s">
        <v>638</v>
      </c>
      <c r="D288" s="155" t="s">
        <v>237</v>
      </c>
      <c r="E288" s="155" t="s">
        <v>640</v>
      </c>
      <c r="F288" s="156"/>
      <c r="G288" s="30">
        <f>SUM(G289)</f>
        <v>0</v>
      </c>
      <c r="H288" s="20">
        <f>SUM(H289)</f>
        <v>0</v>
      </c>
      <c r="I288" s="20" t="e">
        <f t="shared" si="6"/>
        <v>#DIV/0!</v>
      </c>
    </row>
    <row r="289" spans="1:9" ht="15" hidden="1">
      <c r="A289" s="105" t="s">
        <v>641</v>
      </c>
      <c r="B289" s="155"/>
      <c r="C289" s="155" t="s">
        <v>638</v>
      </c>
      <c r="D289" s="155" t="s">
        <v>237</v>
      </c>
      <c r="E289" s="155" t="s">
        <v>640</v>
      </c>
      <c r="F289" s="156" t="s">
        <v>642</v>
      </c>
      <c r="G289" s="30"/>
      <c r="H289" s="20"/>
      <c r="I289" s="20" t="e">
        <f t="shared" si="6"/>
        <v>#DIV/0!</v>
      </c>
    </row>
    <row r="290" spans="1:9" ht="29.25" customHeight="1">
      <c r="A290" s="105" t="s">
        <v>209</v>
      </c>
      <c r="B290" s="155"/>
      <c r="C290" s="155" t="s">
        <v>638</v>
      </c>
      <c r="D290" s="155" t="s">
        <v>237</v>
      </c>
      <c r="E290" s="155" t="s">
        <v>210</v>
      </c>
      <c r="F290" s="156"/>
      <c r="G290" s="30">
        <f>SUM(G292+G293)+G291</f>
        <v>2976.3</v>
      </c>
      <c r="H290" s="20">
        <f>SUM(H292+H293)</f>
        <v>0</v>
      </c>
      <c r="I290" s="20">
        <f t="shared" si="6"/>
        <v>0</v>
      </c>
    </row>
    <row r="291" spans="1:10" s="25" customFormat="1" ht="21.75" customHeight="1">
      <c r="A291" s="109" t="s">
        <v>641</v>
      </c>
      <c r="B291" s="155"/>
      <c r="C291" s="155" t="s">
        <v>638</v>
      </c>
      <c r="D291" s="155" t="s">
        <v>237</v>
      </c>
      <c r="E291" s="155" t="s">
        <v>210</v>
      </c>
      <c r="F291" s="156" t="s">
        <v>642</v>
      </c>
      <c r="G291" s="30">
        <v>2976.3</v>
      </c>
      <c r="H291" s="20">
        <v>1821.9</v>
      </c>
      <c r="I291" s="20">
        <f>SUM(H291/G291*100)</f>
        <v>61.213587339985885</v>
      </c>
      <c r="J291" s="250">
        <f>SUM('ведомствен.2013'!G418)</f>
        <v>2976.3</v>
      </c>
    </row>
    <row r="292" spans="1:10" ht="18.75" customHeight="1" hidden="1">
      <c r="A292" s="106" t="s">
        <v>362</v>
      </c>
      <c r="B292" s="155"/>
      <c r="C292" s="155" t="s">
        <v>638</v>
      </c>
      <c r="D292" s="155" t="s">
        <v>237</v>
      </c>
      <c r="E292" s="155" t="s">
        <v>210</v>
      </c>
      <c r="F292" s="156" t="s">
        <v>485</v>
      </c>
      <c r="G292" s="30"/>
      <c r="H292" s="20"/>
      <c r="I292" s="20" t="e">
        <f t="shared" si="6"/>
        <v>#DIV/0!</v>
      </c>
      <c r="J292" s="246">
        <f>SUM('ведомствен.2013'!G417)</f>
        <v>0</v>
      </c>
    </row>
    <row r="293" spans="1:9" ht="29.25" customHeight="1" hidden="1">
      <c r="A293" s="109" t="s">
        <v>213</v>
      </c>
      <c r="B293" s="155"/>
      <c r="C293" s="155" t="s">
        <v>638</v>
      </c>
      <c r="D293" s="155" t="s">
        <v>237</v>
      </c>
      <c r="E293" s="155" t="s">
        <v>210</v>
      </c>
      <c r="F293" s="156" t="s">
        <v>214</v>
      </c>
      <c r="G293" s="30"/>
      <c r="H293" s="20"/>
      <c r="I293" s="20" t="e">
        <f t="shared" si="6"/>
        <v>#DIV/0!</v>
      </c>
    </row>
    <row r="294" spans="1:9" ht="59.25" customHeight="1" hidden="1">
      <c r="A294" s="105" t="s">
        <v>215</v>
      </c>
      <c r="B294" s="155"/>
      <c r="C294" s="155" t="s">
        <v>638</v>
      </c>
      <c r="D294" s="155" t="s">
        <v>237</v>
      </c>
      <c r="E294" s="155" t="s">
        <v>216</v>
      </c>
      <c r="F294" s="156"/>
      <c r="G294" s="30">
        <f>SUM(G295)</f>
        <v>0</v>
      </c>
      <c r="H294" s="20">
        <f>SUM(H295)</f>
        <v>1821.9</v>
      </c>
      <c r="I294" s="20" t="e">
        <f t="shared" si="6"/>
        <v>#DIV/0!</v>
      </c>
    </row>
    <row r="295" spans="1:9" ht="16.5" customHeight="1" hidden="1">
      <c r="A295" s="109" t="s">
        <v>641</v>
      </c>
      <c r="B295" s="155"/>
      <c r="C295" s="155" t="s">
        <v>638</v>
      </c>
      <c r="D295" s="155" t="s">
        <v>237</v>
      </c>
      <c r="E295" s="155" t="s">
        <v>216</v>
      </c>
      <c r="F295" s="156" t="s">
        <v>642</v>
      </c>
      <c r="G295" s="30"/>
      <c r="H295" s="20">
        <v>1821.9</v>
      </c>
      <c r="I295" s="20" t="e">
        <f t="shared" si="6"/>
        <v>#DIV/0!</v>
      </c>
    </row>
    <row r="296" spans="1:9" ht="18.75" customHeight="1" hidden="1">
      <c r="A296" s="106" t="s">
        <v>217</v>
      </c>
      <c r="B296" s="155"/>
      <c r="C296" s="155" t="s">
        <v>638</v>
      </c>
      <c r="D296" s="155" t="s">
        <v>237</v>
      </c>
      <c r="E296" s="155" t="s">
        <v>218</v>
      </c>
      <c r="F296" s="156"/>
      <c r="G296" s="30">
        <f>SUM(G297+G299)</f>
        <v>0</v>
      </c>
      <c r="H296" s="20">
        <f>SUM(H297+H299)</f>
        <v>0</v>
      </c>
      <c r="I296" s="20" t="e">
        <f t="shared" si="6"/>
        <v>#DIV/0!</v>
      </c>
    </row>
    <row r="297" spans="1:9" ht="20.25" customHeight="1" hidden="1">
      <c r="A297" s="109" t="s">
        <v>175</v>
      </c>
      <c r="B297" s="155"/>
      <c r="C297" s="155" t="s">
        <v>638</v>
      </c>
      <c r="D297" s="155" t="s">
        <v>237</v>
      </c>
      <c r="E297" s="155" t="s">
        <v>174</v>
      </c>
      <c r="F297" s="156"/>
      <c r="G297" s="30">
        <f>SUM(G298)</f>
        <v>0</v>
      </c>
      <c r="H297" s="20">
        <f>SUM(H298)</f>
        <v>0</v>
      </c>
      <c r="I297" s="20" t="e">
        <f t="shared" si="6"/>
        <v>#DIV/0!</v>
      </c>
    </row>
    <row r="298" spans="1:10" ht="15.75" customHeight="1" hidden="1">
      <c r="A298" s="133" t="s">
        <v>641</v>
      </c>
      <c r="B298" s="155"/>
      <c r="C298" s="155" t="s">
        <v>638</v>
      </c>
      <c r="D298" s="155" t="s">
        <v>237</v>
      </c>
      <c r="E298" s="155" t="s">
        <v>174</v>
      </c>
      <c r="F298" s="156" t="s">
        <v>642</v>
      </c>
      <c r="G298" s="30"/>
      <c r="H298" s="20"/>
      <c r="I298" s="20" t="e">
        <f t="shared" si="6"/>
        <v>#DIV/0!</v>
      </c>
      <c r="J298" s="246">
        <f>SUM('ведомствен.2013'!G1033)</f>
        <v>0</v>
      </c>
    </row>
    <row r="299" spans="1:10" s="25" customFormat="1" ht="28.5" customHeight="1" hidden="1">
      <c r="A299" s="133" t="s">
        <v>221</v>
      </c>
      <c r="B299" s="159"/>
      <c r="C299" s="155" t="s">
        <v>638</v>
      </c>
      <c r="D299" s="155" t="s">
        <v>237</v>
      </c>
      <c r="E299" s="155" t="s">
        <v>222</v>
      </c>
      <c r="F299" s="157"/>
      <c r="G299" s="30">
        <f>SUM(G300)</f>
        <v>0</v>
      </c>
      <c r="H299" s="20">
        <f>SUM(H300)</f>
        <v>0</v>
      </c>
      <c r="I299" s="20" t="e">
        <f t="shared" si="6"/>
        <v>#DIV/0!</v>
      </c>
      <c r="J299" s="250"/>
    </row>
    <row r="300" spans="1:10" s="29" customFormat="1" ht="16.5" customHeight="1" hidden="1">
      <c r="A300" s="106" t="s">
        <v>598</v>
      </c>
      <c r="B300" s="168"/>
      <c r="C300" s="155" t="s">
        <v>638</v>
      </c>
      <c r="D300" s="155" t="s">
        <v>237</v>
      </c>
      <c r="E300" s="155" t="s">
        <v>222</v>
      </c>
      <c r="F300" s="166" t="s">
        <v>599</v>
      </c>
      <c r="G300" s="225"/>
      <c r="H300" s="27"/>
      <c r="I300" s="20" t="e">
        <f t="shared" si="6"/>
        <v>#DIV/0!</v>
      </c>
      <c r="J300" s="255"/>
    </row>
    <row r="301" spans="1:10" s="28" customFormat="1" ht="18.75" customHeight="1" hidden="1">
      <c r="A301" s="133" t="s">
        <v>340</v>
      </c>
      <c r="B301" s="165"/>
      <c r="C301" s="165" t="s">
        <v>638</v>
      </c>
      <c r="D301" s="165" t="s">
        <v>237</v>
      </c>
      <c r="E301" s="165" t="s">
        <v>341</v>
      </c>
      <c r="F301" s="166"/>
      <c r="G301" s="30">
        <f>SUM(G304)+G309+G302</f>
        <v>0</v>
      </c>
      <c r="H301" s="30" t="e">
        <f>SUM(H304)+H309+H302</f>
        <v>#REF!</v>
      </c>
      <c r="I301" s="20" t="e">
        <f t="shared" si="6"/>
        <v>#REF!</v>
      </c>
      <c r="J301" s="251"/>
    </row>
    <row r="302" spans="1:10" s="28" customFormat="1" ht="39.75" customHeight="1" hidden="1">
      <c r="A302" s="133" t="s">
        <v>223</v>
      </c>
      <c r="B302" s="165"/>
      <c r="C302" s="165" t="s">
        <v>638</v>
      </c>
      <c r="D302" s="165" t="s">
        <v>237</v>
      </c>
      <c r="E302" s="165" t="s">
        <v>224</v>
      </c>
      <c r="F302" s="166"/>
      <c r="G302" s="30">
        <f>SUM(G303)</f>
        <v>0</v>
      </c>
      <c r="H302" s="30">
        <f>SUM(H303)</f>
        <v>0</v>
      </c>
      <c r="I302" s="20" t="e">
        <f t="shared" si="6"/>
        <v>#DIV/0!</v>
      </c>
      <c r="J302" s="251"/>
    </row>
    <row r="303" spans="1:10" s="28" customFormat="1" ht="18.75" customHeight="1" hidden="1">
      <c r="A303" s="133" t="s">
        <v>641</v>
      </c>
      <c r="B303" s="165"/>
      <c r="C303" s="165" t="s">
        <v>638</v>
      </c>
      <c r="D303" s="165" t="s">
        <v>237</v>
      </c>
      <c r="E303" s="165" t="s">
        <v>224</v>
      </c>
      <c r="F303" s="166" t="s">
        <v>642</v>
      </c>
      <c r="G303" s="30"/>
      <c r="H303" s="30"/>
      <c r="I303" s="20" t="e">
        <f t="shared" si="6"/>
        <v>#DIV/0!</v>
      </c>
      <c r="J303" s="251"/>
    </row>
    <row r="304" spans="1:10" s="28" customFormat="1" ht="45" customHeight="1" hidden="1">
      <c r="A304" s="106" t="s">
        <v>225</v>
      </c>
      <c r="B304" s="165"/>
      <c r="C304" s="165" t="s">
        <v>638</v>
      </c>
      <c r="D304" s="165" t="s">
        <v>237</v>
      </c>
      <c r="E304" s="165" t="s">
        <v>226</v>
      </c>
      <c r="F304" s="166"/>
      <c r="G304" s="30">
        <f>SUM(G305+G307)</f>
        <v>0</v>
      </c>
      <c r="H304" s="30" t="e">
        <f>SUM(H305+H307)</f>
        <v>#REF!</v>
      </c>
      <c r="I304" s="20" t="e">
        <f t="shared" si="6"/>
        <v>#REF!</v>
      </c>
      <c r="J304" s="251"/>
    </row>
    <row r="305" spans="1:10" s="28" customFormat="1" ht="49.5" customHeight="1" hidden="1">
      <c r="A305" s="133" t="s">
        <v>227</v>
      </c>
      <c r="B305" s="169"/>
      <c r="C305" s="165" t="s">
        <v>638</v>
      </c>
      <c r="D305" s="165" t="s">
        <v>237</v>
      </c>
      <c r="E305" s="165" t="s">
        <v>228</v>
      </c>
      <c r="F305" s="166"/>
      <c r="G305" s="30">
        <f>SUM(G306)</f>
        <v>0</v>
      </c>
      <c r="H305" s="30">
        <f>SUM(H306)</f>
        <v>0</v>
      </c>
      <c r="I305" s="20" t="e">
        <f t="shared" si="6"/>
        <v>#DIV/0!</v>
      </c>
      <c r="J305" s="251"/>
    </row>
    <row r="306" spans="1:10" s="28" customFormat="1" ht="15" customHeight="1" hidden="1">
      <c r="A306" s="105" t="s">
        <v>641</v>
      </c>
      <c r="B306" s="165"/>
      <c r="C306" s="165" t="s">
        <v>638</v>
      </c>
      <c r="D306" s="165" t="s">
        <v>237</v>
      </c>
      <c r="E306" s="165" t="s">
        <v>228</v>
      </c>
      <c r="F306" s="166" t="s">
        <v>642</v>
      </c>
      <c r="G306" s="30">
        <v>0</v>
      </c>
      <c r="H306" s="20">
        <v>0</v>
      </c>
      <c r="I306" s="20" t="e">
        <f t="shared" si="6"/>
        <v>#DIV/0!</v>
      </c>
      <c r="J306" s="251"/>
    </row>
    <row r="307" spans="1:10" s="28" customFormat="1" ht="18" customHeight="1" hidden="1">
      <c r="A307" s="105" t="s">
        <v>229</v>
      </c>
      <c r="B307" s="165"/>
      <c r="C307" s="165" t="s">
        <v>638</v>
      </c>
      <c r="D307" s="165" t="s">
        <v>237</v>
      </c>
      <c r="E307" s="165" t="s">
        <v>230</v>
      </c>
      <c r="F307" s="166"/>
      <c r="G307" s="30">
        <f>SUM(G308)</f>
        <v>0</v>
      </c>
      <c r="H307" s="20" t="e">
        <f>SUM(H308)</f>
        <v>#REF!</v>
      </c>
      <c r="I307" s="20" t="e">
        <f t="shared" si="6"/>
        <v>#REF!</v>
      </c>
      <c r="J307" s="251"/>
    </row>
    <row r="308" spans="1:10" s="28" customFormat="1" ht="14.25" customHeight="1" hidden="1">
      <c r="A308" s="106" t="s">
        <v>598</v>
      </c>
      <c r="B308" s="168"/>
      <c r="C308" s="155" t="s">
        <v>638</v>
      </c>
      <c r="D308" s="155" t="s">
        <v>237</v>
      </c>
      <c r="E308" s="165" t="s">
        <v>230</v>
      </c>
      <c r="F308" s="166" t="s">
        <v>599</v>
      </c>
      <c r="G308" s="30">
        <f>SUM('[1]Ведомств.'!F180)</f>
        <v>0</v>
      </c>
      <c r="H308" s="20" t="e">
        <f>SUM('[1]Ведомств.'!G180)</f>
        <v>#REF!</v>
      </c>
      <c r="I308" s="20" t="e">
        <f t="shared" si="6"/>
        <v>#REF!</v>
      </c>
      <c r="J308" s="251"/>
    </row>
    <row r="309" spans="1:10" s="28" customFormat="1" ht="28.5" customHeight="1" hidden="1">
      <c r="A309" s="106" t="s">
        <v>423</v>
      </c>
      <c r="B309" s="168"/>
      <c r="C309" s="155" t="s">
        <v>638</v>
      </c>
      <c r="D309" s="155" t="s">
        <v>237</v>
      </c>
      <c r="E309" s="165" t="s">
        <v>232</v>
      </c>
      <c r="F309" s="166"/>
      <c r="G309" s="30">
        <f>SUM(G310)+G312</f>
        <v>0</v>
      </c>
      <c r="H309" s="20">
        <f>SUM(H310)+H312</f>
        <v>0</v>
      </c>
      <c r="I309" s="20" t="e">
        <f t="shared" si="6"/>
        <v>#DIV/0!</v>
      </c>
      <c r="J309" s="251"/>
    </row>
    <row r="310" spans="1:10" s="28" customFormat="1" ht="42.75" customHeight="1" hidden="1">
      <c r="A310" s="106" t="s">
        <v>424</v>
      </c>
      <c r="B310" s="168"/>
      <c r="C310" s="155" t="s">
        <v>638</v>
      </c>
      <c r="D310" s="155" t="s">
        <v>237</v>
      </c>
      <c r="E310" s="165" t="s">
        <v>466</v>
      </c>
      <c r="F310" s="166"/>
      <c r="G310" s="30">
        <f>SUM(G311)</f>
        <v>0</v>
      </c>
      <c r="H310" s="20">
        <f>SUM(H311)</f>
        <v>0</v>
      </c>
      <c r="I310" s="20" t="e">
        <f t="shared" si="6"/>
        <v>#DIV/0!</v>
      </c>
      <c r="J310" s="251"/>
    </row>
    <row r="311" spans="1:10" s="28" customFormat="1" ht="15" customHeight="1" hidden="1">
      <c r="A311" s="106" t="s">
        <v>351</v>
      </c>
      <c r="B311" s="168"/>
      <c r="C311" s="155" t="s">
        <v>638</v>
      </c>
      <c r="D311" s="155" t="s">
        <v>237</v>
      </c>
      <c r="E311" s="165" t="s">
        <v>466</v>
      </c>
      <c r="F311" s="166" t="s">
        <v>352</v>
      </c>
      <c r="G311" s="30"/>
      <c r="H311" s="20"/>
      <c r="I311" s="20" t="e">
        <f t="shared" si="6"/>
        <v>#DIV/0!</v>
      </c>
      <c r="J311" s="251"/>
    </row>
    <row r="312" spans="1:10" s="28" customFormat="1" ht="42.75" hidden="1">
      <c r="A312" s="106" t="s">
        <v>425</v>
      </c>
      <c r="B312" s="168"/>
      <c r="C312" s="155" t="s">
        <v>638</v>
      </c>
      <c r="D312" s="155" t="s">
        <v>237</v>
      </c>
      <c r="E312" s="165" t="s">
        <v>468</v>
      </c>
      <c r="F312" s="166"/>
      <c r="G312" s="30">
        <f>SUM(G313)</f>
        <v>0</v>
      </c>
      <c r="H312" s="20">
        <f>SUM(H313)</f>
        <v>0</v>
      </c>
      <c r="I312" s="20" t="e">
        <f t="shared" si="6"/>
        <v>#DIV/0!</v>
      </c>
      <c r="J312" s="251"/>
    </row>
    <row r="313" spans="1:10" s="28" customFormat="1" ht="15" hidden="1">
      <c r="A313" s="106" t="s">
        <v>351</v>
      </c>
      <c r="B313" s="168"/>
      <c r="C313" s="155" t="s">
        <v>638</v>
      </c>
      <c r="D313" s="155" t="s">
        <v>237</v>
      </c>
      <c r="E313" s="165" t="s">
        <v>468</v>
      </c>
      <c r="F313" s="166" t="s">
        <v>352</v>
      </c>
      <c r="G313" s="30"/>
      <c r="H313" s="20"/>
      <c r="I313" s="20" t="e">
        <f t="shared" si="6"/>
        <v>#DIV/0!</v>
      </c>
      <c r="J313" s="251"/>
    </row>
    <row r="314" spans="1:10" s="25" customFormat="1" ht="15" hidden="1">
      <c r="A314" s="106" t="s">
        <v>217</v>
      </c>
      <c r="B314" s="168"/>
      <c r="C314" s="155" t="s">
        <v>638</v>
      </c>
      <c r="D314" s="155" t="s">
        <v>237</v>
      </c>
      <c r="E314" s="165" t="s">
        <v>553</v>
      </c>
      <c r="F314" s="166"/>
      <c r="G314" s="30">
        <f>SUM(G315)</f>
        <v>0</v>
      </c>
      <c r="H314" s="20"/>
      <c r="I314" s="20"/>
      <c r="J314" s="250"/>
    </row>
    <row r="315" spans="1:10" s="25" customFormat="1" ht="15" hidden="1">
      <c r="A315" s="106" t="s">
        <v>555</v>
      </c>
      <c r="B315" s="168"/>
      <c r="C315" s="155" t="s">
        <v>638</v>
      </c>
      <c r="D315" s="155" t="s">
        <v>237</v>
      </c>
      <c r="E315" s="165" t="s">
        <v>554</v>
      </c>
      <c r="F315" s="166"/>
      <c r="G315" s="30">
        <f>SUM(G316)</f>
        <v>0</v>
      </c>
      <c r="H315" s="20"/>
      <c r="I315" s="20"/>
      <c r="J315" s="250"/>
    </row>
    <row r="316" spans="1:10" s="25" customFormat="1" ht="14.25" customHeight="1" hidden="1">
      <c r="A316" s="138" t="s">
        <v>351</v>
      </c>
      <c r="B316" s="168"/>
      <c r="C316" s="155" t="s">
        <v>638</v>
      </c>
      <c r="D316" s="155" t="s">
        <v>237</v>
      </c>
      <c r="E316" s="165" t="s">
        <v>554</v>
      </c>
      <c r="F316" s="166" t="s">
        <v>352</v>
      </c>
      <c r="G316" s="30"/>
      <c r="H316" s="20"/>
      <c r="I316" s="20"/>
      <c r="J316" s="250">
        <f>SUM('ведомствен.2013'!G113)</f>
        <v>0</v>
      </c>
    </row>
    <row r="317" spans="1:9" ht="15" hidden="1">
      <c r="A317" s="109" t="s">
        <v>175</v>
      </c>
      <c r="B317" s="159"/>
      <c r="C317" s="159" t="s">
        <v>638</v>
      </c>
      <c r="D317" s="159" t="s">
        <v>237</v>
      </c>
      <c r="E317" s="159" t="s">
        <v>174</v>
      </c>
      <c r="F317" s="156"/>
      <c r="G317" s="225">
        <f>SUM(G318)</f>
        <v>0</v>
      </c>
      <c r="H317" s="20"/>
      <c r="I317" s="20"/>
    </row>
    <row r="318" spans="1:9" ht="15" hidden="1">
      <c r="A318" s="109" t="s">
        <v>641</v>
      </c>
      <c r="B318" s="159"/>
      <c r="C318" s="159" t="s">
        <v>638</v>
      </c>
      <c r="D318" s="159" t="s">
        <v>237</v>
      </c>
      <c r="E318" s="159" t="s">
        <v>174</v>
      </c>
      <c r="F318" s="157" t="s">
        <v>642</v>
      </c>
      <c r="G318" s="225"/>
      <c r="H318" s="20"/>
      <c r="I318" s="20"/>
    </row>
    <row r="319" spans="1:10" s="28" customFormat="1" ht="15">
      <c r="A319" s="109" t="s">
        <v>634</v>
      </c>
      <c r="B319" s="165"/>
      <c r="C319" s="165" t="s">
        <v>638</v>
      </c>
      <c r="D319" s="165" t="s">
        <v>237</v>
      </c>
      <c r="E319" s="165" t="s">
        <v>635</v>
      </c>
      <c r="F319" s="166"/>
      <c r="G319" s="30">
        <f>SUM(G320,G322,G324)</f>
        <v>100</v>
      </c>
      <c r="H319" s="20" t="e">
        <f>SUM(#REF!+#REF!)+H324</f>
        <v>#REF!</v>
      </c>
      <c r="I319" s="20" t="e">
        <f t="shared" si="6"/>
        <v>#REF!</v>
      </c>
      <c r="J319" s="251"/>
    </row>
    <row r="320" spans="1:10" s="28" customFormat="1" ht="42.75" customHeight="1">
      <c r="A320" s="109" t="s">
        <v>315</v>
      </c>
      <c r="B320" s="165"/>
      <c r="C320" s="165" t="s">
        <v>638</v>
      </c>
      <c r="D320" s="165" t="s">
        <v>237</v>
      </c>
      <c r="E320" s="165" t="s">
        <v>1037</v>
      </c>
      <c r="F320" s="166"/>
      <c r="G320" s="226">
        <f>SUM(G321)</f>
        <v>100</v>
      </c>
      <c r="H320" s="31" t="e">
        <f>SUM('[1]Ведомств.'!G188)</f>
        <v>#REF!</v>
      </c>
      <c r="I320" s="20" t="e">
        <f t="shared" si="6"/>
        <v>#REF!</v>
      </c>
      <c r="J320" s="251"/>
    </row>
    <row r="321" spans="1:10" s="28" customFormat="1" ht="15">
      <c r="A321" s="138" t="s">
        <v>351</v>
      </c>
      <c r="B321" s="165"/>
      <c r="C321" s="165" t="s">
        <v>638</v>
      </c>
      <c r="D321" s="165" t="s">
        <v>237</v>
      </c>
      <c r="E321" s="165" t="s">
        <v>1037</v>
      </c>
      <c r="F321" s="166" t="s">
        <v>352</v>
      </c>
      <c r="G321" s="226">
        <v>100</v>
      </c>
      <c r="H321" s="31"/>
      <c r="I321" s="20">
        <f t="shared" si="6"/>
        <v>0</v>
      </c>
      <c r="J321" s="250">
        <f>SUM('ведомствен.2013'!G445)</f>
        <v>100</v>
      </c>
    </row>
    <row r="322" spans="1:10" s="28" customFormat="1" ht="28.5" hidden="1">
      <c r="A322" s="105" t="s">
        <v>471</v>
      </c>
      <c r="B322" s="165"/>
      <c r="C322" s="165" t="s">
        <v>638</v>
      </c>
      <c r="D322" s="165" t="s">
        <v>237</v>
      </c>
      <c r="E322" s="165" t="s">
        <v>472</v>
      </c>
      <c r="F322" s="166" t="s">
        <v>642</v>
      </c>
      <c r="G322" s="30">
        <f>SUM(G323)</f>
        <v>0</v>
      </c>
      <c r="H322" s="20">
        <f>SUM(H323)</f>
        <v>167.7</v>
      </c>
      <c r="I322" s="20" t="e">
        <f t="shared" si="6"/>
        <v>#DIV/0!</v>
      </c>
      <c r="J322" s="251"/>
    </row>
    <row r="323" spans="1:10" s="28" customFormat="1" ht="42.75" hidden="1">
      <c r="A323" s="133" t="s">
        <v>227</v>
      </c>
      <c r="B323" s="165"/>
      <c r="C323" s="165" t="s">
        <v>638</v>
      </c>
      <c r="D323" s="165" t="s">
        <v>237</v>
      </c>
      <c r="E323" s="165" t="s">
        <v>473</v>
      </c>
      <c r="F323" s="166" t="s">
        <v>642</v>
      </c>
      <c r="G323" s="30"/>
      <c r="H323" s="20">
        <v>167.7</v>
      </c>
      <c r="I323" s="20" t="e">
        <f t="shared" si="6"/>
        <v>#DIV/0!</v>
      </c>
      <c r="J323" s="251"/>
    </row>
    <row r="324" spans="1:10" s="28" customFormat="1" ht="28.5" hidden="1">
      <c r="A324" s="127" t="s">
        <v>474</v>
      </c>
      <c r="B324" s="165"/>
      <c r="C324" s="165" t="s">
        <v>638</v>
      </c>
      <c r="D324" s="165" t="s">
        <v>237</v>
      </c>
      <c r="E324" s="165" t="s">
        <v>475</v>
      </c>
      <c r="F324" s="166"/>
      <c r="G324" s="30">
        <f>SUM(G325)</f>
        <v>0</v>
      </c>
      <c r="H324" s="20">
        <f>SUM(H325)</f>
        <v>110.4</v>
      </c>
      <c r="I324" s="20" t="e">
        <f t="shared" si="6"/>
        <v>#DIV/0!</v>
      </c>
      <c r="J324" s="251"/>
    </row>
    <row r="325" spans="1:10" s="28" customFormat="1" ht="15" hidden="1">
      <c r="A325" s="109" t="s">
        <v>641</v>
      </c>
      <c r="B325" s="165"/>
      <c r="C325" s="165" t="s">
        <v>638</v>
      </c>
      <c r="D325" s="165" t="s">
        <v>237</v>
      </c>
      <c r="E325" s="165" t="s">
        <v>475</v>
      </c>
      <c r="F325" s="166" t="s">
        <v>642</v>
      </c>
      <c r="G325" s="30"/>
      <c r="H325" s="20">
        <v>110.4</v>
      </c>
      <c r="I325" s="20" t="e">
        <f t="shared" si="6"/>
        <v>#DIV/0!</v>
      </c>
      <c r="J325" s="251"/>
    </row>
    <row r="326" spans="1:10" s="25" customFormat="1" ht="20.25" customHeight="1">
      <c r="A326" s="105" t="s">
        <v>476</v>
      </c>
      <c r="B326" s="159"/>
      <c r="C326" s="159" t="s">
        <v>638</v>
      </c>
      <c r="D326" s="159" t="s">
        <v>239</v>
      </c>
      <c r="E326" s="159"/>
      <c r="F326" s="157"/>
      <c r="G326" s="30">
        <f>SUM(G334+G346)+G329+G342+G331+G354+G364</f>
        <v>50658.600000000006</v>
      </c>
      <c r="H326" s="20">
        <f>SUM(H334+H346)+H329+H342+H331</f>
        <v>24530.6</v>
      </c>
      <c r="I326" s="20">
        <f t="shared" si="6"/>
        <v>48.4233674045473</v>
      </c>
      <c r="J326" s="250"/>
    </row>
    <row r="327" spans="1:10" s="25" customFormat="1" ht="18" customHeight="1" hidden="1">
      <c r="A327" s="106" t="s">
        <v>477</v>
      </c>
      <c r="B327" s="155"/>
      <c r="C327" s="159" t="s">
        <v>638</v>
      </c>
      <c r="D327" s="159" t="s">
        <v>239</v>
      </c>
      <c r="E327" s="159" t="s">
        <v>478</v>
      </c>
      <c r="F327" s="156"/>
      <c r="G327" s="30"/>
      <c r="H327" s="20"/>
      <c r="I327" s="20" t="e">
        <f aca="true" t="shared" si="7" ref="I327:I403">SUM(H327/G327*100)</f>
        <v>#DIV/0!</v>
      </c>
      <c r="J327" s="250"/>
    </row>
    <row r="328" spans="1:10" s="25" customFormat="1" ht="18" customHeight="1" hidden="1">
      <c r="A328" s="106" t="s">
        <v>479</v>
      </c>
      <c r="B328" s="155"/>
      <c r="C328" s="159" t="s">
        <v>638</v>
      </c>
      <c r="D328" s="159" t="s">
        <v>239</v>
      </c>
      <c r="E328" s="159" t="s">
        <v>478</v>
      </c>
      <c r="F328" s="156" t="s">
        <v>480</v>
      </c>
      <c r="G328" s="30"/>
      <c r="H328" s="20"/>
      <c r="I328" s="20" t="e">
        <f t="shared" si="7"/>
        <v>#DIV/0!</v>
      </c>
      <c r="J328" s="250"/>
    </row>
    <row r="329" spans="1:10" s="25" customFormat="1" ht="19.5" customHeight="1" hidden="1">
      <c r="A329" s="106" t="s">
        <v>128</v>
      </c>
      <c r="B329" s="155"/>
      <c r="C329" s="159" t="s">
        <v>638</v>
      </c>
      <c r="D329" s="159" t="s">
        <v>239</v>
      </c>
      <c r="E329" s="159" t="s">
        <v>129</v>
      </c>
      <c r="F329" s="156"/>
      <c r="G329" s="30">
        <f>SUM(G330)</f>
        <v>0</v>
      </c>
      <c r="H329" s="20">
        <f>SUM(H330)</f>
        <v>0</v>
      </c>
      <c r="I329" s="20" t="e">
        <f t="shared" si="7"/>
        <v>#DIV/0!</v>
      </c>
      <c r="J329" s="250"/>
    </row>
    <row r="330" spans="1:10" s="25" customFormat="1" ht="18" customHeight="1" hidden="1">
      <c r="A330" s="106" t="s">
        <v>598</v>
      </c>
      <c r="B330" s="155"/>
      <c r="C330" s="159" t="s">
        <v>638</v>
      </c>
      <c r="D330" s="159" t="s">
        <v>239</v>
      </c>
      <c r="E330" s="159" t="s">
        <v>129</v>
      </c>
      <c r="F330" s="156" t="s">
        <v>599</v>
      </c>
      <c r="G330" s="30"/>
      <c r="H330" s="20"/>
      <c r="I330" s="20" t="e">
        <f t="shared" si="7"/>
        <v>#DIV/0!</v>
      </c>
      <c r="J330" s="250"/>
    </row>
    <row r="331" spans="1:10" s="25" customFormat="1" ht="18" customHeight="1" hidden="1">
      <c r="A331" s="106" t="s">
        <v>1014</v>
      </c>
      <c r="B331" s="155"/>
      <c r="C331" s="159" t="s">
        <v>638</v>
      </c>
      <c r="D331" s="159" t="s">
        <v>239</v>
      </c>
      <c r="E331" s="159" t="s">
        <v>1015</v>
      </c>
      <c r="F331" s="156"/>
      <c r="G331" s="30">
        <f>SUM(G332)</f>
        <v>0</v>
      </c>
      <c r="H331" s="20">
        <f>SUM(H332)</f>
        <v>9483.6</v>
      </c>
      <c r="I331" s="20" t="e">
        <f t="shared" si="7"/>
        <v>#DIV/0!</v>
      </c>
      <c r="J331" s="250"/>
    </row>
    <row r="332" spans="1:10" s="25" customFormat="1" ht="18" customHeight="1" hidden="1">
      <c r="A332" s="106" t="s">
        <v>1016</v>
      </c>
      <c r="B332" s="155"/>
      <c r="C332" s="159" t="s">
        <v>638</v>
      </c>
      <c r="D332" s="159" t="s">
        <v>239</v>
      </c>
      <c r="E332" s="159" t="s">
        <v>1017</v>
      </c>
      <c r="F332" s="156"/>
      <c r="G332" s="30">
        <f>SUM(G333)</f>
        <v>0</v>
      </c>
      <c r="H332" s="20">
        <f>SUM(H333)</f>
        <v>9483.6</v>
      </c>
      <c r="I332" s="20" t="e">
        <f t="shared" si="7"/>
        <v>#DIV/0!</v>
      </c>
      <c r="J332" s="250"/>
    </row>
    <row r="333" spans="1:10" s="25" customFormat="1" ht="18" customHeight="1" hidden="1">
      <c r="A333" s="106" t="s">
        <v>351</v>
      </c>
      <c r="B333" s="155"/>
      <c r="C333" s="159" t="s">
        <v>638</v>
      </c>
      <c r="D333" s="159" t="s">
        <v>239</v>
      </c>
      <c r="E333" s="159" t="s">
        <v>1017</v>
      </c>
      <c r="F333" s="156" t="s">
        <v>352</v>
      </c>
      <c r="G333" s="30"/>
      <c r="H333" s="20">
        <v>9483.6</v>
      </c>
      <c r="I333" s="20" t="e">
        <f t="shared" si="7"/>
        <v>#DIV/0!</v>
      </c>
      <c r="J333" s="250"/>
    </row>
    <row r="334" spans="1:10" s="25" customFormat="1" ht="20.25" customHeight="1">
      <c r="A334" s="131" t="s">
        <v>1018</v>
      </c>
      <c r="B334" s="159"/>
      <c r="C334" s="159" t="s">
        <v>638</v>
      </c>
      <c r="D334" s="159" t="s">
        <v>239</v>
      </c>
      <c r="E334" s="159" t="s">
        <v>478</v>
      </c>
      <c r="F334" s="157"/>
      <c r="G334" s="30">
        <f>SUM(G335+G337+G339)+G358</f>
        <v>30481.2</v>
      </c>
      <c r="H334" s="20">
        <f>SUM(H335+H337+H339)</f>
        <v>15047</v>
      </c>
      <c r="I334" s="20">
        <f t="shared" si="7"/>
        <v>49.36485440205766</v>
      </c>
      <c r="J334" s="250"/>
    </row>
    <row r="335" spans="1:10" s="25" customFormat="1" ht="42.75" customHeight="1" hidden="1">
      <c r="A335" s="109" t="s">
        <v>1019</v>
      </c>
      <c r="B335" s="159"/>
      <c r="C335" s="159" t="s">
        <v>638</v>
      </c>
      <c r="D335" s="159" t="s">
        <v>239</v>
      </c>
      <c r="E335" s="159" t="s">
        <v>1020</v>
      </c>
      <c r="F335" s="157"/>
      <c r="G335" s="30">
        <f>SUM(G336)</f>
        <v>0</v>
      </c>
      <c r="H335" s="20">
        <f>SUM(H336)</f>
        <v>0</v>
      </c>
      <c r="I335" s="20" t="e">
        <f t="shared" si="7"/>
        <v>#DIV/0!</v>
      </c>
      <c r="J335" s="250"/>
    </row>
    <row r="336" spans="1:10" s="25" customFormat="1" ht="17.25" customHeight="1" hidden="1">
      <c r="A336" s="106" t="s">
        <v>351</v>
      </c>
      <c r="B336" s="155"/>
      <c r="C336" s="155" t="s">
        <v>638</v>
      </c>
      <c r="D336" s="159" t="s">
        <v>239</v>
      </c>
      <c r="E336" s="159" t="s">
        <v>1020</v>
      </c>
      <c r="F336" s="156" t="s">
        <v>352</v>
      </c>
      <c r="G336" s="30"/>
      <c r="H336" s="20"/>
      <c r="I336" s="20" t="e">
        <f t="shared" si="7"/>
        <v>#DIV/0!</v>
      </c>
      <c r="J336" s="250"/>
    </row>
    <row r="337" spans="1:10" s="25" customFormat="1" ht="61.5" customHeight="1" hidden="1">
      <c r="A337" s="109" t="s">
        <v>449</v>
      </c>
      <c r="B337" s="155"/>
      <c r="C337" s="159" t="s">
        <v>638</v>
      </c>
      <c r="D337" s="159" t="s">
        <v>239</v>
      </c>
      <c r="E337" s="159" t="s">
        <v>450</v>
      </c>
      <c r="F337" s="156"/>
      <c r="G337" s="30">
        <f>SUM(G338)</f>
        <v>0</v>
      </c>
      <c r="H337" s="20">
        <f>SUM(H338)</f>
        <v>0</v>
      </c>
      <c r="I337" s="20" t="e">
        <f t="shared" si="7"/>
        <v>#DIV/0!</v>
      </c>
      <c r="J337" s="250"/>
    </row>
    <row r="338" spans="1:10" s="25" customFormat="1" ht="17.25" customHeight="1" hidden="1">
      <c r="A338" s="106" t="s">
        <v>351</v>
      </c>
      <c r="B338" s="155"/>
      <c r="C338" s="159" t="s">
        <v>638</v>
      </c>
      <c r="D338" s="159" t="s">
        <v>239</v>
      </c>
      <c r="E338" s="159" t="s">
        <v>450</v>
      </c>
      <c r="F338" s="156" t="s">
        <v>352</v>
      </c>
      <c r="G338" s="30"/>
      <c r="H338" s="20"/>
      <c r="I338" s="20" t="e">
        <f t="shared" si="7"/>
        <v>#DIV/0!</v>
      </c>
      <c r="J338" s="250"/>
    </row>
    <row r="339" spans="1:10" s="25" customFormat="1" ht="21" customHeight="1">
      <c r="A339" s="133" t="s">
        <v>451</v>
      </c>
      <c r="B339" s="159"/>
      <c r="C339" s="159" t="s">
        <v>638</v>
      </c>
      <c r="D339" s="159" t="s">
        <v>239</v>
      </c>
      <c r="E339" s="159" t="s">
        <v>452</v>
      </c>
      <c r="F339" s="157"/>
      <c r="G339" s="30">
        <f>SUM(G340)+G341+G357</f>
        <v>29981.2</v>
      </c>
      <c r="H339" s="20">
        <f>SUM(H340)+H341</f>
        <v>15047</v>
      </c>
      <c r="I339" s="20">
        <f t="shared" si="7"/>
        <v>50.188117887209316</v>
      </c>
      <c r="J339" s="250"/>
    </row>
    <row r="340" spans="1:10" s="25" customFormat="1" ht="2.25" customHeight="1" hidden="1">
      <c r="A340" s="106" t="s">
        <v>351</v>
      </c>
      <c r="B340" s="159"/>
      <c r="C340" s="159" t="s">
        <v>638</v>
      </c>
      <c r="D340" s="159" t="s">
        <v>239</v>
      </c>
      <c r="E340" s="159" t="s">
        <v>452</v>
      </c>
      <c r="F340" s="156" t="s">
        <v>352</v>
      </c>
      <c r="G340" s="225"/>
      <c r="H340" s="27">
        <f>878+4272.1+2990.6</f>
        <v>8140.700000000001</v>
      </c>
      <c r="I340" s="20" t="e">
        <f t="shared" si="7"/>
        <v>#DIV/0!</v>
      </c>
      <c r="J340" s="246"/>
    </row>
    <row r="341" spans="1:10" s="25" customFormat="1" ht="17.25" customHeight="1">
      <c r="A341" s="106" t="s">
        <v>598</v>
      </c>
      <c r="B341" s="159"/>
      <c r="C341" s="159" t="s">
        <v>638</v>
      </c>
      <c r="D341" s="159" t="s">
        <v>239</v>
      </c>
      <c r="E341" s="159" t="s">
        <v>452</v>
      </c>
      <c r="F341" s="156" t="s">
        <v>599</v>
      </c>
      <c r="G341" s="225">
        <v>29981.2</v>
      </c>
      <c r="H341" s="27">
        <v>6906.3</v>
      </c>
      <c r="I341" s="20">
        <f t="shared" si="7"/>
        <v>23.03543553960482</v>
      </c>
      <c r="J341" s="246">
        <f>SUM('ведомствен.2013'!G467)</f>
        <v>29981.199999999997</v>
      </c>
    </row>
    <row r="342" spans="1:10" s="25" customFormat="1" ht="15" customHeight="1" hidden="1">
      <c r="A342" s="133" t="s">
        <v>340</v>
      </c>
      <c r="B342" s="165"/>
      <c r="C342" s="159" t="s">
        <v>638</v>
      </c>
      <c r="D342" s="159" t="s">
        <v>239</v>
      </c>
      <c r="E342" s="165" t="s">
        <v>341</v>
      </c>
      <c r="F342" s="157"/>
      <c r="G342" s="225">
        <f aca="true" t="shared" si="8" ref="G342:H344">SUM(G343)</f>
        <v>0</v>
      </c>
      <c r="H342" s="27">
        <f t="shared" si="8"/>
        <v>0</v>
      </c>
      <c r="I342" s="20" t="e">
        <f t="shared" si="7"/>
        <v>#DIV/0!</v>
      </c>
      <c r="J342" s="250"/>
    </row>
    <row r="343" spans="1:10" s="25" customFormat="1" ht="42.75" customHeight="1" hidden="1">
      <c r="A343" s="106" t="s">
        <v>225</v>
      </c>
      <c r="B343" s="165"/>
      <c r="C343" s="159" t="s">
        <v>638</v>
      </c>
      <c r="D343" s="159" t="s">
        <v>239</v>
      </c>
      <c r="E343" s="165" t="s">
        <v>226</v>
      </c>
      <c r="F343" s="157"/>
      <c r="G343" s="225">
        <f t="shared" si="8"/>
        <v>0</v>
      </c>
      <c r="H343" s="27">
        <f t="shared" si="8"/>
        <v>0</v>
      </c>
      <c r="I343" s="20" t="e">
        <f t="shared" si="7"/>
        <v>#DIV/0!</v>
      </c>
      <c r="J343" s="250"/>
    </row>
    <row r="344" spans="1:10" s="25" customFormat="1" ht="28.5" customHeight="1" hidden="1">
      <c r="A344" s="133" t="s">
        <v>453</v>
      </c>
      <c r="B344" s="155"/>
      <c r="C344" s="159" t="s">
        <v>638</v>
      </c>
      <c r="D344" s="159" t="s">
        <v>239</v>
      </c>
      <c r="E344" s="165" t="s">
        <v>454</v>
      </c>
      <c r="F344" s="157"/>
      <c r="G344" s="225">
        <f t="shared" si="8"/>
        <v>0</v>
      </c>
      <c r="H344" s="27">
        <f t="shared" si="8"/>
        <v>0</v>
      </c>
      <c r="I344" s="20" t="e">
        <f t="shared" si="7"/>
        <v>#DIV/0!</v>
      </c>
      <c r="J344" s="250"/>
    </row>
    <row r="345" spans="1:10" s="25" customFormat="1" ht="15" customHeight="1" hidden="1">
      <c r="A345" s="106" t="s">
        <v>598</v>
      </c>
      <c r="B345" s="159"/>
      <c r="C345" s="159" t="s">
        <v>638</v>
      </c>
      <c r="D345" s="159" t="s">
        <v>239</v>
      </c>
      <c r="E345" s="165" t="s">
        <v>454</v>
      </c>
      <c r="F345" s="156" t="s">
        <v>599</v>
      </c>
      <c r="G345" s="225"/>
      <c r="H345" s="27"/>
      <c r="I345" s="20" t="e">
        <f t="shared" si="7"/>
        <v>#DIV/0!</v>
      </c>
      <c r="J345" s="250"/>
    </row>
    <row r="346" spans="1:10" s="25" customFormat="1" ht="15" customHeight="1" hidden="1">
      <c r="A346" s="109" t="s">
        <v>634</v>
      </c>
      <c r="B346" s="165"/>
      <c r="C346" s="165" t="s">
        <v>638</v>
      </c>
      <c r="D346" s="165" t="s">
        <v>239</v>
      </c>
      <c r="E346" s="165" t="s">
        <v>635</v>
      </c>
      <c r="F346" s="166"/>
      <c r="G346" s="225">
        <f>SUM(G347)</f>
        <v>0</v>
      </c>
      <c r="H346" s="27">
        <f>SUM(H347)</f>
        <v>0</v>
      </c>
      <c r="I346" s="20" t="e">
        <f t="shared" si="7"/>
        <v>#DIV/0!</v>
      </c>
      <c r="J346" s="250"/>
    </row>
    <row r="347" spans="1:10" s="25" customFormat="1" ht="15" customHeight="1" hidden="1">
      <c r="A347" s="106" t="s">
        <v>598</v>
      </c>
      <c r="B347" s="165"/>
      <c r="C347" s="165" t="s">
        <v>638</v>
      </c>
      <c r="D347" s="165" t="s">
        <v>239</v>
      </c>
      <c r="E347" s="165" t="s">
        <v>635</v>
      </c>
      <c r="F347" s="156" t="s">
        <v>599</v>
      </c>
      <c r="G347" s="225">
        <f>SUM(G348:G351)</f>
        <v>0</v>
      </c>
      <c r="H347" s="27">
        <f>SUM(H348:H351)</f>
        <v>0</v>
      </c>
      <c r="I347" s="20" t="e">
        <f t="shared" si="7"/>
        <v>#DIV/0!</v>
      </c>
      <c r="J347" s="250"/>
    </row>
    <row r="348" spans="1:10" s="25" customFormat="1" ht="28.5" customHeight="1" hidden="1">
      <c r="A348" s="106" t="s">
        <v>455</v>
      </c>
      <c r="B348" s="165"/>
      <c r="C348" s="165" t="s">
        <v>638</v>
      </c>
      <c r="D348" s="165" t="s">
        <v>239</v>
      </c>
      <c r="E348" s="165" t="s">
        <v>456</v>
      </c>
      <c r="F348" s="156" t="s">
        <v>599</v>
      </c>
      <c r="G348" s="225"/>
      <c r="H348" s="27"/>
      <c r="I348" s="20" t="e">
        <f t="shared" si="7"/>
        <v>#DIV/0!</v>
      </c>
      <c r="J348" s="250"/>
    </row>
    <row r="349" spans="1:10" s="25" customFormat="1" ht="28.5" customHeight="1" hidden="1">
      <c r="A349" s="109" t="s">
        <v>457</v>
      </c>
      <c r="B349" s="165"/>
      <c r="C349" s="165" t="s">
        <v>638</v>
      </c>
      <c r="D349" s="165" t="s">
        <v>239</v>
      </c>
      <c r="E349" s="165" t="s">
        <v>458</v>
      </c>
      <c r="F349" s="156" t="s">
        <v>599</v>
      </c>
      <c r="G349" s="225"/>
      <c r="H349" s="27"/>
      <c r="I349" s="20" t="e">
        <f t="shared" si="7"/>
        <v>#DIV/0!</v>
      </c>
      <c r="J349" s="250"/>
    </row>
    <row r="350" spans="1:10" s="25" customFormat="1" ht="28.5" customHeight="1" hidden="1">
      <c r="A350" s="109" t="s">
        <v>459</v>
      </c>
      <c r="B350" s="165"/>
      <c r="C350" s="165" t="s">
        <v>638</v>
      </c>
      <c r="D350" s="165" t="s">
        <v>239</v>
      </c>
      <c r="E350" s="165" t="s">
        <v>460</v>
      </c>
      <c r="F350" s="156" t="s">
        <v>599</v>
      </c>
      <c r="G350" s="225"/>
      <c r="H350" s="27"/>
      <c r="I350" s="20" t="e">
        <f t="shared" si="7"/>
        <v>#DIV/0!</v>
      </c>
      <c r="J350" s="250"/>
    </row>
    <row r="351" spans="1:10" s="25" customFormat="1" ht="28.5" customHeight="1" hidden="1">
      <c r="A351" s="127" t="s">
        <v>461</v>
      </c>
      <c r="B351" s="165"/>
      <c r="C351" s="165" t="s">
        <v>638</v>
      </c>
      <c r="D351" s="165" t="s">
        <v>239</v>
      </c>
      <c r="E351" s="165" t="s">
        <v>462</v>
      </c>
      <c r="F351" s="156"/>
      <c r="G351" s="225">
        <f>SUM(G352)</f>
        <v>0</v>
      </c>
      <c r="H351" s="27">
        <f>SUM(H352)</f>
        <v>0</v>
      </c>
      <c r="I351" s="20" t="e">
        <f t="shared" si="7"/>
        <v>#DIV/0!</v>
      </c>
      <c r="J351" s="250"/>
    </row>
    <row r="352" spans="1:10" s="25" customFormat="1" ht="28.5" customHeight="1" hidden="1">
      <c r="A352" s="109" t="s">
        <v>453</v>
      </c>
      <c r="B352" s="165"/>
      <c r="C352" s="165" t="s">
        <v>638</v>
      </c>
      <c r="D352" s="165" t="s">
        <v>239</v>
      </c>
      <c r="E352" s="165" t="s">
        <v>463</v>
      </c>
      <c r="F352" s="156"/>
      <c r="G352" s="225">
        <f>SUM(G353)</f>
        <v>0</v>
      </c>
      <c r="H352" s="27">
        <f>SUM(H353)</f>
        <v>0</v>
      </c>
      <c r="I352" s="20" t="e">
        <f t="shared" si="7"/>
        <v>#DIV/0!</v>
      </c>
      <c r="J352" s="250"/>
    </row>
    <row r="353" spans="1:10" s="25" customFormat="1" ht="15" customHeight="1" hidden="1">
      <c r="A353" s="106" t="s">
        <v>598</v>
      </c>
      <c r="B353" s="165"/>
      <c r="C353" s="165" t="s">
        <v>638</v>
      </c>
      <c r="D353" s="165" t="s">
        <v>239</v>
      </c>
      <c r="E353" s="165" t="s">
        <v>463</v>
      </c>
      <c r="F353" s="156" t="s">
        <v>599</v>
      </c>
      <c r="G353" s="225"/>
      <c r="H353" s="27"/>
      <c r="I353" s="20" t="e">
        <f t="shared" si="7"/>
        <v>#DIV/0!</v>
      </c>
      <c r="J353" s="250"/>
    </row>
    <row r="354" spans="1:9" ht="15" hidden="1">
      <c r="A354" s="108" t="s">
        <v>634</v>
      </c>
      <c r="B354" s="159"/>
      <c r="C354" s="159" t="s">
        <v>638</v>
      </c>
      <c r="D354" s="159" t="s">
        <v>239</v>
      </c>
      <c r="E354" s="159" t="s">
        <v>635</v>
      </c>
      <c r="F354" s="156"/>
      <c r="G354" s="225">
        <f>SUM(G355)</f>
        <v>0</v>
      </c>
      <c r="H354" s="20"/>
      <c r="I354" s="20"/>
    </row>
    <row r="355" spans="1:9" ht="15" hidden="1">
      <c r="A355" s="105"/>
      <c r="B355" s="159"/>
      <c r="C355" s="159" t="s">
        <v>638</v>
      </c>
      <c r="D355" s="159" t="s">
        <v>239</v>
      </c>
      <c r="E355" s="159" t="s">
        <v>635</v>
      </c>
      <c r="F355" s="157"/>
      <c r="G355" s="225">
        <f>SUM(G356)</f>
        <v>0</v>
      </c>
      <c r="H355" s="20"/>
      <c r="I355" s="20"/>
    </row>
    <row r="356" spans="1:9" ht="15" hidden="1">
      <c r="A356" s="105" t="s">
        <v>598</v>
      </c>
      <c r="B356" s="159"/>
      <c r="C356" s="159" t="s">
        <v>638</v>
      </c>
      <c r="D356" s="159" t="s">
        <v>239</v>
      </c>
      <c r="E356" s="159" t="s">
        <v>635</v>
      </c>
      <c r="F356" s="157" t="s">
        <v>599</v>
      </c>
      <c r="G356" s="225">
        <f>6000-6000</f>
        <v>0</v>
      </c>
      <c r="H356" s="20"/>
      <c r="I356" s="20"/>
    </row>
    <row r="357" spans="1:10" ht="15" hidden="1">
      <c r="A357" s="106" t="s">
        <v>351</v>
      </c>
      <c r="B357" s="159"/>
      <c r="C357" s="159" t="s">
        <v>638</v>
      </c>
      <c r="D357" s="159" t="s">
        <v>239</v>
      </c>
      <c r="E357" s="159" t="s">
        <v>452</v>
      </c>
      <c r="F357" s="157" t="s">
        <v>352</v>
      </c>
      <c r="G357" s="225"/>
      <c r="H357" s="20"/>
      <c r="I357" s="20"/>
      <c r="J357" s="246">
        <f>SUM('ведомствен.2013'!G155)</f>
        <v>0</v>
      </c>
    </row>
    <row r="358" spans="1:9" ht="36.75" customHeight="1">
      <c r="A358" s="106" t="s">
        <v>361</v>
      </c>
      <c r="B358" s="159"/>
      <c r="C358" s="159" t="s">
        <v>638</v>
      </c>
      <c r="D358" s="159" t="s">
        <v>239</v>
      </c>
      <c r="E358" s="159" t="s">
        <v>672</v>
      </c>
      <c r="F358" s="156"/>
      <c r="G358" s="225">
        <f>SUM(G359+G361)</f>
        <v>500</v>
      </c>
      <c r="H358" s="20"/>
      <c r="I358" s="20"/>
    </row>
    <row r="359" spans="1:9" ht="28.5">
      <c r="A359" s="106" t="s">
        <v>809</v>
      </c>
      <c r="B359" s="159"/>
      <c r="C359" s="159" t="s">
        <v>638</v>
      </c>
      <c r="D359" s="159" t="s">
        <v>239</v>
      </c>
      <c r="E359" s="159" t="s">
        <v>673</v>
      </c>
      <c r="F359" s="156"/>
      <c r="G359" s="225">
        <f>SUM(G360)</f>
        <v>500</v>
      </c>
      <c r="H359" s="20"/>
      <c r="I359" s="20"/>
    </row>
    <row r="360" spans="1:10" ht="42.75">
      <c r="A360" s="106" t="s">
        <v>691</v>
      </c>
      <c r="B360" s="159"/>
      <c r="C360" s="159" t="s">
        <v>638</v>
      </c>
      <c r="D360" s="159" t="s">
        <v>239</v>
      </c>
      <c r="E360" s="159" t="s">
        <v>673</v>
      </c>
      <c r="F360" s="156" t="s">
        <v>485</v>
      </c>
      <c r="G360" s="225">
        <v>500</v>
      </c>
      <c r="H360" s="20"/>
      <c r="I360" s="20"/>
      <c r="J360" s="246">
        <f>SUM('ведомствен.2013'!G470)</f>
        <v>500</v>
      </c>
    </row>
    <row r="361" spans="1:10" s="25" customFormat="1" ht="45" customHeight="1" hidden="1">
      <c r="A361" s="106" t="s">
        <v>698</v>
      </c>
      <c r="B361" s="159"/>
      <c r="C361" s="159" t="s">
        <v>638</v>
      </c>
      <c r="D361" s="159" t="s">
        <v>239</v>
      </c>
      <c r="E361" s="159" t="s">
        <v>704</v>
      </c>
      <c r="F361" s="157"/>
      <c r="G361" s="30">
        <f>SUM(G362)</f>
        <v>0</v>
      </c>
      <c r="H361" s="20"/>
      <c r="I361" s="20"/>
      <c r="J361" s="250">
        <f>SUM('ведомствен.2013'!G507)</f>
        <v>0</v>
      </c>
    </row>
    <row r="362" spans="1:10" s="25" customFormat="1" ht="33" customHeight="1" hidden="1">
      <c r="A362" s="105" t="s">
        <v>699</v>
      </c>
      <c r="B362" s="159"/>
      <c r="C362" s="159" t="s">
        <v>638</v>
      </c>
      <c r="D362" s="159" t="s">
        <v>239</v>
      </c>
      <c r="E362" s="159" t="s">
        <v>700</v>
      </c>
      <c r="F362" s="157"/>
      <c r="G362" s="30">
        <f>SUM(G363)</f>
        <v>0</v>
      </c>
      <c r="H362" s="20"/>
      <c r="I362" s="20"/>
      <c r="J362" s="250"/>
    </row>
    <row r="363" spans="1:10" s="25" customFormat="1" ht="28.5" hidden="1">
      <c r="A363" s="105" t="s">
        <v>711</v>
      </c>
      <c r="B363" s="159"/>
      <c r="C363" s="159" t="s">
        <v>638</v>
      </c>
      <c r="D363" s="159" t="s">
        <v>239</v>
      </c>
      <c r="E363" s="159" t="s">
        <v>700</v>
      </c>
      <c r="F363" s="157" t="s">
        <v>566</v>
      </c>
      <c r="G363" s="30"/>
      <c r="H363" s="20"/>
      <c r="I363" s="20"/>
      <c r="J363" s="250"/>
    </row>
    <row r="364" spans="1:10" s="25" customFormat="1" ht="15">
      <c r="A364" s="109" t="s">
        <v>634</v>
      </c>
      <c r="B364" s="165"/>
      <c r="C364" s="165" t="s">
        <v>638</v>
      </c>
      <c r="D364" s="165" t="s">
        <v>239</v>
      </c>
      <c r="E364" s="165" t="s">
        <v>635</v>
      </c>
      <c r="F364" s="166"/>
      <c r="G364" s="225">
        <f>SUM(G365)+G368</f>
        <v>20177.4</v>
      </c>
      <c r="H364" s="20"/>
      <c r="I364" s="20"/>
      <c r="J364" s="250"/>
    </row>
    <row r="365" spans="1:10" s="25" customFormat="1" ht="42.75">
      <c r="A365" s="106" t="s">
        <v>321</v>
      </c>
      <c r="B365" s="165"/>
      <c r="C365" s="165" t="s">
        <v>638</v>
      </c>
      <c r="D365" s="165" t="s">
        <v>239</v>
      </c>
      <c r="E365" s="165" t="s">
        <v>243</v>
      </c>
      <c r="F365" s="156"/>
      <c r="G365" s="225">
        <f>SUM(G366+G367)</f>
        <v>1182</v>
      </c>
      <c r="H365" s="20"/>
      <c r="I365" s="20"/>
      <c r="J365" s="250"/>
    </row>
    <row r="366" spans="1:10" s="25" customFormat="1" ht="15" hidden="1">
      <c r="A366" s="106" t="s">
        <v>351</v>
      </c>
      <c r="B366" s="165"/>
      <c r="C366" s="165" t="s">
        <v>638</v>
      </c>
      <c r="D366" s="165" t="s">
        <v>239</v>
      </c>
      <c r="E366" s="165" t="s">
        <v>243</v>
      </c>
      <c r="F366" s="156" t="s">
        <v>352</v>
      </c>
      <c r="G366" s="225"/>
      <c r="H366" s="20"/>
      <c r="I366" s="20"/>
      <c r="J366" s="250">
        <f>SUM('ведомствен.2013'!G170)</f>
        <v>0</v>
      </c>
    </row>
    <row r="367" spans="1:10" s="25" customFormat="1" ht="15">
      <c r="A367" s="106" t="s">
        <v>598</v>
      </c>
      <c r="B367" s="165"/>
      <c r="C367" s="165" t="s">
        <v>638</v>
      </c>
      <c r="D367" s="165" t="s">
        <v>239</v>
      </c>
      <c r="E367" s="165" t="s">
        <v>243</v>
      </c>
      <c r="F367" s="156" t="s">
        <v>599</v>
      </c>
      <c r="G367" s="225">
        <v>1182</v>
      </c>
      <c r="H367" s="20"/>
      <c r="I367" s="20"/>
      <c r="J367" s="250">
        <f>SUM('ведомствен.2013'!G473)</f>
        <v>1182</v>
      </c>
    </row>
    <row r="368" spans="1:10" s="25" customFormat="1" ht="42.75">
      <c r="A368" s="106" t="s">
        <v>298</v>
      </c>
      <c r="B368" s="165"/>
      <c r="C368" s="165" t="s">
        <v>638</v>
      </c>
      <c r="D368" s="165" t="s">
        <v>239</v>
      </c>
      <c r="E368" s="165" t="s">
        <v>320</v>
      </c>
      <c r="F368" s="156"/>
      <c r="G368" s="225">
        <f>SUM(G369+G370)</f>
        <v>18995.4</v>
      </c>
      <c r="H368" s="20"/>
      <c r="I368" s="20"/>
      <c r="J368" s="250"/>
    </row>
    <row r="369" spans="1:10" s="25" customFormat="1" ht="15">
      <c r="A369" s="106" t="s">
        <v>351</v>
      </c>
      <c r="B369" s="165"/>
      <c r="C369" s="165" t="s">
        <v>638</v>
      </c>
      <c r="D369" s="165" t="s">
        <v>239</v>
      </c>
      <c r="E369" s="165" t="s">
        <v>320</v>
      </c>
      <c r="F369" s="156" t="s">
        <v>352</v>
      </c>
      <c r="G369" s="225">
        <v>7979.5</v>
      </c>
      <c r="H369" s="20"/>
      <c r="I369" s="20"/>
      <c r="J369" s="250">
        <f>SUM('ведомствен.2013'!G475)</f>
        <v>7979.5</v>
      </c>
    </row>
    <row r="370" spans="1:10" s="25" customFormat="1" ht="14.25" customHeight="1">
      <c r="A370" s="106" t="s">
        <v>598</v>
      </c>
      <c r="B370" s="165"/>
      <c r="C370" s="165" t="s">
        <v>638</v>
      </c>
      <c r="D370" s="165" t="s">
        <v>239</v>
      </c>
      <c r="E370" s="165" t="s">
        <v>320</v>
      </c>
      <c r="F370" s="156" t="s">
        <v>599</v>
      </c>
      <c r="G370" s="225">
        <v>11015.9</v>
      </c>
      <c r="H370" s="20"/>
      <c r="I370" s="20"/>
      <c r="J370" s="250">
        <f>SUM('ведомствен.2013'!G476)</f>
        <v>11015.9</v>
      </c>
    </row>
    <row r="371" spans="1:10" s="25" customFormat="1" ht="15" hidden="1">
      <c r="A371" s="105"/>
      <c r="B371" s="159"/>
      <c r="C371" s="159"/>
      <c r="D371" s="159"/>
      <c r="E371" s="159"/>
      <c r="F371" s="157"/>
      <c r="G371" s="30"/>
      <c r="H371" s="20"/>
      <c r="I371" s="20"/>
      <c r="J371" s="250"/>
    </row>
    <row r="372" spans="1:9" ht="15" customHeight="1" hidden="1">
      <c r="A372" s="106" t="s">
        <v>598</v>
      </c>
      <c r="B372" s="155"/>
      <c r="C372" s="159" t="s">
        <v>638</v>
      </c>
      <c r="D372" s="159" t="s">
        <v>601</v>
      </c>
      <c r="E372" s="155" t="s">
        <v>814</v>
      </c>
      <c r="F372" s="158" t="s">
        <v>599</v>
      </c>
      <c r="G372" s="30"/>
      <c r="H372" s="20">
        <v>5048</v>
      </c>
      <c r="I372" s="20" t="e">
        <f>SUM(H372/G372*100)</f>
        <v>#DIV/0!</v>
      </c>
    </row>
    <row r="373" spans="1:9" ht="15" customHeight="1">
      <c r="A373" s="105" t="s">
        <v>464</v>
      </c>
      <c r="B373" s="155"/>
      <c r="C373" s="159" t="s">
        <v>638</v>
      </c>
      <c r="D373" s="159" t="s">
        <v>601</v>
      </c>
      <c r="E373" s="155"/>
      <c r="F373" s="158"/>
      <c r="G373" s="30">
        <f>SUM(G374,G398)</f>
        <v>74383.9</v>
      </c>
      <c r="H373" s="20"/>
      <c r="I373" s="20"/>
    </row>
    <row r="374" spans="1:10" s="25" customFormat="1" ht="15">
      <c r="A374" s="105" t="s">
        <v>464</v>
      </c>
      <c r="B374" s="165"/>
      <c r="C374" s="159" t="s">
        <v>638</v>
      </c>
      <c r="D374" s="159" t="s">
        <v>601</v>
      </c>
      <c r="E374" s="165" t="s">
        <v>541</v>
      </c>
      <c r="F374" s="166"/>
      <c r="G374" s="30">
        <f>SUM(G375+G380+G385+G388)+G383</f>
        <v>73431.7</v>
      </c>
      <c r="H374" s="20">
        <f>SUM(H375+H380+H385+H388)+H383</f>
        <v>71087.2</v>
      </c>
      <c r="I374" s="20">
        <f t="shared" si="7"/>
        <v>96.80723720137216</v>
      </c>
      <c r="J374" s="250"/>
    </row>
    <row r="375" spans="1:10" s="25" customFormat="1" ht="15">
      <c r="A375" s="109" t="s">
        <v>542</v>
      </c>
      <c r="B375" s="165"/>
      <c r="C375" s="159" t="s">
        <v>638</v>
      </c>
      <c r="D375" s="159" t="s">
        <v>601</v>
      </c>
      <c r="E375" s="165" t="s">
        <v>543</v>
      </c>
      <c r="F375" s="166"/>
      <c r="G375" s="30">
        <f>SUM(G376:G378)</f>
        <v>47720.1</v>
      </c>
      <c r="H375" s="20">
        <f>SUM(H377:H378)</f>
        <v>20816.7</v>
      </c>
      <c r="I375" s="20">
        <f t="shared" si="7"/>
        <v>43.62249869551824</v>
      </c>
      <c r="J375" s="250"/>
    </row>
    <row r="376" spans="1:10" s="36" customFormat="1" ht="11.25" customHeight="1" hidden="1">
      <c r="A376" s="106" t="s">
        <v>351</v>
      </c>
      <c r="B376" s="165"/>
      <c r="C376" s="159" t="s">
        <v>638</v>
      </c>
      <c r="D376" s="159" t="s">
        <v>601</v>
      </c>
      <c r="E376" s="165" t="s">
        <v>543</v>
      </c>
      <c r="F376" s="166" t="s">
        <v>352</v>
      </c>
      <c r="G376" s="30"/>
      <c r="H376" s="20"/>
      <c r="I376" s="20"/>
      <c r="J376" s="246"/>
    </row>
    <row r="377" spans="1:10" s="25" customFormat="1" ht="13.5" customHeight="1">
      <c r="A377" s="106" t="s">
        <v>598</v>
      </c>
      <c r="B377" s="165"/>
      <c r="C377" s="159" t="s">
        <v>638</v>
      </c>
      <c r="D377" s="159" t="s">
        <v>601</v>
      </c>
      <c r="E377" s="165" t="s">
        <v>543</v>
      </c>
      <c r="F377" s="166" t="s">
        <v>599</v>
      </c>
      <c r="G377" s="30">
        <v>47720.1</v>
      </c>
      <c r="H377" s="20">
        <v>20816.7</v>
      </c>
      <c r="I377" s="20">
        <f t="shared" si="7"/>
        <v>43.62249869551824</v>
      </c>
      <c r="J377" s="246">
        <f>SUM('ведомствен.2013'!G483)</f>
        <v>47720.1</v>
      </c>
    </row>
    <row r="378" spans="1:10" s="25" customFormat="1" ht="10.5" customHeight="1" hidden="1">
      <c r="A378" s="106" t="s">
        <v>410</v>
      </c>
      <c r="B378" s="165"/>
      <c r="C378" s="159" t="s">
        <v>638</v>
      </c>
      <c r="D378" s="159" t="s">
        <v>601</v>
      </c>
      <c r="E378" s="165" t="s">
        <v>544</v>
      </c>
      <c r="F378" s="166"/>
      <c r="G378" s="30">
        <f>SUM(G379)</f>
        <v>0</v>
      </c>
      <c r="H378" s="20">
        <f>SUM(H379)</f>
        <v>0</v>
      </c>
      <c r="I378" s="20" t="e">
        <f t="shared" si="7"/>
        <v>#DIV/0!</v>
      </c>
      <c r="J378" s="250"/>
    </row>
    <row r="379" spans="1:10" s="25" customFormat="1" ht="15" customHeight="1" hidden="1">
      <c r="A379" s="106" t="s">
        <v>598</v>
      </c>
      <c r="B379" s="165"/>
      <c r="C379" s="159" t="s">
        <v>638</v>
      </c>
      <c r="D379" s="159" t="s">
        <v>601</v>
      </c>
      <c r="E379" s="165" t="s">
        <v>544</v>
      </c>
      <c r="F379" s="166" t="s">
        <v>599</v>
      </c>
      <c r="G379" s="30"/>
      <c r="H379" s="20"/>
      <c r="I379" s="20" t="e">
        <f t="shared" si="7"/>
        <v>#DIV/0!</v>
      </c>
      <c r="J379" s="250"/>
    </row>
    <row r="380" spans="1:10" s="25" customFormat="1" ht="42.75" hidden="1">
      <c r="A380" s="109" t="s">
        <v>438</v>
      </c>
      <c r="B380" s="165"/>
      <c r="C380" s="159" t="s">
        <v>638</v>
      </c>
      <c r="D380" s="159" t="s">
        <v>601</v>
      </c>
      <c r="E380" s="165" t="s">
        <v>439</v>
      </c>
      <c r="F380" s="166"/>
      <c r="G380" s="30">
        <f>SUM(G382+G381)</f>
        <v>0</v>
      </c>
      <c r="H380" s="20">
        <f>SUM(H382)</f>
        <v>43097.5</v>
      </c>
      <c r="I380" s="20" t="e">
        <f t="shared" si="7"/>
        <v>#DIV/0!</v>
      </c>
      <c r="J380" s="250"/>
    </row>
    <row r="381" spans="1:10" s="25" customFormat="1" ht="15" hidden="1">
      <c r="A381" s="106" t="s">
        <v>641</v>
      </c>
      <c r="B381" s="165"/>
      <c r="C381" s="159" t="s">
        <v>638</v>
      </c>
      <c r="D381" s="159" t="s">
        <v>601</v>
      </c>
      <c r="E381" s="165" t="s">
        <v>439</v>
      </c>
      <c r="F381" s="166" t="s">
        <v>642</v>
      </c>
      <c r="G381" s="30"/>
      <c r="H381" s="20"/>
      <c r="I381" s="20"/>
      <c r="J381" s="246">
        <f>SUM('ведомствен.2013'!G185)</f>
        <v>0</v>
      </c>
    </row>
    <row r="382" spans="1:10" s="25" customFormat="1" ht="14.25" customHeight="1" hidden="1">
      <c r="A382" s="106" t="s">
        <v>598</v>
      </c>
      <c r="B382" s="165"/>
      <c r="C382" s="159" t="s">
        <v>638</v>
      </c>
      <c r="D382" s="159" t="s">
        <v>601</v>
      </c>
      <c r="E382" s="165" t="s">
        <v>439</v>
      </c>
      <c r="F382" s="166" t="s">
        <v>599</v>
      </c>
      <c r="G382" s="30"/>
      <c r="H382" s="20">
        <v>43097.5</v>
      </c>
      <c r="I382" s="20" t="e">
        <f t="shared" si="7"/>
        <v>#DIV/0!</v>
      </c>
      <c r="J382" s="246">
        <f>SUM('ведомствен.2013'!G186)</f>
        <v>0</v>
      </c>
    </row>
    <row r="383" spans="1:10" s="25" customFormat="1" ht="12.75" customHeight="1" hidden="1">
      <c r="A383" s="106" t="s">
        <v>440</v>
      </c>
      <c r="B383" s="165"/>
      <c r="C383" s="159" t="s">
        <v>638</v>
      </c>
      <c r="D383" s="159" t="s">
        <v>601</v>
      </c>
      <c r="E383" s="165" t="s">
        <v>441</v>
      </c>
      <c r="F383" s="166"/>
      <c r="G383" s="30">
        <f>SUM(G384)</f>
        <v>0</v>
      </c>
      <c r="H383" s="20">
        <f>SUM(H384)</f>
        <v>482.9</v>
      </c>
      <c r="I383" s="20" t="e">
        <f t="shared" si="7"/>
        <v>#DIV/0!</v>
      </c>
      <c r="J383" s="250"/>
    </row>
    <row r="384" spans="1:10" s="25" customFormat="1" ht="15.75" customHeight="1" hidden="1">
      <c r="A384" s="106" t="s">
        <v>598</v>
      </c>
      <c r="B384" s="165"/>
      <c r="C384" s="159" t="s">
        <v>638</v>
      </c>
      <c r="D384" s="159" t="s">
        <v>601</v>
      </c>
      <c r="E384" s="165" t="s">
        <v>441</v>
      </c>
      <c r="F384" s="166" t="s">
        <v>599</v>
      </c>
      <c r="G384" s="30"/>
      <c r="H384" s="20">
        <v>482.9</v>
      </c>
      <c r="I384" s="20" t="e">
        <f t="shared" si="7"/>
        <v>#DIV/0!</v>
      </c>
      <c r="J384" s="250"/>
    </row>
    <row r="385" spans="1:10" s="25" customFormat="1" ht="15">
      <c r="A385" s="109" t="s">
        <v>442</v>
      </c>
      <c r="B385" s="165"/>
      <c r="C385" s="159" t="s">
        <v>638</v>
      </c>
      <c r="D385" s="159" t="s">
        <v>601</v>
      </c>
      <c r="E385" s="165" t="s">
        <v>443</v>
      </c>
      <c r="F385" s="166"/>
      <c r="G385" s="30">
        <f>SUM(G387+G386)</f>
        <v>2000</v>
      </c>
      <c r="H385" s="20">
        <f>SUM(H387)</f>
        <v>489.8</v>
      </c>
      <c r="I385" s="20">
        <f t="shared" si="7"/>
        <v>24.490000000000002</v>
      </c>
      <c r="J385" s="250"/>
    </row>
    <row r="386" spans="1:10" ht="16.5" customHeight="1">
      <c r="A386" s="106" t="s">
        <v>598</v>
      </c>
      <c r="B386" s="165"/>
      <c r="C386" s="159" t="s">
        <v>638</v>
      </c>
      <c r="D386" s="159" t="s">
        <v>601</v>
      </c>
      <c r="E386" s="165" t="s">
        <v>443</v>
      </c>
      <c r="F386" s="166" t="s">
        <v>599</v>
      </c>
      <c r="G386" s="30">
        <v>2000</v>
      </c>
      <c r="H386" s="20"/>
      <c r="I386" s="20"/>
      <c r="J386" s="246">
        <f>SUM('ведомствен.2013'!G493)</f>
        <v>2000</v>
      </c>
    </row>
    <row r="387" spans="1:10" s="25" customFormat="1" ht="17.25" customHeight="1" hidden="1">
      <c r="A387" s="106" t="s">
        <v>598</v>
      </c>
      <c r="B387" s="165"/>
      <c r="C387" s="159" t="s">
        <v>638</v>
      </c>
      <c r="D387" s="159" t="s">
        <v>601</v>
      </c>
      <c r="E387" s="165" t="s">
        <v>443</v>
      </c>
      <c r="F387" s="166" t="s">
        <v>599</v>
      </c>
      <c r="G387" s="30"/>
      <c r="H387" s="20">
        <v>489.8</v>
      </c>
      <c r="I387" s="20" t="e">
        <f t="shared" si="7"/>
        <v>#DIV/0!</v>
      </c>
      <c r="J387" s="250"/>
    </row>
    <row r="388" spans="1:10" s="25" customFormat="1" ht="28.5">
      <c r="A388" s="109" t="s">
        <v>444</v>
      </c>
      <c r="B388" s="165"/>
      <c r="C388" s="159" t="s">
        <v>638</v>
      </c>
      <c r="D388" s="159" t="s">
        <v>601</v>
      </c>
      <c r="E388" s="165" t="s">
        <v>445</v>
      </c>
      <c r="F388" s="166"/>
      <c r="G388" s="30">
        <f>SUM(G390+G389)</f>
        <v>23711.6</v>
      </c>
      <c r="H388" s="20">
        <f>SUM(H390)</f>
        <v>6200.3</v>
      </c>
      <c r="I388" s="20">
        <f t="shared" si="7"/>
        <v>26.14880480439954</v>
      </c>
      <c r="J388" s="250"/>
    </row>
    <row r="389" spans="1:10" s="84" customFormat="1" ht="15">
      <c r="A389" s="106" t="s">
        <v>598</v>
      </c>
      <c r="B389" s="165"/>
      <c r="C389" s="159" t="s">
        <v>638</v>
      </c>
      <c r="D389" s="159" t="s">
        <v>601</v>
      </c>
      <c r="E389" s="165" t="s">
        <v>445</v>
      </c>
      <c r="F389" s="166" t="s">
        <v>599</v>
      </c>
      <c r="G389" s="30">
        <v>23711.6</v>
      </c>
      <c r="H389" s="20"/>
      <c r="I389" s="20"/>
      <c r="J389" s="250">
        <f>SUM('ведомствен.2013'!G496)</f>
        <v>23711.6</v>
      </c>
    </row>
    <row r="390" spans="1:10" s="25" customFormat="1" ht="13.5" customHeight="1" hidden="1">
      <c r="A390" s="106" t="s">
        <v>598</v>
      </c>
      <c r="B390" s="165"/>
      <c r="C390" s="159" t="s">
        <v>638</v>
      </c>
      <c r="D390" s="159" t="s">
        <v>601</v>
      </c>
      <c r="E390" s="165" t="s">
        <v>445</v>
      </c>
      <c r="F390" s="166" t="s">
        <v>599</v>
      </c>
      <c r="G390" s="30"/>
      <c r="H390" s="20">
        <v>6200.3</v>
      </c>
      <c r="I390" s="20" t="e">
        <f t="shared" si="7"/>
        <v>#DIV/0!</v>
      </c>
      <c r="J390" s="250"/>
    </row>
    <row r="391" spans="1:10" s="25" customFormat="1" ht="15" hidden="1">
      <c r="A391" s="109" t="s">
        <v>634</v>
      </c>
      <c r="B391" s="165"/>
      <c r="C391" s="159" t="s">
        <v>638</v>
      </c>
      <c r="D391" s="159" t="s">
        <v>601</v>
      </c>
      <c r="E391" s="165" t="s">
        <v>635</v>
      </c>
      <c r="F391" s="166"/>
      <c r="G391" s="30">
        <f>SUM(G392,G396)</f>
        <v>0</v>
      </c>
      <c r="H391" s="20">
        <f>SUM(H392)</f>
        <v>395.4</v>
      </c>
      <c r="I391" s="20" t="e">
        <f t="shared" si="7"/>
        <v>#DIV/0!</v>
      </c>
      <c r="J391" s="250"/>
    </row>
    <row r="392" spans="1:10" s="25" customFormat="1" ht="29.25" customHeight="1" hidden="1">
      <c r="A392" s="106" t="s">
        <v>448</v>
      </c>
      <c r="B392" s="165"/>
      <c r="C392" s="159" t="s">
        <v>638</v>
      </c>
      <c r="D392" s="159" t="s">
        <v>601</v>
      </c>
      <c r="E392" s="165" t="s">
        <v>456</v>
      </c>
      <c r="F392" s="166"/>
      <c r="G392" s="30">
        <f>SUM(G393:G395)</f>
        <v>0</v>
      </c>
      <c r="H392" s="20">
        <f>SUM(H393:H395)</f>
        <v>395.4</v>
      </c>
      <c r="I392" s="20" t="e">
        <f t="shared" si="7"/>
        <v>#DIV/0!</v>
      </c>
      <c r="J392" s="250"/>
    </row>
    <row r="393" spans="1:10" s="29" customFormat="1" ht="36.75" customHeight="1" hidden="1">
      <c r="A393" s="109" t="s">
        <v>446</v>
      </c>
      <c r="B393" s="170"/>
      <c r="C393" s="159" t="s">
        <v>638</v>
      </c>
      <c r="D393" s="159" t="s">
        <v>601</v>
      </c>
      <c r="E393" s="165" t="s">
        <v>447</v>
      </c>
      <c r="F393" s="166" t="s">
        <v>599</v>
      </c>
      <c r="G393" s="225"/>
      <c r="H393" s="27"/>
      <c r="I393" s="20" t="e">
        <f t="shared" si="7"/>
        <v>#DIV/0!</v>
      </c>
      <c r="J393" s="255"/>
    </row>
    <row r="394" spans="1:10" s="29" customFormat="1" ht="23.25" customHeight="1" hidden="1">
      <c r="A394" s="106" t="s">
        <v>598</v>
      </c>
      <c r="B394" s="165"/>
      <c r="C394" s="159" t="s">
        <v>638</v>
      </c>
      <c r="D394" s="159" t="s">
        <v>601</v>
      </c>
      <c r="E394" s="165" t="s">
        <v>456</v>
      </c>
      <c r="F394" s="156" t="s">
        <v>599</v>
      </c>
      <c r="G394" s="225"/>
      <c r="H394" s="27">
        <v>395.4</v>
      </c>
      <c r="I394" s="20" t="e">
        <f t="shared" si="7"/>
        <v>#DIV/0!</v>
      </c>
      <c r="J394" s="255"/>
    </row>
    <row r="395" spans="1:10" s="29" customFormat="1" ht="12" customHeight="1" hidden="1">
      <c r="A395" s="127" t="s">
        <v>498</v>
      </c>
      <c r="B395" s="170"/>
      <c r="C395" s="159" t="s">
        <v>638</v>
      </c>
      <c r="D395" s="159" t="s">
        <v>601</v>
      </c>
      <c r="E395" s="165" t="s">
        <v>499</v>
      </c>
      <c r="F395" s="166" t="s">
        <v>599</v>
      </c>
      <c r="G395" s="225"/>
      <c r="H395" s="27"/>
      <c r="I395" s="20" t="e">
        <f t="shared" si="7"/>
        <v>#DIV/0!</v>
      </c>
      <c r="J395" s="255"/>
    </row>
    <row r="396" spans="1:9" ht="28.5" hidden="1">
      <c r="A396" s="105" t="s">
        <v>436</v>
      </c>
      <c r="B396" s="155"/>
      <c r="C396" s="171" t="s">
        <v>638</v>
      </c>
      <c r="D396" s="171" t="s">
        <v>601</v>
      </c>
      <c r="E396" s="171" t="s">
        <v>176</v>
      </c>
      <c r="F396" s="157"/>
      <c r="G396" s="225">
        <f>SUM(G397)</f>
        <v>0</v>
      </c>
      <c r="H396" s="27"/>
      <c r="I396" s="20"/>
    </row>
    <row r="397" spans="1:9" ht="15" hidden="1">
      <c r="A397" s="105" t="s">
        <v>351</v>
      </c>
      <c r="B397" s="155"/>
      <c r="C397" s="171" t="s">
        <v>638</v>
      </c>
      <c r="D397" s="171" t="s">
        <v>601</v>
      </c>
      <c r="E397" s="171" t="s">
        <v>530</v>
      </c>
      <c r="F397" s="157" t="s">
        <v>352</v>
      </c>
      <c r="G397" s="225"/>
      <c r="H397" s="27"/>
      <c r="I397" s="20"/>
    </row>
    <row r="398" spans="1:9" ht="15">
      <c r="A398" s="109" t="s">
        <v>634</v>
      </c>
      <c r="B398" s="165"/>
      <c r="C398" s="159" t="s">
        <v>638</v>
      </c>
      <c r="D398" s="159" t="s">
        <v>601</v>
      </c>
      <c r="E398" s="165" t="s">
        <v>635</v>
      </c>
      <c r="F398" s="166"/>
      <c r="G398" s="30">
        <f>SUM(G399)</f>
        <v>952.2</v>
      </c>
      <c r="H398" s="27"/>
      <c r="I398" s="20"/>
    </row>
    <row r="399" spans="1:9" ht="42.75">
      <c r="A399" s="105" t="s">
        <v>674</v>
      </c>
      <c r="B399" s="155"/>
      <c r="C399" s="171" t="s">
        <v>638</v>
      </c>
      <c r="D399" s="171" t="s">
        <v>601</v>
      </c>
      <c r="E399" s="165" t="s">
        <v>675</v>
      </c>
      <c r="F399" s="157"/>
      <c r="G399" s="225">
        <f>SUM(G400)</f>
        <v>952.2</v>
      </c>
      <c r="H399" s="27"/>
      <c r="I399" s="20"/>
    </row>
    <row r="400" spans="1:10" ht="15">
      <c r="A400" s="106" t="s">
        <v>598</v>
      </c>
      <c r="B400" s="155"/>
      <c r="C400" s="171" t="s">
        <v>638</v>
      </c>
      <c r="D400" s="171" t="s">
        <v>601</v>
      </c>
      <c r="E400" s="165" t="s">
        <v>675</v>
      </c>
      <c r="F400" s="157" t="s">
        <v>599</v>
      </c>
      <c r="G400" s="225">
        <v>952.2</v>
      </c>
      <c r="H400" s="27"/>
      <c r="I400" s="20"/>
      <c r="J400" s="246">
        <f>SUM('ведомствен.2013'!G503)</f>
        <v>952.2</v>
      </c>
    </row>
    <row r="401" spans="1:9" ht="31.5" customHeight="1">
      <c r="A401" s="131" t="s">
        <v>500</v>
      </c>
      <c r="B401" s="155"/>
      <c r="C401" s="159" t="s">
        <v>638</v>
      </c>
      <c r="D401" s="159" t="s">
        <v>638</v>
      </c>
      <c r="E401" s="159"/>
      <c r="F401" s="158"/>
      <c r="G401" s="30">
        <f>SUM(G402+G406+G421+G409)+G417</f>
        <v>19484.7</v>
      </c>
      <c r="H401" s="20" t="e">
        <f>SUM(H402+H406+H421+H409)+H417</f>
        <v>#REF!</v>
      </c>
      <c r="I401" s="20" t="e">
        <f t="shared" si="7"/>
        <v>#REF!</v>
      </c>
    </row>
    <row r="402" spans="1:10" s="25" customFormat="1" ht="42.75" hidden="1">
      <c r="A402" s="106" t="s">
        <v>594</v>
      </c>
      <c r="B402" s="159"/>
      <c r="C402" s="159" t="s">
        <v>638</v>
      </c>
      <c r="D402" s="159" t="s">
        <v>638</v>
      </c>
      <c r="E402" s="155" t="s">
        <v>595</v>
      </c>
      <c r="F402" s="157"/>
      <c r="G402" s="30">
        <f>SUM(G403+G406)</f>
        <v>0</v>
      </c>
      <c r="H402" s="20">
        <f>SUM(H403)</f>
        <v>0</v>
      </c>
      <c r="I402" s="20" t="e">
        <f t="shared" si="7"/>
        <v>#DIV/0!</v>
      </c>
      <c r="J402" s="250"/>
    </row>
    <row r="403" spans="1:10" s="25" customFormat="1" ht="24" customHeight="1" hidden="1">
      <c r="A403" s="106" t="s">
        <v>602</v>
      </c>
      <c r="B403" s="159"/>
      <c r="C403" s="159" t="s">
        <v>638</v>
      </c>
      <c r="D403" s="159" t="s">
        <v>638</v>
      </c>
      <c r="E403" s="155" t="s">
        <v>604</v>
      </c>
      <c r="F403" s="157"/>
      <c r="G403" s="30">
        <f>SUM(G404)</f>
        <v>0</v>
      </c>
      <c r="H403" s="20">
        <f>SUM(H405)</f>
        <v>0</v>
      </c>
      <c r="I403" s="20" t="e">
        <f t="shared" si="7"/>
        <v>#DIV/0!</v>
      </c>
      <c r="J403" s="250"/>
    </row>
    <row r="404" spans="1:10" s="25" customFormat="1" ht="21" customHeight="1" hidden="1">
      <c r="A404" s="106" t="s">
        <v>598</v>
      </c>
      <c r="B404" s="159"/>
      <c r="C404" s="159" t="s">
        <v>638</v>
      </c>
      <c r="D404" s="159" t="s">
        <v>638</v>
      </c>
      <c r="E404" s="155" t="s">
        <v>604</v>
      </c>
      <c r="F404" s="157" t="s">
        <v>599</v>
      </c>
      <c r="G404" s="30"/>
      <c r="H404" s="20">
        <f>SUM(H405)</f>
        <v>0</v>
      </c>
      <c r="I404" s="20" t="e">
        <f aca="true" t="shared" si="9" ref="I404:I470">SUM(H404/G404*100)</f>
        <v>#DIV/0!</v>
      </c>
      <c r="J404" s="246">
        <f>SUM('ведомствен.2013'!G207)+'ведомствен.2013'!G739</f>
        <v>0</v>
      </c>
    </row>
    <row r="405" spans="1:10" s="25" customFormat="1" ht="15" customHeight="1" hidden="1">
      <c r="A405" s="105" t="s">
        <v>504</v>
      </c>
      <c r="B405" s="155"/>
      <c r="C405" s="159" t="s">
        <v>638</v>
      </c>
      <c r="D405" s="159" t="s">
        <v>638</v>
      </c>
      <c r="E405" s="159" t="s">
        <v>503</v>
      </c>
      <c r="F405" s="157" t="s">
        <v>642</v>
      </c>
      <c r="G405" s="225"/>
      <c r="H405" s="27"/>
      <c r="I405" s="20" t="e">
        <f t="shared" si="9"/>
        <v>#DIV/0!</v>
      </c>
      <c r="J405" s="250"/>
    </row>
    <row r="406" spans="1:9" ht="28.5" customHeight="1" hidden="1">
      <c r="A406" s="133" t="s">
        <v>505</v>
      </c>
      <c r="B406" s="155"/>
      <c r="C406" s="159" t="s">
        <v>638</v>
      </c>
      <c r="D406" s="159" t="s">
        <v>638</v>
      </c>
      <c r="E406" s="159" t="s">
        <v>506</v>
      </c>
      <c r="F406" s="158"/>
      <c r="G406" s="30">
        <f>SUM(G407)</f>
        <v>0</v>
      </c>
      <c r="H406" s="20" t="e">
        <f>SUM(H407)</f>
        <v>#REF!</v>
      </c>
      <c r="I406" s="20" t="e">
        <f t="shared" si="9"/>
        <v>#REF!</v>
      </c>
    </row>
    <row r="407" spans="1:9" ht="28.5" customHeight="1" hidden="1">
      <c r="A407" s="133" t="s">
        <v>453</v>
      </c>
      <c r="B407" s="155"/>
      <c r="C407" s="159" t="s">
        <v>638</v>
      </c>
      <c r="D407" s="159" t="s">
        <v>638</v>
      </c>
      <c r="E407" s="159" t="s">
        <v>507</v>
      </c>
      <c r="F407" s="158"/>
      <c r="G407" s="30">
        <f>SUM(G408)</f>
        <v>0</v>
      </c>
      <c r="H407" s="20" t="e">
        <f>SUM(H408)</f>
        <v>#REF!</v>
      </c>
      <c r="I407" s="20" t="e">
        <f t="shared" si="9"/>
        <v>#REF!</v>
      </c>
    </row>
    <row r="408" spans="1:9" ht="15" customHeight="1" hidden="1">
      <c r="A408" s="105" t="s">
        <v>504</v>
      </c>
      <c r="B408" s="155"/>
      <c r="C408" s="159" t="s">
        <v>638</v>
      </c>
      <c r="D408" s="159" t="s">
        <v>638</v>
      </c>
      <c r="E408" s="159" t="s">
        <v>507</v>
      </c>
      <c r="F408" s="157" t="s">
        <v>642</v>
      </c>
      <c r="G408" s="225">
        <f>SUM('[1]Ведомств.'!F241)</f>
        <v>0</v>
      </c>
      <c r="H408" s="27" t="e">
        <f>SUM('[1]Ведомств.'!G241)</f>
        <v>#REF!</v>
      </c>
      <c r="I408" s="20" t="e">
        <f t="shared" si="9"/>
        <v>#REF!</v>
      </c>
    </row>
    <row r="409" spans="1:9" ht="15" customHeight="1" hidden="1">
      <c r="A409" s="133" t="s">
        <v>340</v>
      </c>
      <c r="B409" s="165"/>
      <c r="C409" s="159" t="s">
        <v>638</v>
      </c>
      <c r="D409" s="159" t="s">
        <v>638</v>
      </c>
      <c r="E409" s="165" t="s">
        <v>341</v>
      </c>
      <c r="F409" s="157"/>
      <c r="G409" s="225">
        <f>SUM(G410+G415)</f>
        <v>0</v>
      </c>
      <c r="H409" s="27">
        <f>SUM(H410+H415)</f>
        <v>4731.200000000001</v>
      </c>
      <c r="I409" s="20" t="e">
        <f t="shared" si="9"/>
        <v>#DIV/0!</v>
      </c>
    </row>
    <row r="410" spans="1:9" ht="42.75" customHeight="1" hidden="1">
      <c r="A410" s="106" t="s">
        <v>225</v>
      </c>
      <c r="B410" s="165"/>
      <c r="C410" s="159" t="s">
        <v>638</v>
      </c>
      <c r="D410" s="159" t="s">
        <v>638</v>
      </c>
      <c r="E410" s="165" t="s">
        <v>226</v>
      </c>
      <c r="F410" s="157"/>
      <c r="G410" s="225">
        <f>SUM(G411+G413)</f>
        <v>0</v>
      </c>
      <c r="H410" s="27">
        <f>SUM(H411+H413)</f>
        <v>4731.200000000001</v>
      </c>
      <c r="I410" s="20" t="e">
        <f t="shared" si="9"/>
        <v>#DIV/0!</v>
      </c>
    </row>
    <row r="411" spans="1:9" ht="28.5" customHeight="1" hidden="1">
      <c r="A411" s="133" t="s">
        <v>453</v>
      </c>
      <c r="B411" s="155"/>
      <c r="C411" s="159" t="s">
        <v>638</v>
      </c>
      <c r="D411" s="159" t="s">
        <v>638</v>
      </c>
      <c r="E411" s="165" t="s">
        <v>454</v>
      </c>
      <c r="F411" s="157"/>
      <c r="G411" s="225">
        <f>SUM(G412+G420)</f>
        <v>0</v>
      </c>
      <c r="H411" s="27">
        <f>SUM(H412+H420)</f>
        <v>4731.200000000001</v>
      </c>
      <c r="I411" s="20" t="e">
        <f t="shared" si="9"/>
        <v>#DIV/0!</v>
      </c>
    </row>
    <row r="412" spans="1:10" ht="15" customHeight="1" hidden="1">
      <c r="A412" s="105" t="s">
        <v>504</v>
      </c>
      <c r="B412" s="155"/>
      <c r="C412" s="159" t="s">
        <v>638</v>
      </c>
      <c r="D412" s="159" t="s">
        <v>638</v>
      </c>
      <c r="E412" s="165" t="s">
        <v>454</v>
      </c>
      <c r="F412" s="157" t="s">
        <v>642</v>
      </c>
      <c r="G412" s="225"/>
      <c r="H412" s="27">
        <v>2740.8</v>
      </c>
      <c r="I412" s="20" t="e">
        <f t="shared" si="9"/>
        <v>#DIV/0!</v>
      </c>
      <c r="J412" s="246">
        <f>SUM('ведомствен.2013'!G521)</f>
        <v>0</v>
      </c>
    </row>
    <row r="413" spans="1:9" ht="28.5" customHeight="1" hidden="1">
      <c r="A413" s="105" t="s">
        <v>508</v>
      </c>
      <c r="B413" s="155"/>
      <c r="C413" s="159" t="s">
        <v>638</v>
      </c>
      <c r="D413" s="159" t="s">
        <v>638</v>
      </c>
      <c r="E413" s="165" t="s">
        <v>509</v>
      </c>
      <c r="F413" s="157"/>
      <c r="G413" s="225"/>
      <c r="H413" s="27">
        <f>SUM(H414)</f>
        <v>0</v>
      </c>
      <c r="I413" s="20" t="e">
        <f t="shared" si="9"/>
        <v>#DIV/0!</v>
      </c>
    </row>
    <row r="414" spans="1:9" ht="15" customHeight="1" hidden="1">
      <c r="A414" s="105" t="s">
        <v>504</v>
      </c>
      <c r="B414" s="155"/>
      <c r="C414" s="159" t="s">
        <v>638</v>
      </c>
      <c r="D414" s="159" t="s">
        <v>638</v>
      </c>
      <c r="E414" s="165" t="s">
        <v>509</v>
      </c>
      <c r="F414" s="157" t="s">
        <v>642</v>
      </c>
      <c r="G414" s="225"/>
      <c r="H414" s="27"/>
      <c r="I414" s="20" t="e">
        <f t="shared" si="9"/>
        <v>#DIV/0!</v>
      </c>
    </row>
    <row r="415" spans="1:9" ht="28.5" customHeight="1" hidden="1">
      <c r="A415" s="105" t="s">
        <v>510</v>
      </c>
      <c r="B415" s="155"/>
      <c r="C415" s="159" t="s">
        <v>638</v>
      </c>
      <c r="D415" s="159" t="s">
        <v>638</v>
      </c>
      <c r="E415" s="165" t="s">
        <v>511</v>
      </c>
      <c r="F415" s="157"/>
      <c r="G415" s="225"/>
      <c r="H415" s="27">
        <f>SUM(H416)</f>
        <v>0</v>
      </c>
      <c r="I415" s="20" t="e">
        <f t="shared" si="9"/>
        <v>#DIV/0!</v>
      </c>
    </row>
    <row r="416" spans="1:9" ht="15" customHeight="1" hidden="1">
      <c r="A416" s="105" t="s">
        <v>504</v>
      </c>
      <c r="B416" s="155"/>
      <c r="C416" s="159" t="s">
        <v>638</v>
      </c>
      <c r="D416" s="159" t="s">
        <v>638</v>
      </c>
      <c r="E416" s="165" t="s">
        <v>511</v>
      </c>
      <c r="F416" s="157" t="s">
        <v>642</v>
      </c>
      <c r="G416" s="225"/>
      <c r="H416" s="27"/>
      <c r="I416" s="20" t="e">
        <f t="shared" si="9"/>
        <v>#DIV/0!</v>
      </c>
    </row>
    <row r="417" spans="1:9" ht="28.5" customHeight="1" hidden="1">
      <c r="A417" s="105" t="s">
        <v>512</v>
      </c>
      <c r="B417" s="155"/>
      <c r="C417" s="159" t="s">
        <v>638</v>
      </c>
      <c r="D417" s="159" t="s">
        <v>638</v>
      </c>
      <c r="E417" s="165" t="s">
        <v>513</v>
      </c>
      <c r="F417" s="157"/>
      <c r="G417" s="225"/>
      <c r="H417" s="27">
        <f>SUM(H418)</f>
        <v>0</v>
      </c>
      <c r="I417" s="20" t="e">
        <f t="shared" si="9"/>
        <v>#DIV/0!</v>
      </c>
    </row>
    <row r="418" spans="1:9" ht="15" hidden="1">
      <c r="A418" s="105" t="s">
        <v>514</v>
      </c>
      <c r="B418" s="155"/>
      <c r="C418" s="159" t="s">
        <v>638</v>
      </c>
      <c r="D418" s="159" t="s">
        <v>638</v>
      </c>
      <c r="E418" s="165" t="s">
        <v>515</v>
      </c>
      <c r="F418" s="157"/>
      <c r="G418" s="225"/>
      <c r="H418" s="27">
        <f>SUM(H419)</f>
        <v>0</v>
      </c>
      <c r="I418" s="20" t="e">
        <f t="shared" si="9"/>
        <v>#DIV/0!</v>
      </c>
    </row>
    <row r="419" spans="1:9" ht="15" hidden="1">
      <c r="A419" s="105" t="s">
        <v>504</v>
      </c>
      <c r="B419" s="155"/>
      <c r="C419" s="159" t="s">
        <v>638</v>
      </c>
      <c r="D419" s="159" t="s">
        <v>638</v>
      </c>
      <c r="E419" s="165" t="s">
        <v>515</v>
      </c>
      <c r="F419" s="157" t="s">
        <v>642</v>
      </c>
      <c r="G419" s="225"/>
      <c r="H419" s="27"/>
      <c r="I419" s="20" t="e">
        <f t="shared" si="9"/>
        <v>#DIV/0!</v>
      </c>
    </row>
    <row r="420" spans="1:9" ht="15" hidden="1">
      <c r="A420" s="106" t="s">
        <v>598</v>
      </c>
      <c r="B420" s="155"/>
      <c r="C420" s="159" t="s">
        <v>638</v>
      </c>
      <c r="D420" s="159" t="s">
        <v>638</v>
      </c>
      <c r="E420" s="165" t="s">
        <v>454</v>
      </c>
      <c r="F420" s="157" t="s">
        <v>599</v>
      </c>
      <c r="G420" s="225"/>
      <c r="H420" s="27">
        <v>1990.4</v>
      </c>
      <c r="I420" s="20" t="e">
        <f t="shared" si="9"/>
        <v>#DIV/0!</v>
      </c>
    </row>
    <row r="421" spans="1:9" ht="18" customHeight="1">
      <c r="A421" s="106" t="s">
        <v>634</v>
      </c>
      <c r="B421" s="155"/>
      <c r="C421" s="159" t="s">
        <v>638</v>
      </c>
      <c r="D421" s="159" t="s">
        <v>638</v>
      </c>
      <c r="E421" s="155" t="s">
        <v>635</v>
      </c>
      <c r="F421" s="158"/>
      <c r="G421" s="30">
        <f>SUM(G423+G432)+G438+G426+G429</f>
        <v>19484.7</v>
      </c>
      <c r="H421" s="20">
        <f>SUM(H423+H432)</f>
        <v>2530.4</v>
      </c>
      <c r="I421" s="20">
        <f t="shared" si="9"/>
        <v>12.986599742361957</v>
      </c>
    </row>
    <row r="422" spans="1:9" ht="18" customHeight="1">
      <c r="A422" s="105" t="s">
        <v>504</v>
      </c>
      <c r="B422" s="155"/>
      <c r="C422" s="159" t="s">
        <v>638</v>
      </c>
      <c r="D422" s="159" t="s">
        <v>638</v>
      </c>
      <c r="E422" s="155" t="s">
        <v>635</v>
      </c>
      <c r="F422" s="158" t="s">
        <v>642</v>
      </c>
      <c r="G422" s="30">
        <f>SUM(G423:G432)</f>
        <v>25116.8</v>
      </c>
      <c r="H422" s="20">
        <f>SUM(H423:H432)</f>
        <v>3022.5</v>
      </c>
      <c r="I422" s="20">
        <f t="shared" si="9"/>
        <v>12.033778188304243</v>
      </c>
    </row>
    <row r="423" spans="1:10" s="32" customFormat="1" ht="19.5" customHeight="1">
      <c r="A423" s="127" t="s">
        <v>516</v>
      </c>
      <c r="B423" s="165"/>
      <c r="C423" s="172" t="s">
        <v>638</v>
      </c>
      <c r="D423" s="172" t="s">
        <v>638</v>
      </c>
      <c r="E423" s="165" t="s">
        <v>517</v>
      </c>
      <c r="F423" s="158"/>
      <c r="G423" s="226">
        <f>SUM(G424)</f>
        <v>2920</v>
      </c>
      <c r="H423" s="31">
        <f>SUM(H425)</f>
        <v>492.1</v>
      </c>
      <c r="I423" s="20">
        <f t="shared" si="9"/>
        <v>16.852739726027398</v>
      </c>
      <c r="J423" s="256"/>
    </row>
    <row r="424" spans="1:10" s="25" customFormat="1" ht="18.75" customHeight="1">
      <c r="A424" s="109" t="s">
        <v>641</v>
      </c>
      <c r="B424" s="172"/>
      <c r="C424" s="172" t="s">
        <v>638</v>
      </c>
      <c r="D424" s="172" t="s">
        <v>638</v>
      </c>
      <c r="E424" s="172" t="s">
        <v>517</v>
      </c>
      <c r="F424" s="157" t="s">
        <v>642</v>
      </c>
      <c r="G424" s="226">
        <v>2920</v>
      </c>
      <c r="H424" s="31"/>
      <c r="I424" s="20"/>
      <c r="J424" s="250">
        <f>SUM('ведомствен.2013'!G532)</f>
        <v>2920</v>
      </c>
    </row>
    <row r="425" spans="1:10" s="32" customFormat="1" ht="0.75" customHeight="1" hidden="1">
      <c r="A425" s="106" t="s">
        <v>362</v>
      </c>
      <c r="B425" s="155"/>
      <c r="C425" s="159" t="s">
        <v>638</v>
      </c>
      <c r="D425" s="159" t="s">
        <v>638</v>
      </c>
      <c r="E425" s="165" t="s">
        <v>517</v>
      </c>
      <c r="F425" s="157" t="s">
        <v>485</v>
      </c>
      <c r="G425" s="226"/>
      <c r="H425" s="31">
        <v>492.1</v>
      </c>
      <c r="I425" s="20" t="e">
        <f t="shared" si="9"/>
        <v>#DIV/0!</v>
      </c>
      <c r="J425" s="256">
        <f>SUM('ведомствен.2013'!G533)</f>
        <v>0</v>
      </c>
    </row>
    <row r="426" spans="1:10" s="32" customFormat="1" ht="31.5" customHeight="1">
      <c r="A426" s="109" t="s">
        <v>356</v>
      </c>
      <c r="B426" s="165"/>
      <c r="C426" s="165" t="s">
        <v>638</v>
      </c>
      <c r="D426" s="165" t="s">
        <v>638</v>
      </c>
      <c r="E426" s="165" t="s">
        <v>355</v>
      </c>
      <c r="F426" s="156"/>
      <c r="G426" s="30">
        <f>SUM(G427:G428)</f>
        <v>7712.1</v>
      </c>
      <c r="H426" s="20">
        <f>SUM(H428)</f>
        <v>0</v>
      </c>
      <c r="I426" s="20">
        <f t="shared" si="9"/>
        <v>0</v>
      </c>
      <c r="J426" s="256"/>
    </row>
    <row r="427" spans="1:10" s="32" customFormat="1" ht="21.75" customHeight="1">
      <c r="A427" s="109" t="s">
        <v>641</v>
      </c>
      <c r="B427" s="165"/>
      <c r="C427" s="165" t="s">
        <v>638</v>
      </c>
      <c r="D427" s="165" t="s">
        <v>638</v>
      </c>
      <c r="E427" s="165" t="s">
        <v>355</v>
      </c>
      <c r="F427" s="156" t="s">
        <v>642</v>
      </c>
      <c r="G427" s="30">
        <v>1413</v>
      </c>
      <c r="H427" s="20"/>
      <c r="I427" s="20"/>
      <c r="J427" s="256">
        <f>SUM('ведомствен.2013'!G535)</f>
        <v>1413</v>
      </c>
    </row>
    <row r="428" spans="1:10" s="32" customFormat="1" ht="28.5">
      <c r="A428" s="106" t="s">
        <v>711</v>
      </c>
      <c r="B428" s="159"/>
      <c r="C428" s="159" t="s">
        <v>638</v>
      </c>
      <c r="D428" s="159" t="s">
        <v>638</v>
      </c>
      <c r="E428" s="159" t="s">
        <v>355</v>
      </c>
      <c r="F428" s="157" t="s">
        <v>566</v>
      </c>
      <c r="G428" s="91">
        <v>6299.1</v>
      </c>
      <c r="H428" s="27"/>
      <c r="I428" s="20">
        <f t="shared" si="9"/>
        <v>0</v>
      </c>
      <c r="J428" s="256">
        <f>SUM('ведомствен.2013'!G536)</f>
        <v>6299.1</v>
      </c>
    </row>
    <row r="429" spans="1:10" s="32" customFormat="1" ht="44.25" customHeight="1">
      <c r="A429" s="109" t="s">
        <v>358</v>
      </c>
      <c r="B429" s="165"/>
      <c r="C429" s="165" t="s">
        <v>638</v>
      </c>
      <c r="D429" s="165" t="s">
        <v>638</v>
      </c>
      <c r="E429" s="165" t="s">
        <v>357</v>
      </c>
      <c r="F429" s="156"/>
      <c r="G429" s="30">
        <f>SUM(G430)</f>
        <v>500</v>
      </c>
      <c r="H429" s="20">
        <f>SUM(H431)</f>
        <v>0</v>
      </c>
      <c r="I429" s="20">
        <f>SUM(H429/G429*100)</f>
        <v>0</v>
      </c>
      <c r="J429" s="256"/>
    </row>
    <row r="430" spans="1:10" s="32" customFormat="1" ht="23.25" customHeight="1">
      <c r="A430" s="109" t="s">
        <v>641</v>
      </c>
      <c r="B430" s="165"/>
      <c r="C430" s="165" t="s">
        <v>638</v>
      </c>
      <c r="D430" s="165" t="s">
        <v>638</v>
      </c>
      <c r="E430" s="165" t="s">
        <v>357</v>
      </c>
      <c r="F430" s="156" t="s">
        <v>642</v>
      </c>
      <c r="G430" s="30">
        <v>500</v>
      </c>
      <c r="H430" s="20"/>
      <c r="I430" s="20"/>
      <c r="J430" s="256">
        <f>SUM('ведомствен.2013'!G538)</f>
        <v>500</v>
      </c>
    </row>
    <row r="431" spans="1:10" s="32" customFormat="1" ht="9" customHeight="1" hidden="1">
      <c r="A431" s="106" t="s">
        <v>362</v>
      </c>
      <c r="B431" s="165"/>
      <c r="C431" s="159" t="s">
        <v>638</v>
      </c>
      <c r="D431" s="159" t="s">
        <v>638</v>
      </c>
      <c r="E431" s="165" t="s">
        <v>357</v>
      </c>
      <c r="F431" s="166" t="s">
        <v>485</v>
      </c>
      <c r="G431" s="225"/>
      <c r="H431" s="27"/>
      <c r="I431" s="20" t="e">
        <f>SUM(H431/G431*100)</f>
        <v>#DIV/0!</v>
      </c>
      <c r="J431" s="256"/>
    </row>
    <row r="432" spans="1:9" ht="28.5">
      <c r="A432" s="105" t="s">
        <v>212</v>
      </c>
      <c r="B432" s="155"/>
      <c r="C432" s="159" t="s">
        <v>638</v>
      </c>
      <c r="D432" s="159" t="s">
        <v>638</v>
      </c>
      <c r="E432" s="155" t="s">
        <v>462</v>
      </c>
      <c r="F432" s="158"/>
      <c r="G432" s="30">
        <f>SUM(G433+G436)</f>
        <v>2852.6</v>
      </c>
      <c r="H432" s="20">
        <f>SUM(H433+H436)</f>
        <v>2038.3</v>
      </c>
      <c r="I432" s="20">
        <f t="shared" si="9"/>
        <v>71.45411203814065</v>
      </c>
    </row>
    <row r="433" spans="1:10" s="32" customFormat="1" ht="28.5">
      <c r="A433" s="127" t="s">
        <v>453</v>
      </c>
      <c r="B433" s="165"/>
      <c r="C433" s="159" t="s">
        <v>638</v>
      </c>
      <c r="D433" s="159" t="s">
        <v>638</v>
      </c>
      <c r="E433" s="155" t="s">
        <v>463</v>
      </c>
      <c r="F433" s="158"/>
      <c r="G433" s="226">
        <f>SUM(G434:G435)</f>
        <v>2852.6</v>
      </c>
      <c r="H433" s="31">
        <f>SUM(H434:H435)</f>
        <v>1157.5</v>
      </c>
      <c r="I433" s="20">
        <f t="shared" si="9"/>
        <v>40.57701745775783</v>
      </c>
      <c r="J433" s="256"/>
    </row>
    <row r="434" spans="1:10" s="32" customFormat="1" ht="15">
      <c r="A434" s="109" t="s">
        <v>641</v>
      </c>
      <c r="B434" s="155"/>
      <c r="C434" s="159" t="s">
        <v>638</v>
      </c>
      <c r="D434" s="159" t="s">
        <v>638</v>
      </c>
      <c r="E434" s="155" t="s">
        <v>463</v>
      </c>
      <c r="F434" s="157" t="s">
        <v>642</v>
      </c>
      <c r="G434" s="225">
        <v>2852.6</v>
      </c>
      <c r="H434" s="27">
        <v>1157.5</v>
      </c>
      <c r="I434" s="20">
        <f t="shared" si="9"/>
        <v>40.57701745775783</v>
      </c>
      <c r="J434" s="256">
        <f>SUM('ведомствен.2013'!G542)</f>
        <v>2852.6</v>
      </c>
    </row>
    <row r="435" spans="1:10" s="32" customFormat="1" ht="20.25" customHeight="1" hidden="1">
      <c r="A435" s="106" t="s">
        <v>598</v>
      </c>
      <c r="B435" s="165"/>
      <c r="C435" s="159" t="s">
        <v>638</v>
      </c>
      <c r="D435" s="159" t="s">
        <v>638</v>
      </c>
      <c r="E435" s="155" t="s">
        <v>463</v>
      </c>
      <c r="F435" s="166" t="s">
        <v>599</v>
      </c>
      <c r="G435" s="226"/>
      <c r="H435" s="31"/>
      <c r="I435" s="20" t="e">
        <f t="shared" si="9"/>
        <v>#DIV/0!</v>
      </c>
      <c r="J435" s="256"/>
    </row>
    <row r="436" spans="1:9" ht="28.5" hidden="1">
      <c r="A436" s="109" t="s">
        <v>508</v>
      </c>
      <c r="B436" s="155"/>
      <c r="C436" s="159" t="s">
        <v>638</v>
      </c>
      <c r="D436" s="159" t="s">
        <v>638</v>
      </c>
      <c r="E436" s="155" t="s">
        <v>196</v>
      </c>
      <c r="F436" s="158"/>
      <c r="G436" s="30">
        <f>SUM(G437)</f>
        <v>0</v>
      </c>
      <c r="H436" s="20">
        <f>SUM(H437)</f>
        <v>880.8</v>
      </c>
      <c r="I436" s="20" t="e">
        <f t="shared" si="9"/>
        <v>#DIV/0!</v>
      </c>
    </row>
    <row r="437" spans="1:10" ht="15" hidden="1">
      <c r="A437" s="109" t="s">
        <v>641</v>
      </c>
      <c r="B437" s="155"/>
      <c r="C437" s="159" t="s">
        <v>638</v>
      </c>
      <c r="D437" s="159" t="s">
        <v>638</v>
      </c>
      <c r="E437" s="155" t="s">
        <v>196</v>
      </c>
      <c r="F437" s="157" t="s">
        <v>642</v>
      </c>
      <c r="G437" s="30"/>
      <c r="H437" s="20">
        <v>880.8</v>
      </c>
      <c r="I437" s="20" t="e">
        <f t="shared" si="9"/>
        <v>#DIV/0!</v>
      </c>
      <c r="J437" s="256">
        <f>SUM('ведомствен.2013'!G545)</f>
        <v>0</v>
      </c>
    </row>
    <row r="438" spans="1:9" ht="51.75" customHeight="1">
      <c r="A438" s="109" t="s">
        <v>669</v>
      </c>
      <c r="B438" s="155"/>
      <c r="C438" s="159" t="s">
        <v>638</v>
      </c>
      <c r="D438" s="159" t="s">
        <v>638</v>
      </c>
      <c r="E438" s="165" t="s">
        <v>475</v>
      </c>
      <c r="F438" s="157"/>
      <c r="G438" s="225">
        <f>SUM(G439)</f>
        <v>5500</v>
      </c>
      <c r="H438" s="27">
        <f>SUM(H439)</f>
        <v>0</v>
      </c>
      <c r="I438" s="20">
        <f t="shared" si="9"/>
        <v>0</v>
      </c>
    </row>
    <row r="439" spans="1:10" ht="15">
      <c r="A439" s="109" t="s">
        <v>641</v>
      </c>
      <c r="B439" s="155"/>
      <c r="C439" s="159" t="s">
        <v>638</v>
      </c>
      <c r="D439" s="159" t="s">
        <v>638</v>
      </c>
      <c r="E439" s="165" t="s">
        <v>475</v>
      </c>
      <c r="F439" s="157" t="s">
        <v>642</v>
      </c>
      <c r="G439" s="225">
        <v>5500</v>
      </c>
      <c r="H439" s="27"/>
      <c r="I439" s="20">
        <f t="shared" si="9"/>
        <v>0</v>
      </c>
      <c r="J439" s="256">
        <f>SUM('ведомствен.2013'!G547)</f>
        <v>5500</v>
      </c>
    </row>
    <row r="440" spans="1:12" s="19" customFormat="1" ht="15.75">
      <c r="A440" s="134" t="s">
        <v>519</v>
      </c>
      <c r="B440" s="189"/>
      <c r="C440" s="189" t="s">
        <v>132</v>
      </c>
      <c r="D440" s="189"/>
      <c r="E440" s="189"/>
      <c r="F440" s="216"/>
      <c r="G440" s="224">
        <f>SUM(G441)+G445</f>
        <v>10598.2</v>
      </c>
      <c r="H440" s="26">
        <f>SUM(H441)+H445</f>
        <v>2547</v>
      </c>
      <c r="I440" s="26">
        <f t="shared" si="9"/>
        <v>24.03238285746636</v>
      </c>
      <c r="J440" s="247"/>
      <c r="K440" s="19">
        <f>SUM(J441:J456)</f>
        <v>10598.2</v>
      </c>
      <c r="L440" s="19">
        <f>SUM('ведомствен.2013'!G548+'ведомствен.2013'!G740)</f>
        <v>10598.2</v>
      </c>
    </row>
    <row r="441" spans="1:9" ht="27.75" customHeight="1">
      <c r="A441" s="106" t="s">
        <v>520</v>
      </c>
      <c r="B441" s="155"/>
      <c r="C441" s="155" t="s">
        <v>132</v>
      </c>
      <c r="D441" s="155" t="s">
        <v>601</v>
      </c>
      <c r="E441" s="155"/>
      <c r="F441" s="156"/>
      <c r="G441" s="30">
        <f>SUM(G444)</f>
        <v>5125.2</v>
      </c>
      <c r="H441" s="20">
        <f>SUM(H444)</f>
        <v>2199.7</v>
      </c>
      <c r="I441" s="20">
        <f t="shared" si="9"/>
        <v>42.919300710216184</v>
      </c>
    </row>
    <row r="442" spans="1:9" ht="15">
      <c r="A442" s="106" t="s">
        <v>521</v>
      </c>
      <c r="B442" s="155"/>
      <c r="C442" s="155" t="s">
        <v>132</v>
      </c>
      <c r="D442" s="155" t="s">
        <v>601</v>
      </c>
      <c r="E442" s="155" t="s">
        <v>522</v>
      </c>
      <c r="F442" s="156"/>
      <c r="G442" s="30">
        <f>SUM(G443)</f>
        <v>5125.2</v>
      </c>
      <c r="H442" s="20">
        <f>SUM(H443)</f>
        <v>2199.7</v>
      </c>
      <c r="I442" s="20">
        <f t="shared" si="9"/>
        <v>42.919300710216184</v>
      </c>
    </row>
    <row r="443" spans="1:9" ht="28.5" customHeight="1">
      <c r="A443" s="106" t="s">
        <v>482</v>
      </c>
      <c r="B443" s="180"/>
      <c r="C443" s="180" t="s">
        <v>132</v>
      </c>
      <c r="D443" s="180" t="s">
        <v>601</v>
      </c>
      <c r="E443" s="180" t="s">
        <v>523</v>
      </c>
      <c r="F443" s="158"/>
      <c r="G443" s="30">
        <f>SUM(G444)</f>
        <v>5125.2</v>
      </c>
      <c r="H443" s="20">
        <f>SUM(H444)</f>
        <v>2199.7</v>
      </c>
      <c r="I443" s="20">
        <f t="shared" si="9"/>
        <v>42.919300710216184</v>
      </c>
    </row>
    <row r="444" spans="1:10" ht="15.75" customHeight="1">
      <c r="A444" s="108" t="s">
        <v>483</v>
      </c>
      <c r="B444" s="155"/>
      <c r="C444" s="155" t="s">
        <v>132</v>
      </c>
      <c r="D444" s="155" t="s">
        <v>601</v>
      </c>
      <c r="E444" s="180" t="s">
        <v>523</v>
      </c>
      <c r="F444" s="158" t="s">
        <v>933</v>
      </c>
      <c r="G444" s="30">
        <v>5125.2</v>
      </c>
      <c r="H444" s="20">
        <v>2199.7</v>
      </c>
      <c r="I444" s="20">
        <f t="shared" si="9"/>
        <v>42.919300710216184</v>
      </c>
      <c r="J444" s="246">
        <f>SUM('ведомствен.2013'!G552)+'ведомствен.2013'!G744</f>
        <v>5125.2</v>
      </c>
    </row>
    <row r="445" spans="1:9" ht="17.25" customHeight="1">
      <c r="A445" s="128" t="s">
        <v>524</v>
      </c>
      <c r="B445" s="155"/>
      <c r="C445" s="183" t="s">
        <v>132</v>
      </c>
      <c r="D445" s="183" t="s">
        <v>638</v>
      </c>
      <c r="E445" s="183"/>
      <c r="F445" s="184"/>
      <c r="G445" s="225">
        <f>SUM(G449)+G446</f>
        <v>5473</v>
      </c>
      <c r="H445" s="27">
        <f>SUM(H449)+H446</f>
        <v>347.3</v>
      </c>
      <c r="I445" s="20">
        <f t="shared" si="9"/>
        <v>6.345697058286132</v>
      </c>
    </row>
    <row r="446" spans="1:9" ht="16.5" customHeight="1" hidden="1">
      <c r="A446" s="133" t="s">
        <v>340</v>
      </c>
      <c r="B446" s="155"/>
      <c r="C446" s="183" t="s">
        <v>132</v>
      </c>
      <c r="D446" s="183" t="s">
        <v>638</v>
      </c>
      <c r="E446" s="155" t="s">
        <v>341</v>
      </c>
      <c r="F446" s="184"/>
      <c r="G446" s="225">
        <f>SUM(G447)</f>
        <v>0</v>
      </c>
      <c r="H446" s="27">
        <f>SUM(H447)</f>
        <v>0</v>
      </c>
      <c r="I446" s="20" t="e">
        <f t="shared" si="9"/>
        <v>#DIV/0!</v>
      </c>
    </row>
    <row r="447" spans="1:9" ht="42" customHeight="1" hidden="1">
      <c r="A447" s="133" t="s">
        <v>525</v>
      </c>
      <c r="B447" s="155"/>
      <c r="C447" s="183" t="s">
        <v>132</v>
      </c>
      <c r="D447" s="183" t="s">
        <v>638</v>
      </c>
      <c r="E447" s="155" t="s">
        <v>526</v>
      </c>
      <c r="F447" s="158"/>
      <c r="G447" s="225">
        <f>SUM(G448)</f>
        <v>0</v>
      </c>
      <c r="H447" s="27">
        <f>SUM(H448)</f>
        <v>0</v>
      </c>
      <c r="I447" s="20" t="e">
        <f t="shared" si="9"/>
        <v>#DIV/0!</v>
      </c>
    </row>
    <row r="448" spans="1:10" s="33" customFormat="1" ht="16.5" customHeight="1" hidden="1">
      <c r="A448" s="105" t="s">
        <v>504</v>
      </c>
      <c r="B448" s="155"/>
      <c r="C448" s="183" t="s">
        <v>132</v>
      </c>
      <c r="D448" s="183" t="s">
        <v>638</v>
      </c>
      <c r="E448" s="155" t="s">
        <v>526</v>
      </c>
      <c r="F448" s="158" t="s">
        <v>642</v>
      </c>
      <c r="G448" s="225"/>
      <c r="H448" s="27"/>
      <c r="I448" s="20" t="e">
        <f t="shared" si="9"/>
        <v>#DIV/0!</v>
      </c>
      <c r="J448" s="257"/>
    </row>
    <row r="449" spans="1:9" ht="14.25" customHeight="1">
      <c r="A449" s="106" t="s">
        <v>634</v>
      </c>
      <c r="B449" s="155"/>
      <c r="C449" s="183" t="s">
        <v>132</v>
      </c>
      <c r="D449" s="183" t="s">
        <v>638</v>
      </c>
      <c r="E449" s="155" t="s">
        <v>635</v>
      </c>
      <c r="F449" s="184"/>
      <c r="G449" s="225">
        <f>SUM(G452+G453+G457)</f>
        <v>5473</v>
      </c>
      <c r="H449" s="27">
        <f>SUM(H452+H453+H457)</f>
        <v>347.3</v>
      </c>
      <c r="I449" s="20">
        <f t="shared" si="9"/>
        <v>6.345697058286132</v>
      </c>
    </row>
    <row r="450" spans="1:9" ht="15" customHeight="1" hidden="1">
      <c r="A450" s="133" t="s">
        <v>527</v>
      </c>
      <c r="B450" s="155"/>
      <c r="C450" s="183" t="s">
        <v>132</v>
      </c>
      <c r="D450" s="183" t="s">
        <v>638</v>
      </c>
      <c r="E450" s="155" t="s">
        <v>635</v>
      </c>
      <c r="F450" s="184" t="s">
        <v>528</v>
      </c>
      <c r="G450" s="225"/>
      <c r="H450" s="27"/>
      <c r="I450" s="20" t="e">
        <f t="shared" si="9"/>
        <v>#DIV/0!</v>
      </c>
    </row>
    <row r="451" spans="1:9" ht="26.25" customHeight="1" hidden="1">
      <c r="A451" s="139" t="s">
        <v>529</v>
      </c>
      <c r="B451" s="155"/>
      <c r="C451" s="183" t="s">
        <v>132</v>
      </c>
      <c r="D451" s="183" t="s">
        <v>638</v>
      </c>
      <c r="E451" s="160" t="s">
        <v>635</v>
      </c>
      <c r="F451" s="185" t="s">
        <v>528</v>
      </c>
      <c r="G451" s="227">
        <v>300</v>
      </c>
      <c r="H451" s="34">
        <v>300</v>
      </c>
      <c r="I451" s="20">
        <f t="shared" si="9"/>
        <v>100</v>
      </c>
    </row>
    <row r="452" spans="1:9" ht="15" customHeight="1" hidden="1">
      <c r="A452" s="108" t="s">
        <v>932</v>
      </c>
      <c r="B452" s="155"/>
      <c r="C452" s="183" t="s">
        <v>132</v>
      </c>
      <c r="D452" s="183" t="s">
        <v>638</v>
      </c>
      <c r="E452" s="183" t="s">
        <v>635</v>
      </c>
      <c r="F452" s="184" t="s">
        <v>933</v>
      </c>
      <c r="G452" s="225"/>
      <c r="H452" s="27"/>
      <c r="I452" s="20" t="e">
        <f t="shared" si="9"/>
        <v>#DIV/0!</v>
      </c>
    </row>
    <row r="453" spans="1:9" ht="27.75" customHeight="1">
      <c r="A453" s="128" t="s">
        <v>303</v>
      </c>
      <c r="B453" s="155"/>
      <c r="C453" s="183" t="s">
        <v>132</v>
      </c>
      <c r="D453" s="183" t="s">
        <v>638</v>
      </c>
      <c r="E453" s="183" t="s">
        <v>530</v>
      </c>
      <c r="F453" s="184"/>
      <c r="G453" s="225">
        <f>SUM(G454:G456)</f>
        <v>5473</v>
      </c>
      <c r="H453" s="27">
        <f>SUM(H454:H456)</f>
        <v>347.3</v>
      </c>
      <c r="I453" s="20">
        <f t="shared" si="9"/>
        <v>6.345697058286132</v>
      </c>
    </row>
    <row r="454" spans="1:10" ht="15">
      <c r="A454" s="109" t="s">
        <v>641</v>
      </c>
      <c r="B454" s="155"/>
      <c r="C454" s="183" t="s">
        <v>132</v>
      </c>
      <c r="D454" s="183" t="s">
        <v>638</v>
      </c>
      <c r="E454" s="183" t="s">
        <v>530</v>
      </c>
      <c r="F454" s="158" t="s">
        <v>642</v>
      </c>
      <c r="G454" s="225">
        <v>3163</v>
      </c>
      <c r="H454" s="27"/>
      <c r="I454" s="20">
        <f t="shared" si="9"/>
        <v>0</v>
      </c>
      <c r="J454" s="246">
        <f>SUM('ведомствен.2013'!G562)</f>
        <v>3163</v>
      </c>
    </row>
    <row r="455" spans="1:9" ht="15" hidden="1">
      <c r="A455" s="105" t="s">
        <v>351</v>
      </c>
      <c r="B455" s="155"/>
      <c r="C455" s="171" t="s">
        <v>132</v>
      </c>
      <c r="D455" s="171" t="s">
        <v>638</v>
      </c>
      <c r="E455" s="171" t="s">
        <v>176</v>
      </c>
      <c r="F455" s="157" t="s">
        <v>352</v>
      </c>
      <c r="G455" s="225">
        <f>1300-1300</f>
        <v>0</v>
      </c>
      <c r="H455" s="27"/>
      <c r="I455" s="20"/>
    </row>
    <row r="456" spans="1:10" ht="13.5" customHeight="1">
      <c r="A456" s="108" t="s">
        <v>531</v>
      </c>
      <c r="B456" s="155"/>
      <c r="C456" s="183" t="s">
        <v>132</v>
      </c>
      <c r="D456" s="183" t="s">
        <v>638</v>
      </c>
      <c r="E456" s="183" t="s">
        <v>530</v>
      </c>
      <c r="F456" s="184" t="s">
        <v>532</v>
      </c>
      <c r="G456" s="225">
        <v>2310</v>
      </c>
      <c r="H456" s="27">
        <v>347.3</v>
      </c>
      <c r="I456" s="20">
        <f t="shared" si="9"/>
        <v>15.034632034632034</v>
      </c>
      <c r="J456" s="246">
        <f>SUM('ведомствен.2013'!G564)</f>
        <v>2310</v>
      </c>
    </row>
    <row r="457" spans="1:9" ht="25.5" customHeight="1" hidden="1">
      <c r="A457" s="128" t="s">
        <v>533</v>
      </c>
      <c r="B457" s="155"/>
      <c r="C457" s="183" t="s">
        <v>132</v>
      </c>
      <c r="D457" s="183" t="s">
        <v>638</v>
      </c>
      <c r="E457" s="183" t="s">
        <v>534</v>
      </c>
      <c r="F457" s="184"/>
      <c r="G457" s="225">
        <f>SUM(G458+G459)</f>
        <v>0</v>
      </c>
      <c r="H457" s="27">
        <f>SUM(H458+H459)</f>
        <v>0</v>
      </c>
      <c r="I457" s="20" t="e">
        <f t="shared" si="9"/>
        <v>#DIV/0!</v>
      </c>
    </row>
    <row r="458" spans="1:9" ht="18" customHeight="1" hidden="1">
      <c r="A458" s="105" t="s">
        <v>504</v>
      </c>
      <c r="B458" s="155"/>
      <c r="C458" s="183" t="s">
        <v>132</v>
      </c>
      <c r="D458" s="183" t="s">
        <v>638</v>
      </c>
      <c r="E458" s="183" t="s">
        <v>534</v>
      </c>
      <c r="F458" s="158" t="s">
        <v>642</v>
      </c>
      <c r="G458" s="225"/>
      <c r="H458" s="27"/>
      <c r="I458" s="20" t="e">
        <f t="shared" si="9"/>
        <v>#DIV/0!</v>
      </c>
    </row>
    <row r="459" spans="1:9" ht="21.75" customHeight="1" hidden="1">
      <c r="A459" s="108" t="s">
        <v>531</v>
      </c>
      <c r="B459" s="155"/>
      <c r="C459" s="183" t="s">
        <v>132</v>
      </c>
      <c r="D459" s="183" t="s">
        <v>638</v>
      </c>
      <c r="E459" s="183" t="s">
        <v>534</v>
      </c>
      <c r="F459" s="184" t="s">
        <v>535</v>
      </c>
      <c r="G459" s="225"/>
      <c r="H459" s="27"/>
      <c r="I459" s="20" t="e">
        <f t="shared" si="9"/>
        <v>#DIV/0!</v>
      </c>
    </row>
    <row r="460" spans="1:10" s="33" customFormat="1" ht="12" customHeight="1" hidden="1">
      <c r="A460" s="139" t="s">
        <v>536</v>
      </c>
      <c r="B460" s="160"/>
      <c r="C460" s="160" t="s">
        <v>237</v>
      </c>
      <c r="D460" s="160" t="s">
        <v>149</v>
      </c>
      <c r="E460" s="160" t="s">
        <v>129</v>
      </c>
      <c r="F460" s="218" t="s">
        <v>147</v>
      </c>
      <c r="G460" s="228">
        <v>5000</v>
      </c>
      <c r="H460" s="35">
        <v>5000</v>
      </c>
      <c r="I460" s="20">
        <f t="shared" si="9"/>
        <v>100</v>
      </c>
      <c r="J460" s="257"/>
    </row>
    <row r="461" spans="1:10" s="33" customFormat="1" ht="12" customHeight="1" hidden="1">
      <c r="A461" s="139" t="s">
        <v>59</v>
      </c>
      <c r="B461" s="155"/>
      <c r="C461" s="160" t="s">
        <v>237</v>
      </c>
      <c r="D461" s="160" t="s">
        <v>149</v>
      </c>
      <c r="E461" s="160" t="s">
        <v>129</v>
      </c>
      <c r="F461" s="218" t="s">
        <v>147</v>
      </c>
      <c r="G461" s="228">
        <v>2000</v>
      </c>
      <c r="H461" s="35">
        <v>2000</v>
      </c>
      <c r="I461" s="20">
        <f t="shared" si="9"/>
        <v>100</v>
      </c>
      <c r="J461" s="257"/>
    </row>
    <row r="462" spans="1:9" ht="42.75" customHeight="1" hidden="1">
      <c r="A462" s="106" t="s">
        <v>620</v>
      </c>
      <c r="B462" s="155"/>
      <c r="C462" s="155" t="s">
        <v>237</v>
      </c>
      <c r="D462" s="155" t="s">
        <v>608</v>
      </c>
      <c r="E462" s="155" t="s">
        <v>621</v>
      </c>
      <c r="F462" s="156"/>
      <c r="G462" s="30">
        <f>SUM(G463)</f>
        <v>0</v>
      </c>
      <c r="H462" s="20">
        <f>SUM(H463)</f>
        <v>0</v>
      </c>
      <c r="I462" s="20" t="e">
        <f t="shared" si="9"/>
        <v>#DIV/0!</v>
      </c>
    </row>
    <row r="463" spans="1:9" ht="42.75" customHeight="1" hidden="1">
      <c r="A463" s="106" t="s">
        <v>622</v>
      </c>
      <c r="B463" s="155"/>
      <c r="C463" s="155" t="s">
        <v>237</v>
      </c>
      <c r="D463" s="155" t="s">
        <v>608</v>
      </c>
      <c r="E463" s="155" t="s">
        <v>621</v>
      </c>
      <c r="F463" s="156" t="s">
        <v>623</v>
      </c>
      <c r="G463" s="30"/>
      <c r="H463" s="20"/>
      <c r="I463" s="20" t="e">
        <f t="shared" si="9"/>
        <v>#DIV/0!</v>
      </c>
    </row>
    <row r="464" spans="1:9" ht="14.25" customHeight="1" hidden="1">
      <c r="A464" s="106" t="s">
        <v>624</v>
      </c>
      <c r="B464" s="155"/>
      <c r="C464" s="155" t="s">
        <v>625</v>
      </c>
      <c r="D464" s="155"/>
      <c r="E464" s="155"/>
      <c r="F464" s="157"/>
      <c r="G464" s="30">
        <f>SUM(G468+G465)</f>
        <v>0</v>
      </c>
      <c r="H464" s="20">
        <f>SUM(H468+H465)</f>
        <v>0</v>
      </c>
      <c r="I464" s="20" t="e">
        <f t="shared" si="9"/>
        <v>#DIV/0!</v>
      </c>
    </row>
    <row r="465" spans="1:9" ht="15" customHeight="1" hidden="1">
      <c r="A465" s="106" t="s">
        <v>626</v>
      </c>
      <c r="B465" s="155"/>
      <c r="C465" s="155" t="s">
        <v>625</v>
      </c>
      <c r="D465" s="155" t="s">
        <v>627</v>
      </c>
      <c r="E465" s="155"/>
      <c r="F465" s="157"/>
      <c r="G465" s="30">
        <f>SUM(G466)</f>
        <v>0</v>
      </c>
      <c r="H465" s="20">
        <f>SUM(H466)</f>
        <v>0</v>
      </c>
      <c r="I465" s="20" t="e">
        <f t="shared" si="9"/>
        <v>#DIV/0!</v>
      </c>
    </row>
    <row r="466" spans="1:9" ht="15" customHeight="1" hidden="1">
      <c r="A466" s="106" t="s">
        <v>628</v>
      </c>
      <c r="B466" s="155"/>
      <c r="C466" s="155" t="s">
        <v>625</v>
      </c>
      <c r="D466" s="155" t="s">
        <v>627</v>
      </c>
      <c r="E466" s="155" t="s">
        <v>162</v>
      </c>
      <c r="F466" s="156"/>
      <c r="G466" s="30">
        <f>SUM(G467)</f>
        <v>0</v>
      </c>
      <c r="H466" s="20">
        <f>SUM(H467)</f>
        <v>0</v>
      </c>
      <c r="I466" s="20" t="e">
        <f t="shared" si="9"/>
        <v>#DIV/0!</v>
      </c>
    </row>
    <row r="467" spans="1:9" ht="15" customHeight="1" hidden="1">
      <c r="A467" s="106" t="s">
        <v>163</v>
      </c>
      <c r="B467" s="155"/>
      <c r="C467" s="155" t="s">
        <v>625</v>
      </c>
      <c r="D467" s="155" t="s">
        <v>627</v>
      </c>
      <c r="E467" s="155" t="s">
        <v>162</v>
      </c>
      <c r="F467" s="156" t="s">
        <v>164</v>
      </c>
      <c r="G467" s="30"/>
      <c r="H467" s="20"/>
      <c r="I467" s="20" t="e">
        <f t="shared" si="9"/>
        <v>#DIV/0!</v>
      </c>
    </row>
    <row r="468" spans="1:9" ht="15" customHeight="1" hidden="1">
      <c r="A468" s="105" t="s">
        <v>165</v>
      </c>
      <c r="B468" s="159"/>
      <c r="C468" s="159" t="s">
        <v>625</v>
      </c>
      <c r="D468" s="159" t="s">
        <v>166</v>
      </c>
      <c r="E468" s="159"/>
      <c r="F468" s="157"/>
      <c r="G468" s="30">
        <f>SUM(G469+G471)</f>
        <v>0</v>
      </c>
      <c r="H468" s="20">
        <f>SUM(H469+H471)</f>
        <v>0</v>
      </c>
      <c r="I468" s="20" t="e">
        <f t="shared" si="9"/>
        <v>#DIV/0!</v>
      </c>
    </row>
    <row r="469" spans="1:9" ht="28.5" customHeight="1" hidden="1">
      <c r="A469" s="106" t="s">
        <v>167</v>
      </c>
      <c r="B469" s="155"/>
      <c r="C469" s="155" t="s">
        <v>625</v>
      </c>
      <c r="D469" s="155" t="s">
        <v>166</v>
      </c>
      <c r="E469" s="155" t="s">
        <v>168</v>
      </c>
      <c r="F469" s="157"/>
      <c r="G469" s="30">
        <f>SUM(G470)</f>
        <v>0</v>
      </c>
      <c r="H469" s="20">
        <f>SUM(H470)</f>
        <v>0</v>
      </c>
      <c r="I469" s="20" t="e">
        <f t="shared" si="9"/>
        <v>#DIV/0!</v>
      </c>
    </row>
    <row r="470" spans="1:9" ht="15" customHeight="1" hidden="1">
      <c r="A470" s="106" t="s">
        <v>193</v>
      </c>
      <c r="B470" s="155"/>
      <c r="C470" s="155" t="s">
        <v>625</v>
      </c>
      <c r="D470" s="155" t="s">
        <v>166</v>
      </c>
      <c r="E470" s="155" t="s">
        <v>168</v>
      </c>
      <c r="F470" s="157" t="s">
        <v>181</v>
      </c>
      <c r="G470" s="30"/>
      <c r="H470" s="20"/>
      <c r="I470" s="20" t="e">
        <f t="shared" si="9"/>
        <v>#DIV/0!</v>
      </c>
    </row>
    <row r="471" spans="1:9" ht="15" customHeight="1" hidden="1">
      <c r="A471" s="105" t="s">
        <v>182</v>
      </c>
      <c r="B471" s="159"/>
      <c r="C471" s="159" t="s">
        <v>625</v>
      </c>
      <c r="D471" s="159" t="s">
        <v>166</v>
      </c>
      <c r="E471" s="159" t="s">
        <v>183</v>
      </c>
      <c r="F471" s="157"/>
      <c r="G471" s="30">
        <f>SUM(G472)</f>
        <v>0</v>
      </c>
      <c r="H471" s="20">
        <f>SUM(H472)</f>
        <v>0</v>
      </c>
      <c r="I471" s="20" t="e">
        <f aca="true" t="shared" si="10" ref="I471:I483">SUM(H471/G471*100)</f>
        <v>#DIV/0!</v>
      </c>
    </row>
    <row r="472" spans="1:9" ht="15" customHeight="1" hidden="1">
      <c r="A472" s="105" t="s">
        <v>184</v>
      </c>
      <c r="B472" s="159"/>
      <c r="C472" s="159" t="s">
        <v>625</v>
      </c>
      <c r="D472" s="159" t="s">
        <v>166</v>
      </c>
      <c r="E472" s="159" t="s">
        <v>183</v>
      </c>
      <c r="F472" s="157" t="s">
        <v>185</v>
      </c>
      <c r="G472" s="30"/>
      <c r="H472" s="20"/>
      <c r="I472" s="20" t="e">
        <f t="shared" si="10"/>
        <v>#DIV/0!</v>
      </c>
    </row>
    <row r="473" spans="1:9" ht="15" customHeight="1" hidden="1">
      <c r="A473" s="128" t="s">
        <v>613</v>
      </c>
      <c r="B473" s="183"/>
      <c r="C473" s="171" t="s">
        <v>614</v>
      </c>
      <c r="D473" s="155"/>
      <c r="E473" s="155"/>
      <c r="F473" s="156"/>
      <c r="G473" s="30">
        <f aca="true" t="shared" si="11" ref="G473:H475">SUM(G474)</f>
        <v>0</v>
      </c>
      <c r="H473" s="20">
        <f t="shared" si="11"/>
        <v>0</v>
      </c>
      <c r="I473" s="20" t="e">
        <f t="shared" si="10"/>
        <v>#DIV/0!</v>
      </c>
    </row>
    <row r="474" spans="1:9" ht="15" customHeight="1" hidden="1">
      <c r="A474" s="106" t="s">
        <v>615</v>
      </c>
      <c r="B474" s="155"/>
      <c r="C474" s="155" t="s">
        <v>614</v>
      </c>
      <c r="D474" s="155" t="s">
        <v>614</v>
      </c>
      <c r="E474" s="155"/>
      <c r="F474" s="156"/>
      <c r="G474" s="30">
        <f t="shared" si="11"/>
        <v>0</v>
      </c>
      <c r="H474" s="20">
        <f t="shared" si="11"/>
        <v>0</v>
      </c>
      <c r="I474" s="20" t="e">
        <f t="shared" si="10"/>
        <v>#DIV/0!</v>
      </c>
    </row>
    <row r="475" spans="1:9" ht="28.5" customHeight="1" hidden="1">
      <c r="A475" s="106" t="s">
        <v>616</v>
      </c>
      <c r="B475" s="155"/>
      <c r="C475" s="155" t="s">
        <v>614</v>
      </c>
      <c r="D475" s="155" t="s">
        <v>614</v>
      </c>
      <c r="E475" s="155" t="s">
        <v>617</v>
      </c>
      <c r="F475" s="156"/>
      <c r="G475" s="30">
        <f t="shared" si="11"/>
        <v>0</v>
      </c>
      <c r="H475" s="20">
        <f t="shared" si="11"/>
        <v>0</v>
      </c>
      <c r="I475" s="20" t="e">
        <f t="shared" si="10"/>
        <v>#DIV/0!</v>
      </c>
    </row>
    <row r="476" spans="1:9" ht="15" customHeight="1" hidden="1">
      <c r="A476" s="106" t="s">
        <v>618</v>
      </c>
      <c r="B476" s="155"/>
      <c r="C476" s="155" t="s">
        <v>614</v>
      </c>
      <c r="D476" s="155" t="s">
        <v>614</v>
      </c>
      <c r="E476" s="155" t="s">
        <v>617</v>
      </c>
      <c r="F476" s="156" t="s">
        <v>619</v>
      </c>
      <c r="G476" s="30"/>
      <c r="H476" s="20"/>
      <c r="I476" s="20" t="e">
        <f t="shared" si="10"/>
        <v>#DIV/0!</v>
      </c>
    </row>
    <row r="477" spans="1:9" ht="15" customHeight="1" hidden="1">
      <c r="A477" s="106" t="s">
        <v>624</v>
      </c>
      <c r="B477" s="155"/>
      <c r="C477" s="155" t="s">
        <v>625</v>
      </c>
      <c r="D477" s="155"/>
      <c r="E477" s="155"/>
      <c r="F477" s="156"/>
      <c r="G477" s="30">
        <f aca="true" t="shared" si="12" ref="G477:H479">SUM(G478)</f>
        <v>0</v>
      </c>
      <c r="H477" s="20">
        <f t="shared" si="12"/>
        <v>0</v>
      </c>
      <c r="I477" s="20" t="e">
        <f t="shared" si="10"/>
        <v>#DIV/0!</v>
      </c>
    </row>
    <row r="478" spans="1:9" ht="15" customHeight="1" hidden="1">
      <c r="A478" s="106" t="s">
        <v>60</v>
      </c>
      <c r="B478" s="155"/>
      <c r="C478" s="155" t="s">
        <v>625</v>
      </c>
      <c r="D478" s="159" t="s">
        <v>237</v>
      </c>
      <c r="E478" s="175"/>
      <c r="F478" s="176"/>
      <c r="G478" s="30">
        <f t="shared" si="12"/>
        <v>0</v>
      </c>
      <c r="H478" s="20">
        <f t="shared" si="12"/>
        <v>0</v>
      </c>
      <c r="I478" s="20" t="e">
        <f t="shared" si="10"/>
        <v>#DIV/0!</v>
      </c>
    </row>
    <row r="479" spans="1:9" ht="15" customHeight="1" hidden="1">
      <c r="A479" s="106" t="s">
        <v>61</v>
      </c>
      <c r="B479" s="155"/>
      <c r="C479" s="155" t="s">
        <v>625</v>
      </c>
      <c r="D479" s="159" t="s">
        <v>237</v>
      </c>
      <c r="E479" s="175" t="s">
        <v>62</v>
      </c>
      <c r="F479" s="176"/>
      <c r="G479" s="30">
        <f t="shared" si="12"/>
        <v>0</v>
      </c>
      <c r="H479" s="20">
        <f t="shared" si="12"/>
        <v>0</v>
      </c>
      <c r="I479" s="20" t="e">
        <f t="shared" si="10"/>
        <v>#DIV/0!</v>
      </c>
    </row>
    <row r="480" spans="1:9" ht="15" customHeight="1" hidden="1">
      <c r="A480" s="106" t="s">
        <v>63</v>
      </c>
      <c r="B480" s="155"/>
      <c r="C480" s="155" t="s">
        <v>625</v>
      </c>
      <c r="D480" s="159" t="s">
        <v>237</v>
      </c>
      <c r="E480" s="175" t="s">
        <v>62</v>
      </c>
      <c r="F480" s="176">
        <v>273</v>
      </c>
      <c r="G480" s="30"/>
      <c r="H480" s="20"/>
      <c r="I480" s="20" t="e">
        <f t="shared" si="10"/>
        <v>#DIV/0!</v>
      </c>
    </row>
    <row r="481" spans="1:12" s="19" customFormat="1" ht="15.75">
      <c r="A481" s="134" t="s">
        <v>613</v>
      </c>
      <c r="B481" s="189"/>
      <c r="C481" s="214" t="s">
        <v>614</v>
      </c>
      <c r="D481" s="214"/>
      <c r="E481" s="214"/>
      <c r="F481" s="215"/>
      <c r="G481" s="224">
        <f>SUM(G482+G533+G650+G688)</f>
        <v>1445752.9</v>
      </c>
      <c r="H481" s="26" t="e">
        <f>SUM(H482+H533+H650+H688)</f>
        <v>#REF!</v>
      </c>
      <c r="I481" s="26" t="e">
        <f t="shared" si="10"/>
        <v>#REF!</v>
      </c>
      <c r="J481" s="247"/>
      <c r="L481" s="19">
        <f>SUM('ведомствен.2013'!G568+'ведомствен.2013'!G745+'ведомствен.2013'!G1087+'ведомствен.2013'!G1198+'ведомствен.2013'!G1434)</f>
        <v>1445752.9000000001</v>
      </c>
    </row>
    <row r="482" spans="1:12" s="36" customFormat="1" ht="15">
      <c r="A482" s="106" t="s">
        <v>64</v>
      </c>
      <c r="B482" s="174"/>
      <c r="C482" s="159" t="s">
        <v>614</v>
      </c>
      <c r="D482" s="159" t="s">
        <v>237</v>
      </c>
      <c r="E482" s="159"/>
      <c r="F482" s="157"/>
      <c r="G482" s="30">
        <f>SUM(G483+G520)+G515</f>
        <v>546299</v>
      </c>
      <c r="H482" s="20">
        <f>SUM(H483+H515)</f>
        <v>222557.3</v>
      </c>
      <c r="I482" s="20">
        <f t="shared" si="10"/>
        <v>40.73910074885731</v>
      </c>
      <c r="J482" s="258"/>
      <c r="K482" s="36">
        <f>SUM(J482:J742)</f>
        <v>1445752.9000000004</v>
      </c>
      <c r="L482" s="146">
        <f>SUM(G481-K482)</f>
        <v>-4.656612873077393E-10</v>
      </c>
    </row>
    <row r="483" spans="1:11" s="36" customFormat="1" ht="15">
      <c r="A483" s="106" t="s">
        <v>65</v>
      </c>
      <c r="B483" s="174"/>
      <c r="C483" s="159" t="s">
        <v>614</v>
      </c>
      <c r="D483" s="159" t="s">
        <v>237</v>
      </c>
      <c r="E483" s="159" t="s">
        <v>66</v>
      </c>
      <c r="F483" s="157"/>
      <c r="G483" s="30">
        <f>SUM(G484+G498)</f>
        <v>525309.3</v>
      </c>
      <c r="H483" s="20">
        <f>SUM(H499)</f>
        <v>213007.5</v>
      </c>
      <c r="I483" s="20">
        <f t="shared" si="10"/>
        <v>40.548968007990716</v>
      </c>
      <c r="J483" s="258"/>
      <c r="K483" s="36">
        <f>SUM('ведомствен.2013'!G746+'ведомствен.2013'!G1199+'ведомствен.2013'!G573)</f>
        <v>546299</v>
      </c>
    </row>
    <row r="484" spans="1:13" s="36" customFormat="1" ht="27.75" customHeight="1">
      <c r="A484" s="106" t="s">
        <v>361</v>
      </c>
      <c r="B484" s="174"/>
      <c r="C484" s="159" t="s">
        <v>614</v>
      </c>
      <c r="D484" s="159" t="s">
        <v>237</v>
      </c>
      <c r="E484" s="159" t="s">
        <v>571</v>
      </c>
      <c r="F484" s="157"/>
      <c r="G484" s="30">
        <f>SUM(G487)+G496+G489+G485</f>
        <v>451666.8</v>
      </c>
      <c r="H484" s="20"/>
      <c r="I484" s="20"/>
      <c r="J484" s="258"/>
      <c r="K484" s="36">
        <f>SUM(J485:J532)</f>
        <v>546299</v>
      </c>
      <c r="M484" s="146">
        <f>SUM(G482-K484)</f>
        <v>0</v>
      </c>
    </row>
    <row r="485" spans="1:9" ht="64.5" customHeight="1" hidden="1">
      <c r="A485" s="106" t="s">
        <v>830</v>
      </c>
      <c r="B485" s="174"/>
      <c r="C485" s="159" t="s">
        <v>614</v>
      </c>
      <c r="D485" s="159" t="s">
        <v>237</v>
      </c>
      <c r="E485" s="159" t="s">
        <v>831</v>
      </c>
      <c r="F485" s="157"/>
      <c r="G485" s="30">
        <f>SUM(G486)</f>
        <v>0</v>
      </c>
      <c r="H485" s="20"/>
      <c r="I485" s="20"/>
    </row>
    <row r="486" spans="1:10" ht="28.5" customHeight="1" hidden="1">
      <c r="A486" s="106" t="s">
        <v>711</v>
      </c>
      <c r="B486" s="174"/>
      <c r="C486" s="159" t="s">
        <v>614</v>
      </c>
      <c r="D486" s="159" t="s">
        <v>237</v>
      </c>
      <c r="E486" s="159" t="s">
        <v>831</v>
      </c>
      <c r="F486" s="157" t="s">
        <v>566</v>
      </c>
      <c r="G486" s="30"/>
      <c r="H486" s="20"/>
      <c r="I486" s="20"/>
      <c r="J486" s="246">
        <f>SUM('ведомствен.2013'!G1203)</f>
        <v>0</v>
      </c>
    </row>
    <row r="487" spans="1:10" s="36" customFormat="1" ht="28.5">
      <c r="A487" s="106" t="s">
        <v>809</v>
      </c>
      <c r="B487" s="174"/>
      <c r="C487" s="159" t="s">
        <v>614</v>
      </c>
      <c r="D487" s="159" t="s">
        <v>237</v>
      </c>
      <c r="E487" s="159" t="s">
        <v>572</v>
      </c>
      <c r="F487" s="157"/>
      <c r="G487" s="30">
        <f>SUM(G488)</f>
        <v>447261</v>
      </c>
      <c r="H487" s="20"/>
      <c r="I487" s="20"/>
      <c r="J487" s="258"/>
    </row>
    <row r="488" spans="1:10" s="36" customFormat="1" ht="42.75">
      <c r="A488" s="108" t="s">
        <v>710</v>
      </c>
      <c r="B488" s="120"/>
      <c r="C488" s="159" t="s">
        <v>614</v>
      </c>
      <c r="D488" s="159" t="s">
        <v>237</v>
      </c>
      <c r="E488" s="159" t="s">
        <v>572</v>
      </c>
      <c r="F488" s="158" t="s">
        <v>485</v>
      </c>
      <c r="G488" s="30">
        <v>447261</v>
      </c>
      <c r="H488" s="20"/>
      <c r="I488" s="20"/>
      <c r="J488" s="258">
        <f>SUM('ведомствен.2013'!G1205)</f>
        <v>447261</v>
      </c>
    </row>
    <row r="489" spans="1:10" s="36" customFormat="1" ht="28.5">
      <c r="A489" s="108" t="s">
        <v>711</v>
      </c>
      <c r="B489" s="174"/>
      <c r="C489" s="159" t="s">
        <v>614</v>
      </c>
      <c r="D489" s="159" t="s">
        <v>237</v>
      </c>
      <c r="E489" s="159" t="s">
        <v>684</v>
      </c>
      <c r="F489" s="157"/>
      <c r="G489" s="30">
        <f>SUM(G495)+G491+G493</f>
        <v>2015.5</v>
      </c>
      <c r="H489" s="20"/>
      <c r="I489" s="20"/>
      <c r="J489" s="258"/>
    </row>
    <row r="490" spans="1:9" ht="30" customHeight="1">
      <c r="A490" s="108" t="s">
        <v>667</v>
      </c>
      <c r="B490" s="174"/>
      <c r="C490" s="159" t="s">
        <v>614</v>
      </c>
      <c r="D490" s="159" t="s">
        <v>237</v>
      </c>
      <c r="E490" s="159" t="s">
        <v>817</v>
      </c>
      <c r="F490" s="157"/>
      <c r="G490" s="30">
        <f>SUM(G491)</f>
        <v>295</v>
      </c>
      <c r="H490" s="20"/>
      <c r="I490" s="20"/>
    </row>
    <row r="491" spans="1:10" ht="30" customHeight="1">
      <c r="A491" s="108" t="s">
        <v>666</v>
      </c>
      <c r="B491" s="174"/>
      <c r="C491" s="159" t="s">
        <v>614</v>
      </c>
      <c r="D491" s="159" t="s">
        <v>237</v>
      </c>
      <c r="E491" s="159" t="s">
        <v>817</v>
      </c>
      <c r="F491" s="157" t="s">
        <v>566</v>
      </c>
      <c r="G491" s="30">
        <v>295</v>
      </c>
      <c r="H491" s="20"/>
      <c r="I491" s="20"/>
      <c r="J491" s="246">
        <f>SUM('ведомствен.2013'!G1208)</f>
        <v>295</v>
      </c>
    </row>
    <row r="492" spans="1:9" ht="30" customHeight="1">
      <c r="A492" s="108" t="s">
        <v>159</v>
      </c>
      <c r="B492" s="174"/>
      <c r="C492" s="159" t="s">
        <v>614</v>
      </c>
      <c r="D492" s="159" t="s">
        <v>237</v>
      </c>
      <c r="E492" s="159" t="s">
        <v>818</v>
      </c>
      <c r="F492" s="157"/>
      <c r="G492" s="30">
        <f>SUM(G493)</f>
        <v>756.3</v>
      </c>
      <c r="H492" s="20"/>
      <c r="I492" s="20"/>
    </row>
    <row r="493" spans="1:10" ht="30" customHeight="1">
      <c r="A493" s="108" t="s">
        <v>666</v>
      </c>
      <c r="B493" s="174"/>
      <c r="C493" s="159" t="s">
        <v>614</v>
      </c>
      <c r="D493" s="159" t="s">
        <v>237</v>
      </c>
      <c r="E493" s="159" t="s">
        <v>818</v>
      </c>
      <c r="F493" s="157" t="s">
        <v>566</v>
      </c>
      <c r="G493" s="30">
        <v>756.3</v>
      </c>
      <c r="H493" s="20"/>
      <c r="I493" s="20"/>
      <c r="J493" s="246">
        <f>SUM('ведомствен.2013'!G1210)</f>
        <v>756.3</v>
      </c>
    </row>
    <row r="494" spans="1:10" s="36" customFormat="1" ht="28.5">
      <c r="A494" s="106" t="s">
        <v>838</v>
      </c>
      <c r="B494" s="174"/>
      <c r="C494" s="159" t="s">
        <v>614</v>
      </c>
      <c r="D494" s="159" t="s">
        <v>237</v>
      </c>
      <c r="E494" s="159" t="s">
        <v>845</v>
      </c>
      <c r="F494" s="157"/>
      <c r="G494" s="30">
        <f>SUM(G495)</f>
        <v>964.2</v>
      </c>
      <c r="H494" s="20"/>
      <c r="I494" s="20"/>
      <c r="J494" s="258"/>
    </row>
    <row r="495" spans="1:10" s="36" customFormat="1" ht="28.5">
      <c r="A495" s="108" t="s">
        <v>666</v>
      </c>
      <c r="B495" s="174"/>
      <c r="C495" s="159" t="s">
        <v>614</v>
      </c>
      <c r="D495" s="159" t="s">
        <v>237</v>
      </c>
      <c r="E495" s="159" t="s">
        <v>845</v>
      </c>
      <c r="F495" s="157" t="s">
        <v>566</v>
      </c>
      <c r="G495" s="30">
        <v>964.2</v>
      </c>
      <c r="H495" s="20"/>
      <c r="I495" s="20"/>
      <c r="J495" s="258">
        <f>SUM('ведомствен.2013'!G1212)</f>
        <v>964.2</v>
      </c>
    </row>
    <row r="496" spans="1:10" s="36" customFormat="1" ht="28.5">
      <c r="A496" s="108" t="s">
        <v>75</v>
      </c>
      <c r="B496" s="155"/>
      <c r="C496" s="180" t="s">
        <v>614</v>
      </c>
      <c r="D496" s="180" t="s">
        <v>237</v>
      </c>
      <c r="E496" s="180" t="s">
        <v>574</v>
      </c>
      <c r="F496" s="157"/>
      <c r="G496" s="30">
        <f>SUM(G497)</f>
        <v>2390.3</v>
      </c>
      <c r="H496" s="20"/>
      <c r="I496" s="20"/>
      <c r="J496" s="258"/>
    </row>
    <row r="497" spans="1:10" s="36" customFormat="1" ht="28.5">
      <c r="A497" s="105" t="s">
        <v>711</v>
      </c>
      <c r="B497" s="120"/>
      <c r="C497" s="159" t="s">
        <v>614</v>
      </c>
      <c r="D497" s="159" t="s">
        <v>237</v>
      </c>
      <c r="E497" s="180" t="s">
        <v>574</v>
      </c>
      <c r="F497" s="158" t="s">
        <v>566</v>
      </c>
      <c r="G497" s="30">
        <v>2390.3</v>
      </c>
      <c r="H497" s="20"/>
      <c r="I497" s="20"/>
      <c r="J497" s="258">
        <f>SUM('ведомствен.2013'!G1215)</f>
        <v>2390.3</v>
      </c>
    </row>
    <row r="498" spans="1:10" s="36" customFormat="1" ht="28.5">
      <c r="A498" s="106" t="s">
        <v>482</v>
      </c>
      <c r="B498" s="174"/>
      <c r="C498" s="159" t="s">
        <v>614</v>
      </c>
      <c r="D498" s="159" t="s">
        <v>237</v>
      </c>
      <c r="E498" s="159" t="s">
        <v>67</v>
      </c>
      <c r="F498" s="157"/>
      <c r="G498" s="30">
        <f>SUM(G506+G499)+G501+G502</f>
        <v>73642.5</v>
      </c>
      <c r="H498" s="20"/>
      <c r="I498" s="20"/>
      <c r="J498" s="258"/>
    </row>
    <row r="499" spans="1:10" s="36" customFormat="1" ht="18.75" customHeight="1">
      <c r="A499" s="108" t="s">
        <v>483</v>
      </c>
      <c r="B499" s="120"/>
      <c r="C499" s="180" t="s">
        <v>614</v>
      </c>
      <c r="D499" s="180" t="s">
        <v>237</v>
      </c>
      <c r="E499" s="180" t="s">
        <v>67</v>
      </c>
      <c r="F499" s="158" t="s">
        <v>933</v>
      </c>
      <c r="G499" s="30">
        <v>73232.7</v>
      </c>
      <c r="H499" s="20">
        <f>SUM(H505+H509+H511+H513+H507)</f>
        <v>213007.5</v>
      </c>
      <c r="I499" s="20">
        <f>SUM(H499/G499*100)</f>
        <v>290.86391734839765</v>
      </c>
      <c r="J499" s="258">
        <f>SUM('ведомствен.2013'!G1217)+'ведомствен.2013'!G749</f>
        <v>73232.7</v>
      </c>
    </row>
    <row r="500" spans="1:9" ht="57" customHeight="1" hidden="1">
      <c r="A500" s="106" t="s">
        <v>830</v>
      </c>
      <c r="B500" s="120"/>
      <c r="C500" s="180" t="s">
        <v>614</v>
      </c>
      <c r="D500" s="180" t="s">
        <v>237</v>
      </c>
      <c r="E500" s="180" t="s">
        <v>70</v>
      </c>
      <c r="F500" s="158"/>
      <c r="G500" s="30">
        <f>SUM(G501)</f>
        <v>0</v>
      </c>
      <c r="H500" s="20"/>
      <c r="I500" s="20"/>
    </row>
    <row r="501" spans="1:10" ht="18.75" customHeight="1" hidden="1">
      <c r="A501" s="108" t="s">
        <v>483</v>
      </c>
      <c r="B501" s="120"/>
      <c r="C501" s="180" t="s">
        <v>614</v>
      </c>
      <c r="D501" s="180" t="s">
        <v>237</v>
      </c>
      <c r="E501" s="180" t="s">
        <v>70</v>
      </c>
      <c r="F501" s="158" t="s">
        <v>933</v>
      </c>
      <c r="G501" s="30"/>
      <c r="H501" s="20">
        <v>187516.5</v>
      </c>
      <c r="I501" s="20" t="e">
        <f>SUM(H501/G501*100)</f>
        <v>#DIV/0!</v>
      </c>
      <c r="J501" s="246">
        <f>SUM('ведомствен.2013'!G1219)</f>
        <v>0</v>
      </c>
    </row>
    <row r="502" spans="1:10" s="25" customFormat="1" ht="32.25" customHeight="1" hidden="1">
      <c r="A502" s="105" t="s">
        <v>819</v>
      </c>
      <c r="B502" s="159"/>
      <c r="C502" s="159" t="s">
        <v>614</v>
      </c>
      <c r="D502" s="159" t="s">
        <v>237</v>
      </c>
      <c r="E502" s="159" t="s">
        <v>820</v>
      </c>
      <c r="F502" s="157"/>
      <c r="G502" s="30">
        <f>SUM(G503:G504)</f>
        <v>0</v>
      </c>
      <c r="H502" s="20"/>
      <c r="I502" s="20"/>
      <c r="J502" s="250"/>
    </row>
    <row r="503" spans="1:10" s="25" customFormat="1" ht="18.75" customHeight="1" hidden="1">
      <c r="A503" s="105" t="s">
        <v>483</v>
      </c>
      <c r="B503" s="163"/>
      <c r="C503" s="159" t="s">
        <v>614</v>
      </c>
      <c r="D503" s="159" t="s">
        <v>237</v>
      </c>
      <c r="E503" s="159" t="s">
        <v>820</v>
      </c>
      <c r="F503" s="157" t="s">
        <v>933</v>
      </c>
      <c r="G503" s="30"/>
      <c r="H503" s="20">
        <v>187516.5</v>
      </c>
      <c r="I503" s="20" t="e">
        <f>SUM(H503/G503*100)</f>
        <v>#DIV/0!</v>
      </c>
      <c r="J503" s="250">
        <f>SUM('ведомствен.2013'!G1221)</f>
        <v>0</v>
      </c>
    </row>
    <row r="504" spans="1:10" s="25" customFormat="1" ht="18.75" customHeight="1" hidden="1">
      <c r="A504" s="105" t="s">
        <v>711</v>
      </c>
      <c r="B504" s="120"/>
      <c r="C504" s="159" t="s">
        <v>614</v>
      </c>
      <c r="D504" s="159" t="s">
        <v>237</v>
      </c>
      <c r="E504" s="159" t="s">
        <v>820</v>
      </c>
      <c r="F504" s="158" t="s">
        <v>566</v>
      </c>
      <c r="G504" s="30"/>
      <c r="H504" s="20"/>
      <c r="I504" s="20"/>
      <c r="J504" s="250">
        <f>SUM('ведомствен.2013'!G1222)</f>
        <v>0</v>
      </c>
    </row>
    <row r="505" spans="1:10" s="36" customFormat="1" ht="35.25" customHeight="1">
      <c r="A505" s="108" t="s">
        <v>75</v>
      </c>
      <c r="B505" s="155"/>
      <c r="C505" s="180" t="s">
        <v>614</v>
      </c>
      <c r="D505" s="180" t="s">
        <v>237</v>
      </c>
      <c r="E505" s="180" t="s">
        <v>76</v>
      </c>
      <c r="F505" s="157"/>
      <c r="G505" s="30">
        <f>SUM(G506)</f>
        <v>409.8</v>
      </c>
      <c r="H505" s="20">
        <v>187516.5</v>
      </c>
      <c r="I505" s="20">
        <f aca="true" t="shared" si="13" ref="I505:I516">SUM(H505/G505*100)</f>
        <v>45758.05270863836</v>
      </c>
      <c r="J505" s="258"/>
    </row>
    <row r="506" spans="1:10" s="36" customFormat="1" ht="15.75" customHeight="1">
      <c r="A506" s="108" t="s">
        <v>483</v>
      </c>
      <c r="B506" s="120"/>
      <c r="C506" s="180" t="s">
        <v>614</v>
      </c>
      <c r="D506" s="180" t="s">
        <v>237</v>
      </c>
      <c r="E506" s="180" t="s">
        <v>76</v>
      </c>
      <c r="F506" s="158" t="s">
        <v>933</v>
      </c>
      <c r="G506" s="30">
        <v>409.8</v>
      </c>
      <c r="H506" s="20"/>
      <c r="I506" s="20">
        <f t="shared" si="13"/>
        <v>0</v>
      </c>
      <c r="J506" s="258">
        <f>SUM('ведомствен.2013'!G1224)</f>
        <v>409.8</v>
      </c>
    </row>
    <row r="507" spans="1:9" ht="19.5" customHeight="1" hidden="1">
      <c r="A507" s="108" t="s">
        <v>830</v>
      </c>
      <c r="B507" s="120"/>
      <c r="C507" s="180" t="s">
        <v>614</v>
      </c>
      <c r="D507" s="180" t="s">
        <v>237</v>
      </c>
      <c r="E507" s="180" t="s">
        <v>70</v>
      </c>
      <c r="F507" s="158"/>
      <c r="G507" s="30">
        <f>SUM(G508)</f>
        <v>0</v>
      </c>
      <c r="H507" s="20">
        <f>SUM(H508)</f>
        <v>120.3</v>
      </c>
      <c r="I507" s="20" t="e">
        <f t="shared" si="13"/>
        <v>#DIV/0!</v>
      </c>
    </row>
    <row r="508" spans="1:9" ht="17.25" customHeight="1" hidden="1">
      <c r="A508" s="108" t="s">
        <v>71</v>
      </c>
      <c r="B508" s="120"/>
      <c r="C508" s="180" t="s">
        <v>614</v>
      </c>
      <c r="D508" s="180" t="s">
        <v>237</v>
      </c>
      <c r="E508" s="180" t="s">
        <v>70</v>
      </c>
      <c r="F508" s="158" t="s">
        <v>72</v>
      </c>
      <c r="G508" s="30"/>
      <c r="H508" s="20">
        <v>120.3</v>
      </c>
      <c r="I508" s="20" t="e">
        <f t="shared" si="13"/>
        <v>#DIV/0!</v>
      </c>
    </row>
    <row r="509" spans="1:10" s="36" customFormat="1" ht="32.25" customHeight="1" hidden="1">
      <c r="A509" s="108" t="s">
        <v>73</v>
      </c>
      <c r="B509" s="155"/>
      <c r="C509" s="180" t="s">
        <v>614</v>
      </c>
      <c r="D509" s="180" t="s">
        <v>237</v>
      </c>
      <c r="E509" s="180" t="s">
        <v>74</v>
      </c>
      <c r="F509" s="157"/>
      <c r="G509" s="30">
        <f>SUM(G510)</f>
        <v>0</v>
      </c>
      <c r="H509" s="20">
        <f>SUM(H510)</f>
        <v>24134</v>
      </c>
      <c r="I509" s="20" t="e">
        <f t="shared" si="13"/>
        <v>#DIV/0!</v>
      </c>
      <c r="J509" s="258"/>
    </row>
    <row r="510" spans="1:10" s="36" customFormat="1" ht="17.25" customHeight="1" hidden="1">
      <c r="A510" s="108" t="s">
        <v>932</v>
      </c>
      <c r="B510" s="120"/>
      <c r="C510" s="180" t="s">
        <v>614</v>
      </c>
      <c r="D510" s="180" t="s">
        <v>237</v>
      </c>
      <c r="E510" s="180" t="s">
        <v>74</v>
      </c>
      <c r="F510" s="158" t="s">
        <v>933</v>
      </c>
      <c r="G510" s="30"/>
      <c r="H510" s="20">
        <v>24134</v>
      </c>
      <c r="I510" s="20" t="e">
        <f t="shared" si="13"/>
        <v>#DIV/0!</v>
      </c>
      <c r="J510" s="258"/>
    </row>
    <row r="511" spans="1:10" s="36" customFormat="1" ht="33" customHeight="1" hidden="1">
      <c r="A511" s="108" t="s">
        <v>75</v>
      </c>
      <c r="B511" s="120"/>
      <c r="C511" s="180" t="s">
        <v>614</v>
      </c>
      <c r="D511" s="180" t="s">
        <v>237</v>
      </c>
      <c r="E511" s="180" t="s">
        <v>76</v>
      </c>
      <c r="F511" s="158"/>
      <c r="G511" s="30">
        <f>SUM(G512)</f>
        <v>0</v>
      </c>
      <c r="H511" s="20">
        <f>SUM(H512)</f>
        <v>1236.7</v>
      </c>
      <c r="I511" s="20" t="e">
        <f t="shared" si="13"/>
        <v>#DIV/0!</v>
      </c>
      <c r="J511" s="258"/>
    </row>
    <row r="512" spans="1:10" s="36" customFormat="1" ht="15.75" customHeight="1" hidden="1">
      <c r="A512" s="108" t="s">
        <v>932</v>
      </c>
      <c r="B512" s="120"/>
      <c r="C512" s="180" t="s">
        <v>614</v>
      </c>
      <c r="D512" s="180" t="s">
        <v>237</v>
      </c>
      <c r="E512" s="180" t="s">
        <v>76</v>
      </c>
      <c r="F512" s="158" t="s">
        <v>933</v>
      </c>
      <c r="G512" s="30"/>
      <c r="H512" s="20">
        <v>1236.7</v>
      </c>
      <c r="I512" s="20" t="e">
        <f t="shared" si="13"/>
        <v>#DIV/0!</v>
      </c>
      <c r="J512" s="258"/>
    </row>
    <row r="513" spans="1:10" s="36" customFormat="1" ht="26.25" customHeight="1" hidden="1">
      <c r="A513" s="106" t="s">
        <v>77</v>
      </c>
      <c r="B513" s="155"/>
      <c r="C513" s="180" t="s">
        <v>614</v>
      </c>
      <c r="D513" s="180" t="s">
        <v>237</v>
      </c>
      <c r="E513" s="180" t="s">
        <v>78</v>
      </c>
      <c r="F513" s="158"/>
      <c r="G513" s="30">
        <f>SUM(G514)</f>
        <v>0</v>
      </c>
      <c r="H513" s="20">
        <f>SUM(H514)</f>
        <v>0</v>
      </c>
      <c r="I513" s="20" t="e">
        <f t="shared" si="13"/>
        <v>#DIV/0!</v>
      </c>
      <c r="J513" s="258"/>
    </row>
    <row r="514" spans="1:10" s="36" customFormat="1" ht="21" customHeight="1" hidden="1">
      <c r="A514" s="108" t="s">
        <v>932</v>
      </c>
      <c r="B514" s="155"/>
      <c r="C514" s="180" t="s">
        <v>614</v>
      </c>
      <c r="D514" s="180" t="s">
        <v>237</v>
      </c>
      <c r="E514" s="180" t="s">
        <v>78</v>
      </c>
      <c r="F514" s="158" t="s">
        <v>933</v>
      </c>
      <c r="G514" s="30"/>
      <c r="H514" s="20"/>
      <c r="I514" s="20" t="e">
        <f t="shared" si="13"/>
        <v>#DIV/0!</v>
      </c>
      <c r="J514" s="258"/>
    </row>
    <row r="515" spans="1:15" s="36" customFormat="1" ht="15.75" customHeight="1" hidden="1">
      <c r="A515" s="106" t="s">
        <v>340</v>
      </c>
      <c r="B515" s="120"/>
      <c r="C515" s="180" t="s">
        <v>614</v>
      </c>
      <c r="D515" s="180" t="s">
        <v>237</v>
      </c>
      <c r="E515" s="159" t="s">
        <v>341</v>
      </c>
      <c r="F515" s="158"/>
      <c r="G515" s="30">
        <f>SUM(G516)</f>
        <v>0</v>
      </c>
      <c r="H515" s="20">
        <f>SUM(H516)</f>
        <v>9549.8</v>
      </c>
      <c r="I515" s="20" t="e">
        <f t="shared" si="13"/>
        <v>#DIV/0!</v>
      </c>
      <c r="J515" s="258"/>
      <c r="O515" s="146">
        <f>SUM(G515+G520)</f>
        <v>20989.7</v>
      </c>
    </row>
    <row r="516" spans="1:10" s="36" customFormat="1" ht="45" customHeight="1" hidden="1">
      <c r="A516" s="106" t="s">
        <v>659</v>
      </c>
      <c r="B516" s="120"/>
      <c r="C516" s="180" t="s">
        <v>614</v>
      </c>
      <c r="D516" s="180" t="s">
        <v>237</v>
      </c>
      <c r="E516" s="159" t="s">
        <v>80</v>
      </c>
      <c r="F516" s="158"/>
      <c r="G516" s="30">
        <f>SUM(G519+G517)+G518</f>
        <v>0</v>
      </c>
      <c r="H516" s="20">
        <f>SUM(H517)</f>
        <v>9549.8</v>
      </c>
      <c r="I516" s="20" t="e">
        <f t="shared" si="13"/>
        <v>#DIV/0!</v>
      </c>
      <c r="J516" s="258"/>
    </row>
    <row r="517" spans="1:10" ht="18.75" customHeight="1" hidden="1">
      <c r="A517" s="108" t="s">
        <v>932</v>
      </c>
      <c r="B517" s="120"/>
      <c r="C517" s="180" t="s">
        <v>614</v>
      </c>
      <c r="D517" s="180" t="s">
        <v>237</v>
      </c>
      <c r="E517" s="159" t="s">
        <v>80</v>
      </c>
      <c r="F517" s="158" t="s">
        <v>933</v>
      </c>
      <c r="G517" s="30"/>
      <c r="H517" s="20">
        <v>9549.8</v>
      </c>
      <c r="I517" s="20" t="e">
        <f aca="true" t="shared" si="14" ref="I517:I530">SUM(H517/G517*100)</f>
        <v>#DIV/0!</v>
      </c>
      <c r="J517" s="246">
        <f>SUM('ведомствен.2013'!G1241)</f>
        <v>0</v>
      </c>
    </row>
    <row r="518" spans="1:10" ht="18.75" customHeight="1" hidden="1">
      <c r="A518" s="109" t="s">
        <v>641</v>
      </c>
      <c r="B518" s="120"/>
      <c r="C518" s="180" t="s">
        <v>614</v>
      </c>
      <c r="D518" s="180" t="s">
        <v>237</v>
      </c>
      <c r="E518" s="159" t="s">
        <v>80</v>
      </c>
      <c r="F518" s="158" t="s">
        <v>642</v>
      </c>
      <c r="G518" s="30"/>
      <c r="H518" s="20">
        <v>9549.8</v>
      </c>
      <c r="I518" s="20" t="e">
        <f t="shared" si="14"/>
        <v>#DIV/0!</v>
      </c>
      <c r="J518" s="246">
        <f>SUM('ведомствен.2013'!G572)</f>
        <v>0</v>
      </c>
    </row>
    <row r="519" spans="1:10" ht="31.5" customHeight="1" hidden="1">
      <c r="A519" s="105" t="s">
        <v>711</v>
      </c>
      <c r="B519" s="120"/>
      <c r="C519" s="159" t="s">
        <v>614</v>
      </c>
      <c r="D519" s="159" t="s">
        <v>237</v>
      </c>
      <c r="E519" s="159" t="s">
        <v>80</v>
      </c>
      <c r="F519" s="158" t="s">
        <v>566</v>
      </c>
      <c r="G519" s="30"/>
      <c r="H519" s="20">
        <v>56722</v>
      </c>
      <c r="I519" s="20" t="e">
        <f t="shared" si="14"/>
        <v>#DIV/0!</v>
      </c>
      <c r="J519" s="246">
        <f>SUM('ведомствен.2013'!G1242)</f>
        <v>0</v>
      </c>
    </row>
    <row r="520" spans="1:9" ht="15">
      <c r="A520" s="106" t="s">
        <v>634</v>
      </c>
      <c r="B520" s="174"/>
      <c r="C520" s="171" t="s">
        <v>614</v>
      </c>
      <c r="D520" s="171" t="s">
        <v>237</v>
      </c>
      <c r="E520" s="171" t="s">
        <v>635</v>
      </c>
      <c r="F520" s="161"/>
      <c r="G520" s="30">
        <f>SUM(G528)+G521+G524</f>
        <v>20989.7</v>
      </c>
      <c r="H520" s="20">
        <f>SUM(H528)</f>
        <v>0</v>
      </c>
      <c r="I520" s="20">
        <f t="shared" si="14"/>
        <v>0</v>
      </c>
    </row>
    <row r="521" spans="1:10" s="25" customFormat="1" ht="42" customHeight="1" hidden="1">
      <c r="A521" s="105" t="s">
        <v>821</v>
      </c>
      <c r="B521" s="163"/>
      <c r="C521" s="171" t="s">
        <v>614</v>
      </c>
      <c r="D521" s="171" t="s">
        <v>237</v>
      </c>
      <c r="E521" s="171" t="s">
        <v>1037</v>
      </c>
      <c r="F521" s="161"/>
      <c r="G521" s="30">
        <f>SUM(G523)+G522</f>
        <v>0</v>
      </c>
      <c r="H521" s="20"/>
      <c r="I521" s="20"/>
      <c r="J521" s="250"/>
    </row>
    <row r="522" spans="1:10" s="25" customFormat="1" ht="21" customHeight="1" hidden="1">
      <c r="A522" s="108" t="s">
        <v>483</v>
      </c>
      <c r="B522" s="163"/>
      <c r="C522" s="171" t="s">
        <v>614</v>
      </c>
      <c r="D522" s="171" t="s">
        <v>237</v>
      </c>
      <c r="E522" s="171" t="s">
        <v>1037</v>
      </c>
      <c r="F522" s="161" t="s">
        <v>933</v>
      </c>
      <c r="G522" s="30"/>
      <c r="H522" s="20"/>
      <c r="I522" s="20"/>
      <c r="J522" s="250">
        <f>SUM('ведомствен.2013'!G1245)</f>
        <v>0</v>
      </c>
    </row>
    <row r="523" spans="1:10" s="25" customFormat="1" ht="28.5" customHeight="1" hidden="1">
      <c r="A523" s="105" t="s">
        <v>711</v>
      </c>
      <c r="B523" s="163"/>
      <c r="C523" s="171" t="s">
        <v>614</v>
      </c>
      <c r="D523" s="171" t="s">
        <v>237</v>
      </c>
      <c r="E523" s="171" t="s">
        <v>1037</v>
      </c>
      <c r="F523" s="161" t="s">
        <v>566</v>
      </c>
      <c r="G523" s="30"/>
      <c r="H523" s="20"/>
      <c r="I523" s="20"/>
      <c r="J523" s="250">
        <f>SUM('ведомствен.2013'!G1246)</f>
        <v>0</v>
      </c>
    </row>
    <row r="524" spans="1:10" s="25" customFormat="1" ht="28.5" customHeight="1">
      <c r="A524" s="106" t="s">
        <v>257</v>
      </c>
      <c r="B524" s="174"/>
      <c r="C524" s="171" t="s">
        <v>614</v>
      </c>
      <c r="D524" s="171" t="s">
        <v>237</v>
      </c>
      <c r="E524" s="171" t="s">
        <v>98</v>
      </c>
      <c r="F524" s="161"/>
      <c r="G524" s="30">
        <f>SUM(G525)+G526+G527</f>
        <v>20989.7</v>
      </c>
      <c r="H524" s="20"/>
      <c r="I524" s="20"/>
      <c r="J524" s="250"/>
    </row>
    <row r="525" spans="1:10" s="25" customFormat="1" ht="28.5" customHeight="1">
      <c r="A525" s="109" t="s">
        <v>641</v>
      </c>
      <c r="B525" s="120"/>
      <c r="C525" s="186" t="s">
        <v>614</v>
      </c>
      <c r="D525" s="186" t="s">
        <v>237</v>
      </c>
      <c r="E525" s="171" t="s">
        <v>98</v>
      </c>
      <c r="F525" s="187" t="s">
        <v>642</v>
      </c>
      <c r="G525" s="30">
        <v>2670</v>
      </c>
      <c r="H525" s="20"/>
      <c r="I525" s="20"/>
      <c r="J525" s="250">
        <f>SUM('ведомствен.2013'!G575)</f>
        <v>2670</v>
      </c>
    </row>
    <row r="526" spans="1:10" s="25" customFormat="1" ht="28.5" customHeight="1">
      <c r="A526" s="105" t="s">
        <v>876</v>
      </c>
      <c r="B526" s="163"/>
      <c r="C526" s="171" t="s">
        <v>614</v>
      </c>
      <c r="D526" s="171" t="s">
        <v>237</v>
      </c>
      <c r="E526" s="171" t="s">
        <v>98</v>
      </c>
      <c r="F526" s="161" t="s">
        <v>877</v>
      </c>
      <c r="G526" s="30">
        <v>8048.2</v>
      </c>
      <c r="H526" s="20"/>
      <c r="I526" s="20"/>
      <c r="J526" s="250">
        <f>SUM('ведомствен.2013'!G1248)</f>
        <v>8048.2</v>
      </c>
    </row>
    <row r="527" spans="1:10" s="25" customFormat="1" ht="28.5" customHeight="1">
      <c r="A527" s="105" t="s">
        <v>711</v>
      </c>
      <c r="B527" s="163"/>
      <c r="C527" s="171" t="s">
        <v>614</v>
      </c>
      <c r="D527" s="171" t="s">
        <v>237</v>
      </c>
      <c r="E527" s="171" t="s">
        <v>98</v>
      </c>
      <c r="F527" s="161" t="s">
        <v>566</v>
      </c>
      <c r="G527" s="30">
        <v>10271.5</v>
      </c>
      <c r="H527" s="20"/>
      <c r="I527" s="20"/>
      <c r="J527" s="250">
        <f>SUM('ведомствен.2013'!G1249)</f>
        <v>10271.5</v>
      </c>
    </row>
    <row r="528" spans="1:10" ht="42.75" hidden="1">
      <c r="A528" s="106" t="s">
        <v>486</v>
      </c>
      <c r="B528" s="174"/>
      <c r="C528" s="171" t="s">
        <v>614</v>
      </c>
      <c r="D528" s="171" t="s">
        <v>237</v>
      </c>
      <c r="E528" s="171" t="s">
        <v>487</v>
      </c>
      <c r="F528" s="161"/>
      <c r="G528" s="30">
        <f>SUM(G530,G531,G532)+G529</f>
        <v>0</v>
      </c>
      <c r="H528" s="20">
        <f>SUM(H530)</f>
        <v>0</v>
      </c>
      <c r="I528" s="20" t="e">
        <f t="shared" si="14"/>
        <v>#DIV/0!</v>
      </c>
      <c r="J528" s="250"/>
    </row>
    <row r="529" spans="1:10" ht="18.75" customHeight="1" hidden="1">
      <c r="A529" s="109" t="s">
        <v>641</v>
      </c>
      <c r="B529" s="120"/>
      <c r="C529" s="180" t="s">
        <v>614</v>
      </c>
      <c r="D529" s="180" t="s">
        <v>237</v>
      </c>
      <c r="E529" s="171" t="s">
        <v>487</v>
      </c>
      <c r="F529" s="158" t="s">
        <v>642</v>
      </c>
      <c r="G529" s="30"/>
      <c r="H529" s="20">
        <v>9549.8</v>
      </c>
      <c r="I529" s="20" t="e">
        <f t="shared" si="14"/>
        <v>#DIV/0!</v>
      </c>
      <c r="J529" s="250"/>
    </row>
    <row r="530" spans="1:10" s="25" customFormat="1" ht="15" hidden="1">
      <c r="A530" s="105" t="s">
        <v>876</v>
      </c>
      <c r="B530" s="163"/>
      <c r="C530" s="171" t="s">
        <v>614</v>
      </c>
      <c r="D530" s="171" t="s">
        <v>237</v>
      </c>
      <c r="E530" s="171" t="s">
        <v>487</v>
      </c>
      <c r="F530" s="161" t="s">
        <v>877</v>
      </c>
      <c r="G530" s="30"/>
      <c r="H530" s="20"/>
      <c r="I530" s="20" t="e">
        <f t="shared" si="14"/>
        <v>#DIV/0!</v>
      </c>
      <c r="J530" s="250">
        <f>SUM('ведомствен.2013'!G1251)</f>
        <v>0</v>
      </c>
    </row>
    <row r="531" spans="1:10" ht="42.75" hidden="1">
      <c r="A531" s="106" t="s">
        <v>362</v>
      </c>
      <c r="B531" s="120"/>
      <c r="C531" s="186" t="s">
        <v>614</v>
      </c>
      <c r="D531" s="186" t="s">
        <v>237</v>
      </c>
      <c r="E531" s="171" t="s">
        <v>487</v>
      </c>
      <c r="F531" s="187" t="s">
        <v>485</v>
      </c>
      <c r="G531" s="30"/>
      <c r="H531" s="20"/>
      <c r="I531" s="20"/>
      <c r="J531" s="250">
        <f>SUM('ведомствен.2013'!G1252)</f>
        <v>0</v>
      </c>
    </row>
    <row r="532" spans="1:10" ht="28.5" hidden="1">
      <c r="A532" s="106" t="s">
        <v>711</v>
      </c>
      <c r="B532" s="120"/>
      <c r="C532" s="186" t="s">
        <v>614</v>
      </c>
      <c r="D532" s="186" t="s">
        <v>237</v>
      </c>
      <c r="E532" s="171" t="s">
        <v>487</v>
      </c>
      <c r="F532" s="187" t="s">
        <v>566</v>
      </c>
      <c r="G532" s="30"/>
      <c r="H532" s="20"/>
      <c r="I532" s="20"/>
      <c r="J532" s="250">
        <f>SUM('ведомствен.2013'!G1253)</f>
        <v>0</v>
      </c>
    </row>
    <row r="533" spans="1:12" s="36" customFormat="1" ht="15.75" customHeight="1">
      <c r="A533" s="106" t="s">
        <v>81</v>
      </c>
      <c r="B533" s="174"/>
      <c r="C533" s="159" t="s">
        <v>614</v>
      </c>
      <c r="D533" s="159" t="s">
        <v>239</v>
      </c>
      <c r="E533" s="159"/>
      <c r="F533" s="157"/>
      <c r="G533" s="30">
        <f>SUM(G539+G582+G613+G632)+G639+G606+G622+G534+G641+G629+G643</f>
        <v>852654.8</v>
      </c>
      <c r="H533" s="20">
        <f>SUM(H539+H582+H613+H632)+H639+H606+H625+H622+H534+H641</f>
        <v>422006.39999999997</v>
      </c>
      <c r="I533" s="20">
        <f aca="true" t="shared" si="15" ref="I533:I539">SUM(H533/G533*100)</f>
        <v>49.493229851048746</v>
      </c>
      <c r="J533" s="258"/>
      <c r="L533" s="36">
        <f>SUM(J539:J649)</f>
        <v>852654.7999999998</v>
      </c>
    </row>
    <row r="534" spans="1:10" s="36" customFormat="1" ht="16.5" customHeight="1" hidden="1">
      <c r="A534" s="106" t="s">
        <v>148</v>
      </c>
      <c r="B534" s="174"/>
      <c r="C534" s="159" t="s">
        <v>614</v>
      </c>
      <c r="D534" s="159" t="s">
        <v>239</v>
      </c>
      <c r="E534" s="159" t="s">
        <v>150</v>
      </c>
      <c r="F534" s="157"/>
      <c r="G534" s="30">
        <f>SUM(G535+G537)</f>
        <v>0</v>
      </c>
      <c r="H534" s="20">
        <f>SUM(H535+H537)</f>
        <v>0</v>
      </c>
      <c r="I534" s="20" t="e">
        <f t="shared" si="15"/>
        <v>#DIV/0!</v>
      </c>
      <c r="J534" s="258"/>
    </row>
    <row r="535" spans="1:9" ht="20.25" customHeight="1" hidden="1">
      <c r="A535" s="106" t="s">
        <v>82</v>
      </c>
      <c r="B535" s="174"/>
      <c r="C535" s="159" t="s">
        <v>614</v>
      </c>
      <c r="D535" s="159" t="s">
        <v>239</v>
      </c>
      <c r="E535" s="159" t="s">
        <v>83</v>
      </c>
      <c r="F535" s="157"/>
      <c r="G535" s="30">
        <f>SUM(G536)</f>
        <v>0</v>
      </c>
      <c r="H535" s="20">
        <f>SUM(H536)</f>
        <v>0</v>
      </c>
      <c r="I535" s="20" t="e">
        <f t="shared" si="15"/>
        <v>#DIV/0!</v>
      </c>
    </row>
    <row r="536" spans="1:9" ht="20.25" customHeight="1" hidden="1">
      <c r="A536" s="108" t="s">
        <v>932</v>
      </c>
      <c r="B536" s="174"/>
      <c r="C536" s="159" t="s">
        <v>614</v>
      </c>
      <c r="D536" s="159" t="s">
        <v>239</v>
      </c>
      <c r="E536" s="159" t="s">
        <v>83</v>
      </c>
      <c r="F536" s="157" t="s">
        <v>933</v>
      </c>
      <c r="G536" s="30"/>
      <c r="H536" s="20"/>
      <c r="I536" s="20" t="e">
        <f t="shared" si="15"/>
        <v>#DIV/0!</v>
      </c>
    </row>
    <row r="537" spans="1:9" ht="20.25" customHeight="1" hidden="1">
      <c r="A537" s="106" t="s">
        <v>128</v>
      </c>
      <c r="B537" s="155"/>
      <c r="C537" s="159" t="s">
        <v>614</v>
      </c>
      <c r="D537" s="159" t="s">
        <v>239</v>
      </c>
      <c r="E537" s="155" t="s">
        <v>129</v>
      </c>
      <c r="F537" s="157"/>
      <c r="G537" s="30">
        <f>SUM(G538)</f>
        <v>0</v>
      </c>
      <c r="H537" s="20">
        <f>SUM(H538)</f>
        <v>0</v>
      </c>
      <c r="I537" s="20" t="e">
        <f t="shared" si="15"/>
        <v>#DIV/0!</v>
      </c>
    </row>
    <row r="538" spans="1:9" ht="20.25" customHeight="1" hidden="1">
      <c r="A538" s="108" t="s">
        <v>932</v>
      </c>
      <c r="B538" s="174"/>
      <c r="C538" s="159" t="s">
        <v>614</v>
      </c>
      <c r="D538" s="159" t="s">
        <v>239</v>
      </c>
      <c r="E538" s="159" t="s">
        <v>129</v>
      </c>
      <c r="F538" s="157" t="s">
        <v>933</v>
      </c>
      <c r="G538" s="30"/>
      <c r="H538" s="20"/>
      <c r="I538" s="20" t="e">
        <f t="shared" si="15"/>
        <v>#DIV/0!</v>
      </c>
    </row>
    <row r="539" spans="1:12" s="36" customFormat="1" ht="28.5" customHeight="1">
      <c r="A539" s="106" t="s">
        <v>84</v>
      </c>
      <c r="B539" s="174"/>
      <c r="C539" s="159" t="s">
        <v>614</v>
      </c>
      <c r="D539" s="159" t="s">
        <v>239</v>
      </c>
      <c r="E539" s="159" t="s">
        <v>85</v>
      </c>
      <c r="F539" s="157"/>
      <c r="G539" s="30">
        <f>SUM(G540+G561)</f>
        <v>631794.5</v>
      </c>
      <c r="H539" s="20">
        <f>SUM(H561)</f>
        <v>260775.1</v>
      </c>
      <c r="I539" s="20">
        <f t="shared" si="15"/>
        <v>41.27530391606765</v>
      </c>
      <c r="J539" s="258"/>
      <c r="L539" s="146">
        <f>SUM(G533-L533)</f>
        <v>2.3283064365386963E-10</v>
      </c>
    </row>
    <row r="540" spans="1:10" s="36" customFormat="1" ht="28.5" customHeight="1">
      <c r="A540" s="106" t="s">
        <v>361</v>
      </c>
      <c r="B540" s="174"/>
      <c r="C540" s="159" t="s">
        <v>614</v>
      </c>
      <c r="D540" s="159" t="s">
        <v>239</v>
      </c>
      <c r="E540" s="159" t="s">
        <v>575</v>
      </c>
      <c r="F540" s="157"/>
      <c r="G540" s="30">
        <f>SUM(G543+G554+G556+G558)+G545+G541</f>
        <v>290566.60000000003</v>
      </c>
      <c r="H540" s="20"/>
      <c r="I540" s="20"/>
      <c r="J540" s="258"/>
    </row>
    <row r="541" spans="1:9" ht="54" customHeight="1" hidden="1">
      <c r="A541" s="106" t="s">
        <v>830</v>
      </c>
      <c r="B541" s="174"/>
      <c r="C541" s="159" t="s">
        <v>614</v>
      </c>
      <c r="D541" s="159" t="s">
        <v>239</v>
      </c>
      <c r="E541" s="159" t="s">
        <v>832</v>
      </c>
      <c r="F541" s="157"/>
      <c r="G541" s="30">
        <f>SUM(G542)</f>
        <v>0</v>
      </c>
      <c r="H541" s="20"/>
      <c r="I541" s="20"/>
    </row>
    <row r="542" spans="1:10" ht="28.5" customHeight="1" hidden="1">
      <c r="A542" s="106" t="s">
        <v>711</v>
      </c>
      <c r="B542" s="174"/>
      <c r="C542" s="159" t="s">
        <v>614</v>
      </c>
      <c r="D542" s="159" t="s">
        <v>239</v>
      </c>
      <c r="E542" s="159" t="s">
        <v>832</v>
      </c>
      <c r="F542" s="157" t="s">
        <v>566</v>
      </c>
      <c r="G542" s="30"/>
      <c r="H542" s="20"/>
      <c r="I542" s="20"/>
      <c r="J542" s="246">
        <f>SUM('ведомствен.2013'!G1263)</f>
        <v>0</v>
      </c>
    </row>
    <row r="543" spans="1:10" s="36" customFormat="1" ht="39.75" customHeight="1">
      <c r="A543" s="106" t="s">
        <v>809</v>
      </c>
      <c r="B543" s="174"/>
      <c r="C543" s="159" t="s">
        <v>614</v>
      </c>
      <c r="D543" s="159" t="s">
        <v>239</v>
      </c>
      <c r="E543" s="159" t="s">
        <v>576</v>
      </c>
      <c r="F543" s="157"/>
      <c r="G543" s="30">
        <f>SUM(G544)</f>
        <v>59848.9</v>
      </c>
      <c r="H543" s="20"/>
      <c r="I543" s="20"/>
      <c r="J543" s="258"/>
    </row>
    <row r="544" spans="1:10" s="36" customFormat="1" ht="48" customHeight="1">
      <c r="A544" s="106" t="s">
        <v>362</v>
      </c>
      <c r="B544" s="120"/>
      <c r="C544" s="159" t="s">
        <v>614</v>
      </c>
      <c r="D544" s="159" t="s">
        <v>239</v>
      </c>
      <c r="E544" s="159" t="s">
        <v>576</v>
      </c>
      <c r="F544" s="158" t="s">
        <v>485</v>
      </c>
      <c r="G544" s="30">
        <v>59848.9</v>
      </c>
      <c r="H544" s="20"/>
      <c r="I544" s="20"/>
      <c r="J544" s="258">
        <f>SUM('ведомствен.2013'!G1265)</f>
        <v>59848.9</v>
      </c>
    </row>
    <row r="545" spans="1:10" s="36" customFormat="1" ht="30.75" customHeight="1">
      <c r="A545" s="108" t="s">
        <v>711</v>
      </c>
      <c r="B545" s="174"/>
      <c r="C545" s="159" t="s">
        <v>614</v>
      </c>
      <c r="D545" s="159" t="s">
        <v>239</v>
      </c>
      <c r="E545" s="159" t="s">
        <v>685</v>
      </c>
      <c r="F545" s="157"/>
      <c r="G545" s="30">
        <f>SUM(G553)+G551+G547+G549</f>
        <v>285.4</v>
      </c>
      <c r="H545" s="20"/>
      <c r="I545" s="20"/>
      <c r="J545" s="258"/>
    </row>
    <row r="546" spans="1:10" s="25" customFormat="1" ht="33" customHeight="1" hidden="1">
      <c r="A546" s="105" t="s">
        <v>703</v>
      </c>
      <c r="B546" s="159"/>
      <c r="C546" s="159" t="s">
        <v>614</v>
      </c>
      <c r="D546" s="159" t="s">
        <v>239</v>
      </c>
      <c r="E546" s="159" t="s">
        <v>702</v>
      </c>
      <c r="F546" s="157"/>
      <c r="G546" s="30">
        <f>SUM(G547)</f>
        <v>0</v>
      </c>
      <c r="H546" s="20"/>
      <c r="I546" s="20"/>
      <c r="J546" s="250"/>
    </row>
    <row r="547" spans="1:10" s="25" customFormat="1" ht="28.5" hidden="1">
      <c r="A547" s="105" t="s">
        <v>711</v>
      </c>
      <c r="B547" s="159"/>
      <c r="C547" s="159" t="s">
        <v>614</v>
      </c>
      <c r="D547" s="159" t="s">
        <v>239</v>
      </c>
      <c r="E547" s="159" t="s">
        <v>702</v>
      </c>
      <c r="F547" s="157" t="s">
        <v>566</v>
      </c>
      <c r="G547" s="30"/>
      <c r="H547" s="20"/>
      <c r="I547" s="20"/>
      <c r="J547" s="250">
        <f>SUM('ведомствен.2013'!G582)</f>
        <v>0</v>
      </c>
    </row>
    <row r="548" spans="1:10" s="25" customFormat="1" ht="28.5">
      <c r="A548" s="108" t="s">
        <v>240</v>
      </c>
      <c r="B548" s="174"/>
      <c r="C548" s="159" t="s">
        <v>614</v>
      </c>
      <c r="D548" s="159" t="s">
        <v>239</v>
      </c>
      <c r="E548" s="159" t="s">
        <v>244</v>
      </c>
      <c r="F548" s="157"/>
      <c r="G548" s="30">
        <f>SUM(G549)</f>
        <v>45</v>
      </c>
      <c r="H548" s="20"/>
      <c r="I548" s="20"/>
      <c r="J548" s="250"/>
    </row>
    <row r="549" spans="1:10" s="25" customFormat="1" ht="28.5">
      <c r="A549" s="108" t="s">
        <v>711</v>
      </c>
      <c r="B549" s="174"/>
      <c r="C549" s="159" t="s">
        <v>614</v>
      </c>
      <c r="D549" s="159" t="s">
        <v>239</v>
      </c>
      <c r="E549" s="159" t="s">
        <v>244</v>
      </c>
      <c r="F549" s="157" t="s">
        <v>566</v>
      </c>
      <c r="G549" s="30">
        <v>45</v>
      </c>
      <c r="H549" s="20"/>
      <c r="I549" s="20"/>
      <c r="J549" s="250">
        <f>SUM('ведомствен.2013'!G1268)</f>
        <v>45</v>
      </c>
    </row>
    <row r="550" spans="1:9" ht="33.75" customHeight="1" hidden="1">
      <c r="A550" s="106" t="s">
        <v>159</v>
      </c>
      <c r="B550" s="174"/>
      <c r="C550" s="159" t="s">
        <v>614</v>
      </c>
      <c r="D550" s="159" t="s">
        <v>239</v>
      </c>
      <c r="E550" s="159" t="s">
        <v>822</v>
      </c>
      <c r="F550" s="157"/>
      <c r="G550" s="30">
        <f>SUM(G551)</f>
        <v>0</v>
      </c>
      <c r="H550" s="20"/>
      <c r="I550" s="20"/>
    </row>
    <row r="551" spans="1:10" ht="29.25" customHeight="1" hidden="1">
      <c r="A551" s="108" t="s">
        <v>666</v>
      </c>
      <c r="B551" s="174"/>
      <c r="C551" s="159" t="s">
        <v>614</v>
      </c>
      <c r="D551" s="159" t="s">
        <v>239</v>
      </c>
      <c r="E551" s="159" t="s">
        <v>822</v>
      </c>
      <c r="F551" s="157" t="s">
        <v>566</v>
      </c>
      <c r="G551" s="30"/>
      <c r="H551" s="20"/>
      <c r="I551" s="20"/>
      <c r="J551" s="246">
        <f>SUM('ведомствен.2013'!G1270)</f>
        <v>0</v>
      </c>
    </row>
    <row r="552" spans="1:10" s="36" customFormat="1" ht="31.5" customHeight="1">
      <c r="A552" s="106" t="s">
        <v>838</v>
      </c>
      <c r="B552" s="174"/>
      <c r="C552" s="159" t="s">
        <v>614</v>
      </c>
      <c r="D552" s="159" t="s">
        <v>239</v>
      </c>
      <c r="E552" s="159" t="s">
        <v>846</v>
      </c>
      <c r="F552" s="157"/>
      <c r="G552" s="30">
        <f>SUM(G553)</f>
        <v>240.4</v>
      </c>
      <c r="H552" s="20"/>
      <c r="I552" s="20"/>
      <c r="J552" s="258"/>
    </row>
    <row r="553" spans="1:10" s="36" customFormat="1" ht="39.75" customHeight="1">
      <c r="A553" s="108" t="s">
        <v>666</v>
      </c>
      <c r="B553" s="174"/>
      <c r="C553" s="159" t="s">
        <v>614</v>
      </c>
      <c r="D553" s="159" t="s">
        <v>239</v>
      </c>
      <c r="E553" s="159" t="s">
        <v>846</v>
      </c>
      <c r="F553" s="157" t="s">
        <v>566</v>
      </c>
      <c r="G553" s="30">
        <v>240.4</v>
      </c>
      <c r="H553" s="20"/>
      <c r="I553" s="20"/>
      <c r="J553" s="258">
        <f>SUM('ведомствен.2013'!G1272)</f>
        <v>240.4</v>
      </c>
    </row>
    <row r="554" spans="1:10" s="36" customFormat="1" ht="67.5" customHeight="1">
      <c r="A554" s="108" t="s">
        <v>491</v>
      </c>
      <c r="B554" s="120"/>
      <c r="C554" s="159" t="s">
        <v>614</v>
      </c>
      <c r="D554" s="159" t="s">
        <v>239</v>
      </c>
      <c r="E554" s="159" t="s">
        <v>577</v>
      </c>
      <c r="F554" s="158"/>
      <c r="G554" s="30">
        <f>SUM(G555)</f>
        <v>4596</v>
      </c>
      <c r="H554" s="20"/>
      <c r="I554" s="20"/>
      <c r="J554" s="258"/>
    </row>
    <row r="555" spans="1:10" s="36" customFormat="1" ht="48" customHeight="1">
      <c r="A555" s="106" t="s">
        <v>362</v>
      </c>
      <c r="B555" s="120"/>
      <c r="C555" s="159" t="s">
        <v>614</v>
      </c>
      <c r="D555" s="159" t="s">
        <v>239</v>
      </c>
      <c r="E555" s="159" t="s">
        <v>577</v>
      </c>
      <c r="F555" s="158" t="s">
        <v>485</v>
      </c>
      <c r="G555" s="30">
        <v>4596</v>
      </c>
      <c r="H555" s="20"/>
      <c r="I555" s="20"/>
      <c r="J555" s="258">
        <f>SUM('ведомствен.2013'!G1274)</f>
        <v>4596</v>
      </c>
    </row>
    <row r="556" spans="1:10" s="36" customFormat="1" ht="51.75" customHeight="1">
      <c r="A556" s="108" t="s">
        <v>494</v>
      </c>
      <c r="B556" s="120"/>
      <c r="C556" s="159" t="s">
        <v>614</v>
      </c>
      <c r="D556" s="159" t="s">
        <v>239</v>
      </c>
      <c r="E556" s="159" t="s">
        <v>578</v>
      </c>
      <c r="F556" s="158"/>
      <c r="G556" s="30">
        <f>SUM(G557)</f>
        <v>341.5</v>
      </c>
      <c r="H556" s="20"/>
      <c r="I556" s="20"/>
      <c r="J556" s="258"/>
    </row>
    <row r="557" spans="1:10" s="36" customFormat="1" ht="36.75" customHeight="1">
      <c r="A557" s="105" t="s">
        <v>711</v>
      </c>
      <c r="B557" s="120"/>
      <c r="C557" s="159" t="s">
        <v>614</v>
      </c>
      <c r="D557" s="159" t="s">
        <v>239</v>
      </c>
      <c r="E557" s="180" t="s">
        <v>578</v>
      </c>
      <c r="F557" s="158" t="s">
        <v>566</v>
      </c>
      <c r="G557" s="30">
        <v>341.5</v>
      </c>
      <c r="H557" s="20"/>
      <c r="I557" s="20"/>
      <c r="J557" s="258">
        <f>SUM('ведомствен.2013'!G1276)</f>
        <v>341.5</v>
      </c>
    </row>
    <row r="558" spans="1:10" s="36" customFormat="1" ht="51" customHeight="1">
      <c r="A558" s="108" t="s">
        <v>584</v>
      </c>
      <c r="B558" s="120"/>
      <c r="C558" s="159" t="s">
        <v>614</v>
      </c>
      <c r="D558" s="159" t="s">
        <v>239</v>
      </c>
      <c r="E558" s="159" t="s">
        <v>579</v>
      </c>
      <c r="F558" s="158"/>
      <c r="G558" s="30">
        <f>SUM(G560+G559)</f>
        <v>225494.80000000002</v>
      </c>
      <c r="H558" s="20"/>
      <c r="I558" s="20"/>
      <c r="J558" s="258"/>
    </row>
    <row r="559" spans="1:10" ht="33.75" customHeight="1">
      <c r="A559" s="108" t="s">
        <v>711</v>
      </c>
      <c r="B559" s="120"/>
      <c r="C559" s="159" t="s">
        <v>614</v>
      </c>
      <c r="D559" s="159" t="s">
        <v>239</v>
      </c>
      <c r="E559" s="159" t="s">
        <v>579</v>
      </c>
      <c r="F559" s="158" t="s">
        <v>566</v>
      </c>
      <c r="G559" s="30">
        <v>2288.1</v>
      </c>
      <c r="H559" s="20"/>
      <c r="I559" s="20"/>
      <c r="J559" s="247">
        <f>SUM('ведомствен.2013'!G1278)</f>
        <v>2288.1</v>
      </c>
    </row>
    <row r="560" spans="1:10" s="36" customFormat="1" ht="45.75" customHeight="1">
      <c r="A560" s="108" t="s">
        <v>363</v>
      </c>
      <c r="B560" s="120"/>
      <c r="C560" s="159" t="s">
        <v>614</v>
      </c>
      <c r="D560" s="159" t="s">
        <v>239</v>
      </c>
      <c r="E560" s="159" t="s">
        <v>579</v>
      </c>
      <c r="F560" s="158" t="s">
        <v>875</v>
      </c>
      <c r="G560" s="30">
        <v>223206.7</v>
      </c>
      <c r="H560" s="20"/>
      <c r="I560" s="20"/>
      <c r="J560" s="258">
        <f>SUM('ведомствен.2013'!G1279)</f>
        <v>223206.7</v>
      </c>
    </row>
    <row r="561" spans="1:10" s="36" customFormat="1" ht="32.25" customHeight="1">
      <c r="A561" s="106" t="s">
        <v>482</v>
      </c>
      <c r="B561" s="174"/>
      <c r="C561" s="159" t="s">
        <v>614</v>
      </c>
      <c r="D561" s="159" t="s">
        <v>239</v>
      </c>
      <c r="E561" s="159" t="s">
        <v>86</v>
      </c>
      <c r="F561" s="157"/>
      <c r="G561" s="30">
        <f>SUM(G562+G569+G571+G575+G580+G565+G567)+G578+G573</f>
        <v>341227.9</v>
      </c>
      <c r="H561" s="20">
        <f>SUM(H562+H569+H571+H575+H580+H565+H567)+H578</f>
        <v>260775.1</v>
      </c>
      <c r="I561" s="20">
        <f aca="true" t="shared" si="16" ref="I561:I639">SUM(H561/G561*100)</f>
        <v>76.42256099222836</v>
      </c>
      <c r="J561" s="258"/>
    </row>
    <row r="562" spans="1:10" s="36" customFormat="1" ht="19.5" customHeight="1">
      <c r="A562" s="108" t="s">
        <v>483</v>
      </c>
      <c r="B562" s="120"/>
      <c r="C562" s="159" t="s">
        <v>614</v>
      </c>
      <c r="D562" s="159" t="s">
        <v>239</v>
      </c>
      <c r="E562" s="159" t="s">
        <v>86</v>
      </c>
      <c r="F562" s="158" t="s">
        <v>933</v>
      </c>
      <c r="G562" s="30">
        <v>69159.2</v>
      </c>
      <c r="H562" s="20">
        <v>53118.9</v>
      </c>
      <c r="I562" s="20">
        <f t="shared" si="16"/>
        <v>76.80670106074102</v>
      </c>
      <c r="J562" s="258">
        <f>SUM('ведомствен.2013'!G1281)+'ведомствен.2013'!G753</f>
        <v>69159.2</v>
      </c>
    </row>
    <row r="563" spans="1:10" s="36" customFormat="1" ht="47.25" customHeight="1" hidden="1">
      <c r="A563" s="108" t="s">
        <v>68</v>
      </c>
      <c r="B563" s="120"/>
      <c r="C563" s="159" t="s">
        <v>614</v>
      </c>
      <c r="D563" s="159" t="s">
        <v>239</v>
      </c>
      <c r="E563" s="159" t="s">
        <v>86</v>
      </c>
      <c r="F563" s="157" t="s">
        <v>69</v>
      </c>
      <c r="G563" s="30"/>
      <c r="H563" s="20"/>
      <c r="I563" s="20" t="e">
        <f t="shared" si="16"/>
        <v>#DIV/0!</v>
      </c>
      <c r="J563" s="258"/>
    </row>
    <row r="564" spans="1:10" s="36" customFormat="1" ht="49.5" customHeight="1" hidden="1">
      <c r="A564" s="108" t="s">
        <v>87</v>
      </c>
      <c r="B564" s="120"/>
      <c r="C564" s="159" t="s">
        <v>614</v>
      </c>
      <c r="D564" s="159" t="s">
        <v>239</v>
      </c>
      <c r="E564" s="159" t="s">
        <v>86</v>
      </c>
      <c r="F564" s="158" t="s">
        <v>88</v>
      </c>
      <c r="G564" s="30"/>
      <c r="H564" s="20"/>
      <c r="I564" s="20" t="e">
        <f t="shared" si="16"/>
        <v>#DIV/0!</v>
      </c>
      <c r="J564" s="258"/>
    </row>
    <row r="565" spans="1:10" s="36" customFormat="1" ht="67.5" customHeight="1" hidden="1">
      <c r="A565" s="108" t="s">
        <v>830</v>
      </c>
      <c r="B565" s="120"/>
      <c r="C565" s="159" t="s">
        <v>614</v>
      </c>
      <c r="D565" s="159" t="s">
        <v>239</v>
      </c>
      <c r="E565" s="180" t="s">
        <v>89</v>
      </c>
      <c r="F565" s="158"/>
      <c r="G565" s="30">
        <f>SUM(G566)</f>
        <v>0</v>
      </c>
      <c r="H565" s="20">
        <f>SUM(H566)</f>
        <v>392.5</v>
      </c>
      <c r="I565" s="20" t="e">
        <f t="shared" si="16"/>
        <v>#DIV/0!</v>
      </c>
      <c r="J565" s="258"/>
    </row>
    <row r="566" spans="1:10" s="36" customFormat="1" ht="18" customHeight="1" hidden="1">
      <c r="A566" s="108" t="s">
        <v>932</v>
      </c>
      <c r="B566" s="120"/>
      <c r="C566" s="159" t="s">
        <v>614</v>
      </c>
      <c r="D566" s="159" t="s">
        <v>239</v>
      </c>
      <c r="E566" s="180" t="s">
        <v>89</v>
      </c>
      <c r="F566" s="158" t="s">
        <v>933</v>
      </c>
      <c r="G566" s="30"/>
      <c r="H566" s="20">
        <v>392.5</v>
      </c>
      <c r="I566" s="20" t="e">
        <f t="shared" si="16"/>
        <v>#DIV/0!</v>
      </c>
      <c r="J566" s="258">
        <f>SUM('ведомствен.2013'!G1283)</f>
        <v>0</v>
      </c>
    </row>
    <row r="567" spans="1:10" s="36" customFormat="1" ht="32.25" customHeight="1" hidden="1">
      <c r="A567" s="108" t="s">
        <v>90</v>
      </c>
      <c r="B567" s="120"/>
      <c r="C567" s="159" t="s">
        <v>614</v>
      </c>
      <c r="D567" s="159" t="s">
        <v>239</v>
      </c>
      <c r="E567" s="180" t="s">
        <v>91</v>
      </c>
      <c r="F567" s="158"/>
      <c r="G567" s="30">
        <f>SUM(G568)</f>
        <v>0</v>
      </c>
      <c r="H567" s="20">
        <f>SUM(H568)</f>
        <v>0</v>
      </c>
      <c r="I567" s="20" t="e">
        <f t="shared" si="16"/>
        <v>#DIV/0!</v>
      </c>
      <c r="J567" s="258"/>
    </row>
    <row r="568" spans="1:10" s="36" customFormat="1" ht="26.25" customHeight="1" hidden="1">
      <c r="A568" s="108" t="s">
        <v>932</v>
      </c>
      <c r="B568" s="120"/>
      <c r="C568" s="159" t="s">
        <v>614</v>
      </c>
      <c r="D568" s="159" t="s">
        <v>239</v>
      </c>
      <c r="E568" s="180" t="s">
        <v>91</v>
      </c>
      <c r="F568" s="158" t="s">
        <v>933</v>
      </c>
      <c r="G568" s="30"/>
      <c r="H568" s="20"/>
      <c r="I568" s="20" t="e">
        <f t="shared" si="16"/>
        <v>#DIV/0!</v>
      </c>
      <c r="J568" s="258"/>
    </row>
    <row r="569" spans="1:10" s="36" customFormat="1" ht="60.75" customHeight="1">
      <c r="A569" s="108" t="s">
        <v>491</v>
      </c>
      <c r="B569" s="120"/>
      <c r="C569" s="159" t="s">
        <v>614</v>
      </c>
      <c r="D569" s="159" t="s">
        <v>239</v>
      </c>
      <c r="E569" s="159" t="s">
        <v>492</v>
      </c>
      <c r="F569" s="158"/>
      <c r="G569" s="30">
        <f>SUM(G570)</f>
        <v>5456</v>
      </c>
      <c r="H569" s="20">
        <f>SUM(H570)</f>
        <v>5014</v>
      </c>
      <c r="I569" s="20">
        <f t="shared" si="16"/>
        <v>91.89882697947213</v>
      </c>
      <c r="J569" s="258"/>
    </row>
    <row r="570" spans="1:10" s="36" customFormat="1" ht="22.5" customHeight="1">
      <c r="A570" s="108" t="s">
        <v>483</v>
      </c>
      <c r="B570" s="120"/>
      <c r="C570" s="159" t="s">
        <v>614</v>
      </c>
      <c r="D570" s="159" t="s">
        <v>239</v>
      </c>
      <c r="E570" s="159" t="s">
        <v>492</v>
      </c>
      <c r="F570" s="158" t="s">
        <v>933</v>
      </c>
      <c r="G570" s="30">
        <v>5456</v>
      </c>
      <c r="H570" s="20">
        <v>5014</v>
      </c>
      <c r="I570" s="20">
        <f t="shared" si="16"/>
        <v>91.89882697947213</v>
      </c>
      <c r="J570" s="258">
        <f>SUM('ведомствен.2013'!G1289)</f>
        <v>5456</v>
      </c>
    </row>
    <row r="571" spans="1:9" ht="58.5" customHeight="1" hidden="1">
      <c r="A571" s="106" t="s">
        <v>418</v>
      </c>
      <c r="B571" s="155"/>
      <c r="C571" s="159" t="s">
        <v>614</v>
      </c>
      <c r="D571" s="159" t="s">
        <v>239</v>
      </c>
      <c r="E571" s="159" t="s">
        <v>493</v>
      </c>
      <c r="F571" s="158"/>
      <c r="G571" s="30">
        <f>SUM(G572)</f>
        <v>0</v>
      </c>
      <c r="H571" s="20">
        <f>SUM(H572)</f>
        <v>0</v>
      </c>
      <c r="I571" s="20" t="e">
        <f t="shared" si="16"/>
        <v>#DIV/0!</v>
      </c>
    </row>
    <row r="572" spans="1:10" s="36" customFormat="1" ht="18" customHeight="1" hidden="1">
      <c r="A572" s="108" t="s">
        <v>932</v>
      </c>
      <c r="B572" s="120"/>
      <c r="C572" s="159" t="s">
        <v>614</v>
      </c>
      <c r="D572" s="159" t="s">
        <v>239</v>
      </c>
      <c r="E572" s="159" t="s">
        <v>493</v>
      </c>
      <c r="F572" s="158" t="s">
        <v>933</v>
      </c>
      <c r="G572" s="30"/>
      <c r="H572" s="20"/>
      <c r="I572" s="20" t="e">
        <f t="shared" si="16"/>
        <v>#DIV/0!</v>
      </c>
      <c r="J572" s="258"/>
    </row>
    <row r="573" spans="1:9" ht="42.75" hidden="1">
      <c r="A573" s="106" t="s">
        <v>819</v>
      </c>
      <c r="B573" s="155"/>
      <c r="C573" s="159" t="s">
        <v>614</v>
      </c>
      <c r="D573" s="159" t="s">
        <v>239</v>
      </c>
      <c r="E573" s="159" t="s">
        <v>823</v>
      </c>
      <c r="F573" s="158"/>
      <c r="G573" s="30">
        <f>SUM(G574)</f>
        <v>0</v>
      </c>
      <c r="H573" s="20">
        <f>SUM(H574)</f>
        <v>0</v>
      </c>
      <c r="I573" s="20" t="e">
        <f>SUM(H573/G573*100)</f>
        <v>#DIV/0!</v>
      </c>
    </row>
    <row r="574" spans="1:10" ht="15" hidden="1">
      <c r="A574" s="108" t="s">
        <v>932</v>
      </c>
      <c r="B574" s="155"/>
      <c r="C574" s="159" t="s">
        <v>614</v>
      </c>
      <c r="D574" s="159" t="s">
        <v>239</v>
      </c>
      <c r="E574" s="159" t="s">
        <v>823</v>
      </c>
      <c r="F574" s="158" t="s">
        <v>933</v>
      </c>
      <c r="G574" s="30"/>
      <c r="H574" s="20"/>
      <c r="I574" s="20" t="e">
        <f>SUM(H574/G574*100)</f>
        <v>#DIV/0!</v>
      </c>
      <c r="J574" s="246">
        <f>SUM('ведомствен.2013'!G1292)</f>
        <v>0</v>
      </c>
    </row>
    <row r="575" spans="1:9" ht="45" customHeight="1">
      <c r="A575" s="108" t="s">
        <v>494</v>
      </c>
      <c r="B575" s="120"/>
      <c r="C575" s="159" t="s">
        <v>614</v>
      </c>
      <c r="D575" s="159" t="s">
        <v>239</v>
      </c>
      <c r="E575" s="159" t="s">
        <v>495</v>
      </c>
      <c r="F575" s="158"/>
      <c r="G575" s="30">
        <f>SUM(G576)</f>
        <v>456.2</v>
      </c>
      <c r="H575" s="20">
        <f>SUM(H576)</f>
        <v>454</v>
      </c>
      <c r="I575" s="20">
        <f t="shared" si="16"/>
        <v>99.51775537045155</v>
      </c>
    </row>
    <row r="576" spans="1:10" s="36" customFormat="1" ht="18.75" customHeight="1">
      <c r="A576" s="108" t="s">
        <v>483</v>
      </c>
      <c r="B576" s="120"/>
      <c r="C576" s="159" t="s">
        <v>614</v>
      </c>
      <c r="D576" s="159" t="s">
        <v>239</v>
      </c>
      <c r="E576" s="159" t="s">
        <v>495</v>
      </c>
      <c r="F576" s="158" t="s">
        <v>933</v>
      </c>
      <c r="G576" s="30">
        <v>456.2</v>
      </c>
      <c r="H576" s="20">
        <v>454</v>
      </c>
      <c r="I576" s="20">
        <f t="shared" si="16"/>
        <v>99.51775537045155</v>
      </c>
      <c r="J576" s="258">
        <f>SUM('ведомствен.2013'!G1293)</f>
        <v>456.2</v>
      </c>
    </row>
    <row r="577" spans="1:9" ht="27" customHeight="1" hidden="1">
      <c r="A577" s="106" t="s">
        <v>28</v>
      </c>
      <c r="B577" s="120"/>
      <c r="C577" s="159" t="s">
        <v>614</v>
      </c>
      <c r="D577" s="159" t="s">
        <v>239</v>
      </c>
      <c r="E577" s="159" t="s">
        <v>86</v>
      </c>
      <c r="F577" s="158" t="s">
        <v>29</v>
      </c>
      <c r="G577" s="30"/>
      <c r="H577" s="20"/>
      <c r="I577" s="20" t="e">
        <f t="shared" si="16"/>
        <v>#DIV/0!</v>
      </c>
    </row>
    <row r="578" spans="1:9" ht="57" customHeight="1" hidden="1">
      <c r="A578" s="108" t="s">
        <v>30</v>
      </c>
      <c r="B578" s="120"/>
      <c r="C578" s="159" t="s">
        <v>614</v>
      </c>
      <c r="D578" s="159" t="s">
        <v>239</v>
      </c>
      <c r="E578" s="159" t="s">
        <v>31</v>
      </c>
      <c r="F578" s="158"/>
      <c r="G578" s="30">
        <f>SUM(G579)</f>
        <v>0</v>
      </c>
      <c r="H578" s="20">
        <f>SUM(H579)</f>
        <v>0</v>
      </c>
      <c r="I578" s="20" t="e">
        <f t="shared" si="16"/>
        <v>#DIV/0!</v>
      </c>
    </row>
    <row r="579" spans="1:9" ht="25.5" customHeight="1" hidden="1">
      <c r="A579" s="108" t="s">
        <v>32</v>
      </c>
      <c r="B579" s="120"/>
      <c r="C579" s="159" t="s">
        <v>614</v>
      </c>
      <c r="D579" s="159" t="s">
        <v>239</v>
      </c>
      <c r="E579" s="159" t="s">
        <v>31</v>
      </c>
      <c r="F579" s="158" t="s">
        <v>33</v>
      </c>
      <c r="G579" s="30"/>
      <c r="H579" s="20"/>
      <c r="I579" s="20" t="e">
        <f t="shared" si="16"/>
        <v>#DIV/0!</v>
      </c>
    </row>
    <row r="580" spans="1:9" ht="62.25" customHeight="1">
      <c r="A580" s="108" t="s">
        <v>34</v>
      </c>
      <c r="B580" s="120"/>
      <c r="C580" s="159" t="s">
        <v>614</v>
      </c>
      <c r="D580" s="159" t="s">
        <v>239</v>
      </c>
      <c r="E580" s="159" t="s">
        <v>35</v>
      </c>
      <c r="F580" s="158"/>
      <c r="G580" s="30">
        <f>SUM(G581)</f>
        <v>266156.5</v>
      </c>
      <c r="H580" s="20">
        <f>SUM(H581)</f>
        <v>201795.7</v>
      </c>
      <c r="I580" s="20">
        <f t="shared" si="16"/>
        <v>75.81843764852634</v>
      </c>
    </row>
    <row r="581" spans="1:10" ht="20.25" customHeight="1">
      <c r="A581" s="108" t="s">
        <v>483</v>
      </c>
      <c r="B581" s="120"/>
      <c r="C581" s="159" t="s">
        <v>614</v>
      </c>
      <c r="D581" s="159" t="s">
        <v>239</v>
      </c>
      <c r="E581" s="159" t="s">
        <v>35</v>
      </c>
      <c r="F581" s="158" t="s">
        <v>933</v>
      </c>
      <c r="G581" s="30">
        <v>266156.5</v>
      </c>
      <c r="H581" s="20">
        <v>201795.7</v>
      </c>
      <c r="I581" s="20">
        <f t="shared" si="16"/>
        <v>75.81843764852634</v>
      </c>
      <c r="J581" s="258">
        <f>SUM('ведомствен.2013'!G1298)</f>
        <v>266156.5</v>
      </c>
    </row>
    <row r="582" spans="1:9" ht="18" customHeight="1">
      <c r="A582" s="106" t="s">
        <v>36</v>
      </c>
      <c r="B582" s="155"/>
      <c r="C582" s="159" t="s">
        <v>614</v>
      </c>
      <c r="D582" s="159" t="s">
        <v>239</v>
      </c>
      <c r="E582" s="159" t="s">
        <v>37</v>
      </c>
      <c r="F582" s="157"/>
      <c r="G582" s="30">
        <f>SUM(G597)+G583</f>
        <v>114215.09999999999</v>
      </c>
      <c r="H582" s="20">
        <f>SUM(H597)</f>
        <v>113444</v>
      </c>
      <c r="I582" s="20">
        <f t="shared" si="16"/>
        <v>99.32487035427016</v>
      </c>
    </row>
    <row r="583" spans="1:9" ht="27.75" customHeight="1">
      <c r="A583" s="106" t="s">
        <v>361</v>
      </c>
      <c r="B583" s="174"/>
      <c r="C583" s="159" t="s">
        <v>614</v>
      </c>
      <c r="D583" s="159" t="s">
        <v>239</v>
      </c>
      <c r="E583" s="159" t="s">
        <v>559</v>
      </c>
      <c r="F583" s="157"/>
      <c r="G583" s="30">
        <f>SUM(G586)+G595+G588+G584</f>
        <v>114215.09999999999</v>
      </c>
      <c r="H583" s="20">
        <f>SUM(H587+H620+H618)</f>
        <v>70597.40000000001</v>
      </c>
      <c r="I583" s="20">
        <f t="shared" si="16"/>
        <v>61.81091641998301</v>
      </c>
    </row>
    <row r="584" spans="1:9" ht="28.5" customHeight="1" hidden="1">
      <c r="A584" s="106" t="s">
        <v>830</v>
      </c>
      <c r="B584" s="174"/>
      <c r="C584" s="159" t="s">
        <v>614</v>
      </c>
      <c r="D584" s="159" t="s">
        <v>239</v>
      </c>
      <c r="E584" s="159" t="s">
        <v>833</v>
      </c>
      <c r="F584" s="157"/>
      <c r="G584" s="30">
        <f>SUM(G585)</f>
        <v>0</v>
      </c>
      <c r="H584" s="20"/>
      <c r="I584" s="20"/>
    </row>
    <row r="585" spans="1:10" ht="28.5" customHeight="1" hidden="1">
      <c r="A585" s="106" t="s">
        <v>711</v>
      </c>
      <c r="B585" s="174"/>
      <c r="C585" s="159" t="s">
        <v>614</v>
      </c>
      <c r="D585" s="159" t="s">
        <v>239</v>
      </c>
      <c r="E585" s="159" t="s">
        <v>833</v>
      </c>
      <c r="F585" s="157" t="s">
        <v>566</v>
      </c>
      <c r="G585" s="30"/>
      <c r="H585" s="20"/>
      <c r="I585" s="20"/>
      <c r="J585" s="246">
        <f>SUM('ведомствен.2013'!G1303)</f>
        <v>0</v>
      </c>
    </row>
    <row r="586" spans="1:9" ht="43.5" customHeight="1">
      <c r="A586" s="106" t="s">
        <v>585</v>
      </c>
      <c r="B586" s="174"/>
      <c r="C586" s="159" t="s">
        <v>614</v>
      </c>
      <c r="D586" s="159" t="s">
        <v>239</v>
      </c>
      <c r="E586" s="159" t="s">
        <v>560</v>
      </c>
      <c r="F586" s="157"/>
      <c r="G586" s="30">
        <f>SUM(G587)</f>
        <v>113340.7</v>
      </c>
      <c r="H586" s="20"/>
      <c r="I586" s="20"/>
    </row>
    <row r="587" spans="1:10" ht="44.25" customHeight="1">
      <c r="A587" s="108" t="s">
        <v>710</v>
      </c>
      <c r="B587" s="120"/>
      <c r="C587" s="159" t="s">
        <v>614</v>
      </c>
      <c r="D587" s="159" t="s">
        <v>239</v>
      </c>
      <c r="E587" s="159" t="s">
        <v>560</v>
      </c>
      <c r="F587" s="158" t="s">
        <v>485</v>
      </c>
      <c r="G587" s="30">
        <v>113340.7</v>
      </c>
      <c r="H587" s="20">
        <v>56722</v>
      </c>
      <c r="I587" s="20">
        <f t="shared" si="16"/>
        <v>50.045570567324894</v>
      </c>
      <c r="J587" s="246">
        <f>SUM('ведомствен.2013'!G1439)+'ведомствен.2013'!G1305+'ведомствен.2013'!G1092</f>
        <v>113340.7</v>
      </c>
    </row>
    <row r="588" spans="1:9" ht="34.5" customHeight="1">
      <c r="A588" s="108" t="s">
        <v>711</v>
      </c>
      <c r="B588" s="174"/>
      <c r="C588" s="159" t="s">
        <v>614</v>
      </c>
      <c r="D588" s="159" t="s">
        <v>239</v>
      </c>
      <c r="E588" s="159" t="s">
        <v>680</v>
      </c>
      <c r="F588" s="157"/>
      <c r="G588" s="30">
        <f>SUM(G594+G591+G589)</f>
        <v>833.9000000000001</v>
      </c>
      <c r="H588" s="20"/>
      <c r="I588" s="20"/>
    </row>
    <row r="589" spans="1:9" ht="34.5" customHeight="1">
      <c r="A589" s="108" t="s">
        <v>240</v>
      </c>
      <c r="B589" s="120"/>
      <c r="C589" s="159" t="s">
        <v>614</v>
      </c>
      <c r="D589" s="159" t="s">
        <v>239</v>
      </c>
      <c r="E589" s="159" t="s">
        <v>241</v>
      </c>
      <c r="F589" s="158"/>
      <c r="G589" s="30">
        <f>SUM(G590)</f>
        <v>291.8</v>
      </c>
      <c r="H589" s="20"/>
      <c r="I589" s="20"/>
    </row>
    <row r="590" spans="1:10" ht="34.5" customHeight="1">
      <c r="A590" s="108" t="s">
        <v>711</v>
      </c>
      <c r="B590" s="120"/>
      <c r="C590" s="159" t="s">
        <v>614</v>
      </c>
      <c r="D590" s="159" t="s">
        <v>239</v>
      </c>
      <c r="E590" s="159" t="s">
        <v>241</v>
      </c>
      <c r="F590" s="158" t="s">
        <v>566</v>
      </c>
      <c r="G590" s="30">
        <v>291.8</v>
      </c>
      <c r="H590" s="20"/>
      <c r="I590" s="20"/>
      <c r="J590" s="246">
        <f>SUM('ведомствен.2013'!G1442)</f>
        <v>291.8</v>
      </c>
    </row>
    <row r="591" spans="1:9" ht="34.5" customHeight="1">
      <c r="A591" s="108" t="s">
        <v>159</v>
      </c>
      <c r="B591" s="174"/>
      <c r="C591" s="159" t="s">
        <v>614</v>
      </c>
      <c r="D591" s="159" t="s">
        <v>239</v>
      </c>
      <c r="E591" s="159" t="s">
        <v>850</v>
      </c>
      <c r="F591" s="157"/>
      <c r="G591" s="30">
        <f>SUM(G592)</f>
        <v>200</v>
      </c>
      <c r="H591" s="20"/>
      <c r="I591" s="20"/>
    </row>
    <row r="592" spans="1:10" ht="34.5" customHeight="1">
      <c r="A592" s="108" t="s">
        <v>666</v>
      </c>
      <c r="B592" s="174"/>
      <c r="C592" s="159" t="s">
        <v>614</v>
      </c>
      <c r="D592" s="159" t="s">
        <v>239</v>
      </c>
      <c r="E592" s="159" t="s">
        <v>850</v>
      </c>
      <c r="F592" s="157" t="s">
        <v>566</v>
      </c>
      <c r="G592" s="30">
        <v>200</v>
      </c>
      <c r="H592" s="20"/>
      <c r="I592" s="20"/>
      <c r="J592" s="246">
        <f>SUM('ведомствен.2013'!G1095)</f>
        <v>200</v>
      </c>
    </row>
    <row r="593" spans="1:9" ht="34.5" customHeight="1">
      <c r="A593" s="106" t="s">
        <v>838</v>
      </c>
      <c r="B593" s="174"/>
      <c r="C593" s="159" t="s">
        <v>614</v>
      </c>
      <c r="D593" s="159" t="s">
        <v>239</v>
      </c>
      <c r="E593" s="159" t="s">
        <v>844</v>
      </c>
      <c r="F593" s="157"/>
      <c r="G593" s="30">
        <f>SUM(G594)</f>
        <v>342.1</v>
      </c>
      <c r="H593" s="20"/>
      <c r="I593" s="20"/>
    </row>
    <row r="594" spans="1:10" ht="40.5" customHeight="1">
      <c r="A594" s="108" t="s">
        <v>666</v>
      </c>
      <c r="B594" s="174"/>
      <c r="C594" s="159" t="s">
        <v>614</v>
      </c>
      <c r="D594" s="159" t="s">
        <v>239</v>
      </c>
      <c r="E594" s="159" t="s">
        <v>844</v>
      </c>
      <c r="F594" s="157" t="s">
        <v>566</v>
      </c>
      <c r="G594" s="30">
        <v>342.1</v>
      </c>
      <c r="H594" s="20"/>
      <c r="I594" s="20"/>
      <c r="J594" s="246">
        <f>SUM('ведомствен.2013'!G1097+'ведомствен.2013'!G1444)</f>
        <v>342.1</v>
      </c>
    </row>
    <row r="595" spans="1:9" ht="42.75">
      <c r="A595" s="108" t="s">
        <v>494</v>
      </c>
      <c r="B595" s="120"/>
      <c r="C595" s="159" t="s">
        <v>614</v>
      </c>
      <c r="D595" s="159" t="s">
        <v>239</v>
      </c>
      <c r="E595" s="159" t="s">
        <v>562</v>
      </c>
      <c r="F595" s="158"/>
      <c r="G595" s="30">
        <f>SUM(G596)</f>
        <v>40.5</v>
      </c>
      <c r="H595" s="20">
        <f>SUM(H596)</f>
        <v>1305.1</v>
      </c>
      <c r="I595" s="20">
        <f>SUM(H595/G595*100)</f>
        <v>3222.4691358024693</v>
      </c>
    </row>
    <row r="596" spans="1:10" ht="30" customHeight="1">
      <c r="A596" s="108" t="s">
        <v>711</v>
      </c>
      <c r="B596" s="120"/>
      <c r="C596" s="159" t="s">
        <v>614</v>
      </c>
      <c r="D596" s="159" t="s">
        <v>239</v>
      </c>
      <c r="E596" s="159" t="s">
        <v>562</v>
      </c>
      <c r="F596" s="158" t="s">
        <v>566</v>
      </c>
      <c r="G596" s="30">
        <v>40.5</v>
      </c>
      <c r="H596" s="20">
        <v>1305.1</v>
      </c>
      <c r="I596" s="20">
        <f>SUM(H596/G596*100)</f>
        <v>3222.4691358024693</v>
      </c>
      <c r="J596" s="246">
        <f>SUM('ведомствен.2013'!G1446)</f>
        <v>40.5</v>
      </c>
    </row>
    <row r="597" spans="1:9" ht="30.75" customHeight="1" hidden="1">
      <c r="A597" s="106" t="s">
        <v>482</v>
      </c>
      <c r="B597" s="174"/>
      <c r="C597" s="159" t="s">
        <v>614</v>
      </c>
      <c r="D597" s="159" t="s">
        <v>239</v>
      </c>
      <c r="E597" s="159" t="s">
        <v>38</v>
      </c>
      <c r="F597" s="157"/>
      <c r="G597" s="30">
        <f>SUM(G598+G603+G601)</f>
        <v>0</v>
      </c>
      <c r="H597" s="20">
        <f>SUM(H598+H603+H601)</f>
        <v>113444</v>
      </c>
      <c r="I597" s="20" t="e">
        <f t="shared" si="16"/>
        <v>#DIV/0!</v>
      </c>
    </row>
    <row r="598" spans="1:10" ht="19.5" customHeight="1" hidden="1">
      <c r="A598" s="108" t="s">
        <v>483</v>
      </c>
      <c r="B598" s="120"/>
      <c r="C598" s="159" t="s">
        <v>614</v>
      </c>
      <c r="D598" s="159" t="s">
        <v>239</v>
      </c>
      <c r="E598" s="159" t="s">
        <v>38</v>
      </c>
      <c r="F598" s="158" t="s">
        <v>933</v>
      </c>
      <c r="G598" s="30"/>
      <c r="H598" s="20">
        <v>56722</v>
      </c>
      <c r="I598" s="20" t="e">
        <f t="shared" si="16"/>
        <v>#DIV/0!</v>
      </c>
      <c r="J598" s="246">
        <f>SUM('ведомствен.2013'!G756)</f>
        <v>0</v>
      </c>
    </row>
    <row r="599" spans="1:9" ht="45.75" customHeight="1" hidden="1">
      <c r="A599" s="108" t="s">
        <v>39</v>
      </c>
      <c r="B599" s="120"/>
      <c r="C599" s="159" t="s">
        <v>614</v>
      </c>
      <c r="D599" s="159" t="s">
        <v>239</v>
      </c>
      <c r="E599" s="159" t="s">
        <v>38</v>
      </c>
      <c r="F599" s="158" t="s">
        <v>40</v>
      </c>
      <c r="G599" s="30"/>
      <c r="H599" s="20"/>
      <c r="I599" s="20" t="e">
        <f t="shared" si="16"/>
        <v>#DIV/0!</v>
      </c>
    </row>
    <row r="600" spans="1:10" s="36" customFormat="1" ht="47.25" customHeight="1" hidden="1">
      <c r="A600" s="108" t="s">
        <v>68</v>
      </c>
      <c r="B600" s="120"/>
      <c r="C600" s="159" t="s">
        <v>614</v>
      </c>
      <c r="D600" s="159" t="s">
        <v>239</v>
      </c>
      <c r="E600" s="159" t="s">
        <v>38</v>
      </c>
      <c r="F600" s="157" t="s">
        <v>69</v>
      </c>
      <c r="G600" s="30"/>
      <c r="H600" s="20"/>
      <c r="I600" s="20" t="e">
        <f t="shared" si="16"/>
        <v>#DIV/0!</v>
      </c>
      <c r="J600" s="258"/>
    </row>
    <row r="601" spans="1:10" s="36" customFormat="1" ht="66.75" customHeight="1" hidden="1">
      <c r="A601" s="108" t="s">
        <v>830</v>
      </c>
      <c r="B601" s="120"/>
      <c r="C601" s="159" t="s">
        <v>614</v>
      </c>
      <c r="D601" s="159" t="s">
        <v>239</v>
      </c>
      <c r="E601" s="180" t="s">
        <v>41</v>
      </c>
      <c r="F601" s="158"/>
      <c r="G601" s="30">
        <f>SUM(G602)</f>
        <v>0</v>
      </c>
      <c r="H601" s="20">
        <f>SUM(H602)</f>
        <v>56722</v>
      </c>
      <c r="I601" s="20" t="e">
        <f t="shared" si="16"/>
        <v>#DIV/0!</v>
      </c>
      <c r="J601" s="258"/>
    </row>
    <row r="602" spans="1:10" ht="18.75" customHeight="1" hidden="1">
      <c r="A602" s="108" t="s">
        <v>483</v>
      </c>
      <c r="B602" s="120"/>
      <c r="C602" s="159" t="s">
        <v>614</v>
      </c>
      <c r="D602" s="159" t="s">
        <v>239</v>
      </c>
      <c r="E602" s="180" t="s">
        <v>41</v>
      </c>
      <c r="F602" s="158" t="s">
        <v>933</v>
      </c>
      <c r="G602" s="30"/>
      <c r="H602" s="20">
        <v>56722</v>
      </c>
      <c r="I602" s="20" t="e">
        <f>SUM(H602/G602*100)</f>
        <v>#DIV/0!</v>
      </c>
      <c r="J602" s="246">
        <f>SUM('ведомствен.2013'!G1320)</f>
        <v>0</v>
      </c>
    </row>
    <row r="603" spans="1:10" s="36" customFormat="1" ht="65.25" customHeight="1" hidden="1">
      <c r="A603" s="106" t="s">
        <v>418</v>
      </c>
      <c r="B603" s="120"/>
      <c r="C603" s="159" t="s">
        <v>614</v>
      </c>
      <c r="D603" s="159" t="s">
        <v>239</v>
      </c>
      <c r="E603" s="159" t="s">
        <v>42</v>
      </c>
      <c r="F603" s="158"/>
      <c r="G603" s="30">
        <f>SUM(G604)</f>
        <v>0</v>
      </c>
      <c r="H603" s="20">
        <f>SUM(H604)</f>
        <v>0</v>
      </c>
      <c r="I603" s="20" t="e">
        <f t="shared" si="16"/>
        <v>#DIV/0!</v>
      </c>
      <c r="J603" s="258"/>
    </row>
    <row r="604" spans="1:9" ht="15.75" customHeight="1" hidden="1">
      <c r="A604" s="108" t="s">
        <v>932</v>
      </c>
      <c r="B604" s="120"/>
      <c r="C604" s="159" t="s">
        <v>614</v>
      </c>
      <c r="D604" s="159" t="s">
        <v>239</v>
      </c>
      <c r="E604" s="159" t="s">
        <v>42</v>
      </c>
      <c r="F604" s="158" t="s">
        <v>933</v>
      </c>
      <c r="G604" s="30"/>
      <c r="H604" s="20"/>
      <c r="I604" s="20" t="e">
        <f t="shared" si="16"/>
        <v>#DIV/0!</v>
      </c>
    </row>
    <row r="605" spans="1:9" ht="32.25" customHeight="1" hidden="1">
      <c r="A605" s="106" t="s">
        <v>28</v>
      </c>
      <c r="B605" s="120"/>
      <c r="C605" s="159" t="s">
        <v>614</v>
      </c>
      <c r="D605" s="159" t="s">
        <v>239</v>
      </c>
      <c r="E605" s="159" t="s">
        <v>38</v>
      </c>
      <c r="F605" s="158" t="s">
        <v>29</v>
      </c>
      <c r="G605" s="30"/>
      <c r="H605" s="20"/>
      <c r="I605" s="20" t="e">
        <f t="shared" si="16"/>
        <v>#DIV/0!</v>
      </c>
    </row>
    <row r="606" spans="1:10" s="2" customFormat="1" ht="17.25" customHeight="1">
      <c r="A606" s="106" t="s">
        <v>43</v>
      </c>
      <c r="B606" s="155"/>
      <c r="C606" s="159" t="s">
        <v>614</v>
      </c>
      <c r="D606" s="159" t="s">
        <v>239</v>
      </c>
      <c r="E606" s="159" t="s">
        <v>44</v>
      </c>
      <c r="F606" s="184"/>
      <c r="G606" s="30">
        <f>SUM(G607)</f>
        <v>49344.2</v>
      </c>
      <c r="H606" s="20">
        <f>SUM(H607)</f>
        <v>25662.5</v>
      </c>
      <c r="I606" s="20">
        <f t="shared" si="16"/>
        <v>52.00712545750058</v>
      </c>
      <c r="J606" s="253"/>
    </row>
    <row r="607" spans="1:10" s="2" customFormat="1" ht="28.5" customHeight="1">
      <c r="A607" s="106" t="s">
        <v>482</v>
      </c>
      <c r="B607" s="155"/>
      <c r="C607" s="159" t="s">
        <v>614</v>
      </c>
      <c r="D607" s="159" t="s">
        <v>239</v>
      </c>
      <c r="E607" s="159" t="s">
        <v>45</v>
      </c>
      <c r="F607" s="184"/>
      <c r="G607" s="30">
        <f>SUM(G611+G609)+G608</f>
        <v>49344.2</v>
      </c>
      <c r="H607" s="20">
        <f>SUM(H611+H609+H608)</f>
        <v>25662.5</v>
      </c>
      <c r="I607" s="20">
        <f t="shared" si="16"/>
        <v>52.00712545750058</v>
      </c>
      <c r="J607" s="253"/>
    </row>
    <row r="608" spans="1:10" s="2" customFormat="1" ht="21" customHeight="1" hidden="1">
      <c r="A608" s="108" t="s">
        <v>483</v>
      </c>
      <c r="B608" s="155"/>
      <c r="C608" s="159" t="s">
        <v>614</v>
      </c>
      <c r="D608" s="159" t="s">
        <v>239</v>
      </c>
      <c r="E608" s="155" t="s">
        <v>46</v>
      </c>
      <c r="F608" s="157" t="s">
        <v>933</v>
      </c>
      <c r="G608" s="30"/>
      <c r="H608" s="20"/>
      <c r="I608" s="20" t="e">
        <f t="shared" si="16"/>
        <v>#DIV/0!</v>
      </c>
      <c r="J608" s="253">
        <f>SUM('ведомствен.2013'!G759)</f>
        <v>0</v>
      </c>
    </row>
    <row r="609" spans="1:10" s="2" customFormat="1" ht="47.25" customHeight="1">
      <c r="A609" s="108" t="s">
        <v>494</v>
      </c>
      <c r="B609" s="120"/>
      <c r="C609" s="159" t="s">
        <v>614</v>
      </c>
      <c r="D609" s="159" t="s">
        <v>239</v>
      </c>
      <c r="E609" s="159" t="s">
        <v>47</v>
      </c>
      <c r="F609" s="158"/>
      <c r="G609" s="30">
        <f>SUM(G610)</f>
        <v>38.5</v>
      </c>
      <c r="H609" s="20">
        <f>SUM(H610)</f>
        <v>27.5</v>
      </c>
      <c r="I609" s="20">
        <f t="shared" si="16"/>
        <v>71.42857142857143</v>
      </c>
      <c r="J609" s="253"/>
    </row>
    <row r="610" spans="1:10" s="2" customFormat="1" ht="18.75" customHeight="1">
      <c r="A610" s="108" t="s">
        <v>483</v>
      </c>
      <c r="B610" s="155"/>
      <c r="C610" s="159" t="s">
        <v>614</v>
      </c>
      <c r="D610" s="159" t="s">
        <v>239</v>
      </c>
      <c r="E610" s="159" t="s">
        <v>47</v>
      </c>
      <c r="F610" s="157" t="s">
        <v>933</v>
      </c>
      <c r="G610" s="30">
        <v>38.5</v>
      </c>
      <c r="H610" s="20">
        <v>27.5</v>
      </c>
      <c r="I610" s="20">
        <f t="shared" si="16"/>
        <v>71.42857142857143</v>
      </c>
      <c r="J610" s="253">
        <f>SUM('ведомствен.2013'!G761)</f>
        <v>38.5</v>
      </c>
    </row>
    <row r="611" spans="1:10" s="2" customFormat="1" ht="71.25" customHeight="1">
      <c r="A611" s="106" t="s">
        <v>263</v>
      </c>
      <c r="B611" s="155"/>
      <c r="C611" s="159" t="s">
        <v>614</v>
      </c>
      <c r="D611" s="159" t="s">
        <v>239</v>
      </c>
      <c r="E611" s="159" t="s">
        <v>51</v>
      </c>
      <c r="F611" s="184"/>
      <c r="G611" s="30">
        <f>SUM(G612)</f>
        <v>49305.7</v>
      </c>
      <c r="H611" s="20">
        <f>SUM(H612)</f>
        <v>25635</v>
      </c>
      <c r="I611" s="20">
        <f t="shared" si="16"/>
        <v>51.991960361580915</v>
      </c>
      <c r="J611" s="253"/>
    </row>
    <row r="612" spans="1:10" s="2" customFormat="1" ht="15">
      <c r="A612" s="108" t="s">
        <v>483</v>
      </c>
      <c r="B612" s="155"/>
      <c r="C612" s="159" t="s">
        <v>614</v>
      </c>
      <c r="D612" s="159" t="s">
        <v>239</v>
      </c>
      <c r="E612" s="159" t="s">
        <v>51</v>
      </c>
      <c r="F612" s="184" t="s">
        <v>933</v>
      </c>
      <c r="G612" s="30">
        <v>49305.7</v>
      </c>
      <c r="H612" s="20">
        <v>25635</v>
      </c>
      <c r="I612" s="20">
        <f t="shared" si="16"/>
        <v>51.991960361580915</v>
      </c>
      <c r="J612" s="253">
        <f>SUM('ведомствен.2013'!G763)</f>
        <v>49305.7</v>
      </c>
    </row>
    <row r="613" spans="1:9" ht="18" customHeight="1">
      <c r="A613" s="106" t="s">
        <v>52</v>
      </c>
      <c r="B613" s="159"/>
      <c r="C613" s="159" t="s">
        <v>614</v>
      </c>
      <c r="D613" s="159" t="s">
        <v>239</v>
      </c>
      <c r="E613" s="159" t="s">
        <v>53</v>
      </c>
      <c r="F613" s="157"/>
      <c r="G613" s="30">
        <f>SUM(G614)</f>
        <v>32720.3</v>
      </c>
      <c r="H613" s="20">
        <f>SUM(H614)</f>
        <v>13916.300000000001</v>
      </c>
      <c r="I613" s="20">
        <f t="shared" si="16"/>
        <v>42.53108926262901</v>
      </c>
    </row>
    <row r="614" spans="1:9" ht="30.75" customHeight="1">
      <c r="A614" s="106" t="s">
        <v>587</v>
      </c>
      <c r="B614" s="174"/>
      <c r="C614" s="159" t="s">
        <v>614</v>
      </c>
      <c r="D614" s="159" t="s">
        <v>239</v>
      </c>
      <c r="E614" s="159" t="s">
        <v>54</v>
      </c>
      <c r="F614" s="157" t="s">
        <v>933</v>
      </c>
      <c r="G614" s="30">
        <f>SUM(G616+G618+G620)+G615</f>
        <v>32720.3</v>
      </c>
      <c r="H614" s="20">
        <f>SUM(H616+H618+H620)</f>
        <v>13916.300000000001</v>
      </c>
      <c r="I614" s="20">
        <f t="shared" si="16"/>
        <v>42.53108926262901</v>
      </c>
    </row>
    <row r="615" spans="1:10" ht="20.25" customHeight="1" hidden="1">
      <c r="A615" s="108" t="s">
        <v>932</v>
      </c>
      <c r="B615" s="120"/>
      <c r="C615" s="159" t="s">
        <v>614</v>
      </c>
      <c r="D615" s="159" t="s">
        <v>239</v>
      </c>
      <c r="E615" s="159" t="s">
        <v>54</v>
      </c>
      <c r="F615" s="158" t="s">
        <v>933</v>
      </c>
      <c r="G615" s="30"/>
      <c r="H615" s="20"/>
      <c r="I615" s="20" t="e">
        <f t="shared" si="16"/>
        <v>#DIV/0!</v>
      </c>
      <c r="J615" s="246">
        <f>SUM('ведомствен.2013'!G766)</f>
        <v>0</v>
      </c>
    </row>
    <row r="616" spans="1:10" s="36" customFormat="1" ht="18" customHeight="1" hidden="1">
      <c r="A616" s="108" t="s">
        <v>830</v>
      </c>
      <c r="B616" s="120"/>
      <c r="C616" s="159" t="s">
        <v>614</v>
      </c>
      <c r="D616" s="159" t="s">
        <v>239</v>
      </c>
      <c r="E616" s="180" t="s">
        <v>41</v>
      </c>
      <c r="F616" s="158"/>
      <c r="G616" s="30">
        <f>SUM(G617)</f>
        <v>0</v>
      </c>
      <c r="H616" s="20">
        <f>SUM(H617)</f>
        <v>40.9</v>
      </c>
      <c r="I616" s="20" t="e">
        <f t="shared" si="16"/>
        <v>#DIV/0!</v>
      </c>
      <c r="J616" s="258"/>
    </row>
    <row r="617" spans="1:10" s="36" customFormat="1" ht="16.5" customHeight="1" hidden="1">
      <c r="A617" s="108" t="s">
        <v>71</v>
      </c>
      <c r="B617" s="120"/>
      <c r="C617" s="159" t="s">
        <v>614</v>
      </c>
      <c r="D617" s="159" t="s">
        <v>239</v>
      </c>
      <c r="E617" s="180" t="s">
        <v>41</v>
      </c>
      <c r="F617" s="158" t="s">
        <v>72</v>
      </c>
      <c r="G617" s="30"/>
      <c r="H617" s="20">
        <v>40.9</v>
      </c>
      <c r="I617" s="20" t="e">
        <f t="shared" si="16"/>
        <v>#DIV/0!</v>
      </c>
      <c r="J617" s="258"/>
    </row>
    <row r="618" spans="1:9" ht="43.5" customHeight="1">
      <c r="A618" s="108" t="s">
        <v>494</v>
      </c>
      <c r="B618" s="120"/>
      <c r="C618" s="159" t="s">
        <v>614</v>
      </c>
      <c r="D618" s="159" t="s">
        <v>239</v>
      </c>
      <c r="E618" s="159" t="s">
        <v>55</v>
      </c>
      <c r="F618" s="158"/>
      <c r="G618" s="30">
        <f>SUM(G619)</f>
        <v>33.2</v>
      </c>
      <c r="H618" s="20">
        <f>SUM(H619)</f>
        <v>12.8</v>
      </c>
      <c r="I618" s="20">
        <f t="shared" si="16"/>
        <v>38.554216867469876</v>
      </c>
    </row>
    <row r="619" spans="1:10" ht="16.5" customHeight="1">
      <c r="A619" s="108" t="s">
        <v>483</v>
      </c>
      <c r="B619" s="120"/>
      <c r="C619" s="159" t="s">
        <v>614</v>
      </c>
      <c r="D619" s="159" t="s">
        <v>239</v>
      </c>
      <c r="E619" s="159" t="s">
        <v>55</v>
      </c>
      <c r="F619" s="158" t="s">
        <v>933</v>
      </c>
      <c r="G619" s="30">
        <v>33.2</v>
      </c>
      <c r="H619" s="20">
        <v>12.8</v>
      </c>
      <c r="I619" s="20">
        <f t="shared" si="16"/>
        <v>38.554216867469876</v>
      </c>
      <c r="J619" s="258">
        <f>SUM('ведомствен.2013'!G1322)</f>
        <v>33.2</v>
      </c>
    </row>
    <row r="620" spans="1:9" ht="89.25" customHeight="1">
      <c r="A620" s="108" t="s">
        <v>426</v>
      </c>
      <c r="B620" s="120"/>
      <c r="C620" s="159" t="s">
        <v>614</v>
      </c>
      <c r="D620" s="159" t="s">
        <v>239</v>
      </c>
      <c r="E620" s="159" t="s">
        <v>56</v>
      </c>
      <c r="F620" s="158"/>
      <c r="G620" s="30">
        <f>SUM(G621)</f>
        <v>32687.1</v>
      </c>
      <c r="H620" s="20">
        <f>SUM(H621)</f>
        <v>13862.6</v>
      </c>
      <c r="I620" s="20">
        <f t="shared" si="16"/>
        <v>42.410002722786665</v>
      </c>
    </row>
    <row r="621" spans="1:10" ht="15.75" customHeight="1">
      <c r="A621" s="108" t="s">
        <v>483</v>
      </c>
      <c r="B621" s="120"/>
      <c r="C621" s="159" t="s">
        <v>614</v>
      </c>
      <c r="D621" s="159" t="s">
        <v>239</v>
      </c>
      <c r="E621" s="159" t="s">
        <v>56</v>
      </c>
      <c r="F621" s="158" t="s">
        <v>933</v>
      </c>
      <c r="G621" s="30">
        <v>32687.1</v>
      </c>
      <c r="H621" s="20">
        <v>13862.6</v>
      </c>
      <c r="I621" s="20">
        <f t="shared" si="16"/>
        <v>42.410002722786665</v>
      </c>
      <c r="J621" s="258">
        <f>SUM('ведомствен.2013'!G1324)</f>
        <v>32687.1</v>
      </c>
    </row>
    <row r="622" spans="1:9" ht="16.5" customHeight="1">
      <c r="A622" s="108" t="s">
        <v>57</v>
      </c>
      <c r="B622" s="120"/>
      <c r="C622" s="159" t="s">
        <v>614</v>
      </c>
      <c r="D622" s="159" t="s">
        <v>239</v>
      </c>
      <c r="E622" s="180" t="s">
        <v>58</v>
      </c>
      <c r="F622" s="158"/>
      <c r="G622" s="229">
        <f>SUM(G623)</f>
        <v>5258.6</v>
      </c>
      <c r="H622" s="37">
        <f>SUM(H623)</f>
        <v>0</v>
      </c>
      <c r="I622" s="20">
        <f t="shared" si="16"/>
        <v>0</v>
      </c>
    </row>
    <row r="623" spans="1:9" ht="20.25" customHeight="1">
      <c r="A623" s="106" t="s">
        <v>895</v>
      </c>
      <c r="B623" s="167"/>
      <c r="C623" s="159" t="s">
        <v>614</v>
      </c>
      <c r="D623" s="159" t="s">
        <v>239</v>
      </c>
      <c r="E623" s="159" t="s">
        <v>1011</v>
      </c>
      <c r="F623" s="157"/>
      <c r="G623" s="91">
        <f>SUM(G624)</f>
        <v>5258.6</v>
      </c>
      <c r="H623" s="37">
        <f>SUM(H624)</f>
        <v>0</v>
      </c>
      <c r="I623" s="20">
        <f t="shared" si="16"/>
        <v>0</v>
      </c>
    </row>
    <row r="624" spans="1:9" ht="16.5" customHeight="1">
      <c r="A624" s="108" t="s">
        <v>998</v>
      </c>
      <c r="B624" s="167"/>
      <c r="C624" s="159" t="s">
        <v>614</v>
      </c>
      <c r="D624" s="159" t="s">
        <v>239</v>
      </c>
      <c r="E624" s="159" t="s">
        <v>999</v>
      </c>
      <c r="F624" s="157"/>
      <c r="G624" s="91">
        <f>SUM(G625)</f>
        <v>5258.6</v>
      </c>
      <c r="H624" s="37"/>
      <c r="I624" s="20">
        <f t="shared" si="16"/>
        <v>0</v>
      </c>
    </row>
    <row r="625" spans="1:10" ht="30" customHeight="1">
      <c r="A625" s="108" t="s">
        <v>483</v>
      </c>
      <c r="B625" s="167"/>
      <c r="C625" s="159" t="s">
        <v>614</v>
      </c>
      <c r="D625" s="159" t="s">
        <v>239</v>
      </c>
      <c r="E625" s="159" t="s">
        <v>999</v>
      </c>
      <c r="F625" s="157" t="s">
        <v>933</v>
      </c>
      <c r="G625" s="91">
        <v>5258.6</v>
      </c>
      <c r="H625" s="20">
        <f aca="true" t="shared" si="17" ref="G625:H627">SUM(H626)</f>
        <v>0</v>
      </c>
      <c r="I625" s="20">
        <f t="shared" si="16"/>
        <v>0</v>
      </c>
      <c r="J625" s="246">
        <f>SUM('ведомствен.2013'!G1332)</f>
        <v>5258.6</v>
      </c>
    </row>
    <row r="626" spans="1:9" ht="36" customHeight="1" hidden="1">
      <c r="A626" s="108" t="s">
        <v>90</v>
      </c>
      <c r="B626" s="120"/>
      <c r="C626" s="159" t="s">
        <v>614</v>
      </c>
      <c r="D626" s="159" t="s">
        <v>239</v>
      </c>
      <c r="E626" s="159" t="s">
        <v>868</v>
      </c>
      <c r="F626" s="158"/>
      <c r="G626" s="30">
        <f t="shared" si="17"/>
        <v>0</v>
      </c>
      <c r="H626" s="20">
        <f t="shared" si="17"/>
        <v>0</v>
      </c>
      <c r="I626" s="20" t="e">
        <f t="shared" si="16"/>
        <v>#DIV/0!</v>
      </c>
    </row>
    <row r="627" spans="1:9" ht="40.5" customHeight="1" hidden="1">
      <c r="A627" s="108" t="s">
        <v>419</v>
      </c>
      <c r="B627" s="120"/>
      <c r="C627" s="159" t="s">
        <v>614</v>
      </c>
      <c r="D627" s="159" t="s">
        <v>239</v>
      </c>
      <c r="E627" s="159" t="s">
        <v>869</v>
      </c>
      <c r="F627" s="158"/>
      <c r="G627" s="30">
        <f t="shared" si="17"/>
        <v>0</v>
      </c>
      <c r="H627" s="20">
        <f t="shared" si="17"/>
        <v>0</v>
      </c>
      <c r="I627" s="20" t="e">
        <f t="shared" si="16"/>
        <v>#DIV/0!</v>
      </c>
    </row>
    <row r="628" spans="1:9" ht="16.5" customHeight="1" hidden="1">
      <c r="A628" s="108" t="s">
        <v>932</v>
      </c>
      <c r="B628" s="120"/>
      <c r="C628" s="159" t="s">
        <v>614</v>
      </c>
      <c r="D628" s="159" t="s">
        <v>239</v>
      </c>
      <c r="E628" s="159" t="s">
        <v>869</v>
      </c>
      <c r="F628" s="158" t="s">
        <v>933</v>
      </c>
      <c r="G628" s="30"/>
      <c r="H628" s="20"/>
      <c r="I628" s="20" t="e">
        <f t="shared" si="16"/>
        <v>#DIV/0!</v>
      </c>
    </row>
    <row r="629" spans="1:10" s="145" customFormat="1" ht="15.75" customHeight="1" hidden="1">
      <c r="A629" s="105" t="s">
        <v>825</v>
      </c>
      <c r="B629" s="163"/>
      <c r="C629" s="159" t="s">
        <v>614</v>
      </c>
      <c r="D629" s="159" t="s">
        <v>239</v>
      </c>
      <c r="E629" s="159" t="s">
        <v>824</v>
      </c>
      <c r="F629" s="157"/>
      <c r="G629" s="30">
        <f>SUM(G630:G631)</f>
        <v>0</v>
      </c>
      <c r="H629" s="20"/>
      <c r="I629" s="20"/>
      <c r="J629" s="259"/>
    </row>
    <row r="630" spans="1:10" s="40" customFormat="1" ht="15.75" customHeight="1" hidden="1">
      <c r="A630" s="108" t="s">
        <v>876</v>
      </c>
      <c r="B630" s="120"/>
      <c r="C630" s="159" t="s">
        <v>614</v>
      </c>
      <c r="D630" s="159" t="s">
        <v>239</v>
      </c>
      <c r="E630" s="159" t="s">
        <v>824</v>
      </c>
      <c r="F630" s="158" t="s">
        <v>877</v>
      </c>
      <c r="G630" s="30"/>
      <c r="H630" s="20"/>
      <c r="I630" s="20"/>
      <c r="J630" s="260">
        <f>SUM('ведомствен.2013'!G1334)</f>
        <v>0</v>
      </c>
    </row>
    <row r="631" spans="1:10" s="40" customFormat="1" ht="30.75" customHeight="1" hidden="1">
      <c r="A631" s="105" t="s">
        <v>711</v>
      </c>
      <c r="B631" s="120"/>
      <c r="C631" s="159" t="s">
        <v>614</v>
      </c>
      <c r="D631" s="159" t="s">
        <v>239</v>
      </c>
      <c r="E631" s="159" t="s">
        <v>824</v>
      </c>
      <c r="F631" s="158" t="s">
        <v>566</v>
      </c>
      <c r="G631" s="30"/>
      <c r="H631" s="20"/>
      <c r="I631" s="20"/>
      <c r="J631" s="260">
        <f>SUM('ведомствен.2013'!G1335)</f>
        <v>0</v>
      </c>
    </row>
    <row r="632" spans="1:9" ht="19.5" customHeight="1">
      <c r="A632" s="106" t="s">
        <v>61</v>
      </c>
      <c r="B632" s="159"/>
      <c r="C632" s="159" t="s">
        <v>614</v>
      </c>
      <c r="D632" s="159" t="s">
        <v>239</v>
      </c>
      <c r="E632" s="159" t="s">
        <v>870</v>
      </c>
      <c r="F632" s="157"/>
      <c r="G632" s="30">
        <f>SUM(G633+G636)</f>
        <v>11578.3</v>
      </c>
      <c r="H632" s="20">
        <f>SUM(H633+H636)</f>
        <v>8208.5</v>
      </c>
      <c r="I632" s="20">
        <f t="shared" si="16"/>
        <v>70.89555461509894</v>
      </c>
    </row>
    <row r="633" spans="1:9" ht="28.5" customHeight="1" hidden="1">
      <c r="A633" s="133" t="s">
        <v>871</v>
      </c>
      <c r="B633" s="159"/>
      <c r="C633" s="159" t="s">
        <v>614</v>
      </c>
      <c r="D633" s="159" t="s">
        <v>239</v>
      </c>
      <c r="E633" s="159" t="s">
        <v>872</v>
      </c>
      <c r="F633" s="157"/>
      <c r="G633" s="30">
        <f>SUM(G634:G635)</f>
        <v>0</v>
      </c>
      <c r="H633" s="20">
        <f>SUM(H634)</f>
        <v>7214.3</v>
      </c>
      <c r="I633" s="20" t="e">
        <f t="shared" si="16"/>
        <v>#DIV/0!</v>
      </c>
    </row>
    <row r="634" spans="1:10" ht="17.25" customHeight="1" hidden="1">
      <c r="A634" s="108" t="s">
        <v>932</v>
      </c>
      <c r="B634" s="159"/>
      <c r="C634" s="159" t="s">
        <v>614</v>
      </c>
      <c r="D634" s="159" t="s">
        <v>239</v>
      </c>
      <c r="E634" s="159" t="s">
        <v>872</v>
      </c>
      <c r="F634" s="157" t="s">
        <v>933</v>
      </c>
      <c r="G634" s="30"/>
      <c r="H634" s="20">
        <v>7214.3</v>
      </c>
      <c r="I634" s="20" t="e">
        <f t="shared" si="16"/>
        <v>#DIV/0!</v>
      </c>
      <c r="J634" s="246">
        <f>SUM('ведомствен.2013'!G1338)</f>
        <v>0</v>
      </c>
    </row>
    <row r="635" spans="1:10" ht="30.75" customHeight="1" hidden="1">
      <c r="A635" s="105" t="s">
        <v>711</v>
      </c>
      <c r="B635" s="120"/>
      <c r="C635" s="159" t="s">
        <v>614</v>
      </c>
      <c r="D635" s="159" t="s">
        <v>239</v>
      </c>
      <c r="E635" s="159" t="s">
        <v>872</v>
      </c>
      <c r="F635" s="158" t="s">
        <v>566</v>
      </c>
      <c r="G635" s="91"/>
      <c r="H635" s="20"/>
      <c r="I635" s="20"/>
      <c r="J635" s="246">
        <f>SUM('ведомствен.2013'!G1339)</f>
        <v>0</v>
      </c>
    </row>
    <row r="636" spans="1:9" ht="42" customHeight="1">
      <c r="A636" s="133" t="s">
        <v>873</v>
      </c>
      <c r="B636" s="159"/>
      <c r="C636" s="159" t="s">
        <v>614</v>
      </c>
      <c r="D636" s="159" t="s">
        <v>239</v>
      </c>
      <c r="E636" s="159" t="s">
        <v>874</v>
      </c>
      <c r="F636" s="157"/>
      <c r="G636" s="30">
        <f>SUM(G637:G638)</f>
        <v>11578.3</v>
      </c>
      <c r="H636" s="20">
        <f>SUM(H638)</f>
        <v>994.2</v>
      </c>
      <c r="I636" s="20">
        <f t="shared" si="16"/>
        <v>8.586752804815905</v>
      </c>
    </row>
    <row r="637" spans="1:10" ht="25.5" customHeight="1">
      <c r="A637" s="108" t="s">
        <v>483</v>
      </c>
      <c r="B637" s="159"/>
      <c r="C637" s="159" t="s">
        <v>614</v>
      </c>
      <c r="D637" s="159" t="s">
        <v>239</v>
      </c>
      <c r="E637" s="159" t="s">
        <v>874</v>
      </c>
      <c r="F637" s="157" t="s">
        <v>933</v>
      </c>
      <c r="G637" s="30">
        <v>6938.9</v>
      </c>
      <c r="H637" s="20"/>
      <c r="I637" s="20"/>
      <c r="J637" s="258">
        <f>SUM('ведомствен.2013'!G1341)</f>
        <v>6938.9</v>
      </c>
    </row>
    <row r="638" spans="1:10" ht="36" customHeight="1">
      <c r="A638" s="105" t="s">
        <v>711</v>
      </c>
      <c r="B638" s="120"/>
      <c r="C638" s="159" t="s">
        <v>614</v>
      </c>
      <c r="D638" s="159" t="s">
        <v>239</v>
      </c>
      <c r="E638" s="159" t="s">
        <v>874</v>
      </c>
      <c r="F638" s="158" t="s">
        <v>566</v>
      </c>
      <c r="G638" s="30">
        <v>4639.4</v>
      </c>
      <c r="H638" s="20">
        <v>994.2</v>
      </c>
      <c r="I638" s="20">
        <f t="shared" si="16"/>
        <v>21.42949519334397</v>
      </c>
      <c r="J638" s="258">
        <f>SUM('ведомствен.2013'!G1342)</f>
        <v>4639.4</v>
      </c>
    </row>
    <row r="639" spans="1:9" ht="14.25" customHeight="1" hidden="1">
      <c r="A639" s="128" t="s">
        <v>61</v>
      </c>
      <c r="B639" s="159"/>
      <c r="C639" s="159" t="s">
        <v>614</v>
      </c>
      <c r="D639" s="159" t="s">
        <v>239</v>
      </c>
      <c r="E639" s="159" t="s">
        <v>870</v>
      </c>
      <c r="F639" s="157"/>
      <c r="G639" s="30">
        <f>SUM(G640)</f>
        <v>0</v>
      </c>
      <c r="H639" s="20">
        <f>SUM(H640)</f>
        <v>0</v>
      </c>
      <c r="I639" s="20" t="e">
        <f t="shared" si="16"/>
        <v>#DIV/0!</v>
      </c>
    </row>
    <row r="640" spans="1:9" ht="17.25" customHeight="1" hidden="1">
      <c r="A640" s="108" t="s">
        <v>427</v>
      </c>
      <c r="B640" s="159"/>
      <c r="C640" s="159" t="s">
        <v>614</v>
      </c>
      <c r="D640" s="159" t="s">
        <v>239</v>
      </c>
      <c r="E640" s="159" t="s">
        <v>870</v>
      </c>
      <c r="F640" s="157" t="s">
        <v>875</v>
      </c>
      <c r="G640" s="30"/>
      <c r="H640" s="20"/>
      <c r="I640" s="20" t="e">
        <f aca="true" t="shared" si="18" ref="I640:I722">SUM(H640/G640*100)</f>
        <v>#DIV/0!</v>
      </c>
    </row>
    <row r="641" spans="1:9" ht="17.25" customHeight="1" hidden="1">
      <c r="A641" s="106" t="s">
        <v>128</v>
      </c>
      <c r="B641" s="159"/>
      <c r="C641" s="159" t="s">
        <v>614</v>
      </c>
      <c r="D641" s="159" t="s">
        <v>239</v>
      </c>
      <c r="E641" s="159" t="s">
        <v>129</v>
      </c>
      <c r="F641" s="157"/>
      <c r="G641" s="30">
        <f>SUM(G642)</f>
        <v>0</v>
      </c>
      <c r="H641" s="20">
        <f>SUM(H642)</f>
        <v>0</v>
      </c>
      <c r="I641" s="20" t="e">
        <f t="shared" si="18"/>
        <v>#DIV/0!</v>
      </c>
    </row>
    <row r="642" spans="1:9" ht="17.25" customHeight="1" hidden="1">
      <c r="A642" s="108" t="s">
        <v>876</v>
      </c>
      <c r="B642" s="159"/>
      <c r="C642" s="159" t="s">
        <v>614</v>
      </c>
      <c r="D642" s="159" t="s">
        <v>239</v>
      </c>
      <c r="E642" s="159" t="s">
        <v>129</v>
      </c>
      <c r="F642" s="157" t="s">
        <v>877</v>
      </c>
      <c r="G642" s="30"/>
      <c r="H642" s="20"/>
      <c r="I642" s="20" t="e">
        <f t="shared" si="18"/>
        <v>#DIV/0!</v>
      </c>
    </row>
    <row r="643" spans="1:9" ht="17.25" customHeight="1">
      <c r="A643" s="108" t="s">
        <v>634</v>
      </c>
      <c r="B643" s="189"/>
      <c r="C643" s="171" t="s">
        <v>614</v>
      </c>
      <c r="D643" s="171" t="s">
        <v>239</v>
      </c>
      <c r="E643" s="171" t="s">
        <v>635</v>
      </c>
      <c r="F643" s="161"/>
      <c r="G643" s="30">
        <f>SUM(G644)+G647</f>
        <v>7743.8</v>
      </c>
      <c r="H643" s="20">
        <f>SUM(H644)</f>
        <v>37025.100000000006</v>
      </c>
      <c r="I643" s="20">
        <f>SUM(H643/G643*100)</f>
        <v>478.12572638756177</v>
      </c>
    </row>
    <row r="644" spans="1:9" ht="45" customHeight="1" hidden="1">
      <c r="A644" s="105" t="s">
        <v>821</v>
      </c>
      <c r="B644" s="189"/>
      <c r="C644" s="171" t="s">
        <v>614</v>
      </c>
      <c r="D644" s="171" t="s">
        <v>239</v>
      </c>
      <c r="E644" s="171" t="s">
        <v>1037</v>
      </c>
      <c r="F644" s="161"/>
      <c r="G644" s="30">
        <f>SUM(G646)+G645</f>
        <v>0</v>
      </c>
      <c r="H644" s="20">
        <f>SUM(H646:H653)</f>
        <v>37025.100000000006</v>
      </c>
      <c r="I644" s="20" t="e">
        <f>SUM(H644/G644*100)</f>
        <v>#DIV/0!</v>
      </c>
    </row>
    <row r="645" spans="1:10" ht="20.25" customHeight="1" hidden="1">
      <c r="A645" s="108" t="s">
        <v>483</v>
      </c>
      <c r="B645" s="188"/>
      <c r="C645" s="159" t="s">
        <v>614</v>
      </c>
      <c r="D645" s="159" t="s">
        <v>239</v>
      </c>
      <c r="E645" s="159" t="s">
        <v>1037</v>
      </c>
      <c r="F645" s="158" t="s">
        <v>933</v>
      </c>
      <c r="G645" s="30"/>
      <c r="H645" s="20"/>
      <c r="I645" s="20"/>
      <c r="J645" s="246">
        <f>SUM('ведомствен.2013'!G1345)</f>
        <v>0</v>
      </c>
    </row>
    <row r="646" spans="1:10" ht="20.25" customHeight="1" hidden="1">
      <c r="A646" s="108" t="s">
        <v>666</v>
      </c>
      <c r="B646" s="189"/>
      <c r="C646" s="171" t="s">
        <v>614</v>
      </c>
      <c r="D646" s="171" t="s">
        <v>239</v>
      </c>
      <c r="E646" s="171" t="s">
        <v>1037</v>
      </c>
      <c r="F646" s="161" t="s">
        <v>566</v>
      </c>
      <c r="G646" s="30"/>
      <c r="H646" s="20"/>
      <c r="I646" s="20" t="e">
        <f>SUM(H646/G646*100)</f>
        <v>#DIV/0!</v>
      </c>
      <c r="J646" s="246">
        <f>SUM('ведомствен.2013'!G1101+'ведомствен.2013'!G1346)</f>
        <v>0</v>
      </c>
    </row>
    <row r="647" spans="1:9" ht="20.25" customHeight="1">
      <c r="A647" s="109" t="s">
        <v>293</v>
      </c>
      <c r="B647" s="155"/>
      <c r="C647" s="159" t="s">
        <v>614</v>
      </c>
      <c r="D647" s="159" t="s">
        <v>239</v>
      </c>
      <c r="E647" s="159" t="s">
        <v>98</v>
      </c>
      <c r="F647" s="158"/>
      <c r="G647" s="225">
        <f>SUM(G648)+G649</f>
        <v>7743.8</v>
      </c>
      <c r="H647" s="20"/>
      <c r="I647" s="20"/>
    </row>
    <row r="648" spans="1:10" ht="20.25" customHeight="1">
      <c r="A648" s="108" t="s">
        <v>876</v>
      </c>
      <c r="B648" s="155"/>
      <c r="C648" s="159" t="s">
        <v>614</v>
      </c>
      <c r="D648" s="159" t="s">
        <v>239</v>
      </c>
      <c r="E648" s="159" t="s">
        <v>98</v>
      </c>
      <c r="F648" s="158" t="s">
        <v>877</v>
      </c>
      <c r="G648" s="225">
        <v>4830.1</v>
      </c>
      <c r="H648" s="20"/>
      <c r="I648" s="20"/>
      <c r="J648" s="246">
        <f>SUM('ведомствен.2013'!G1348)</f>
        <v>4830.1</v>
      </c>
    </row>
    <row r="649" spans="1:10" ht="20.25" customHeight="1">
      <c r="A649" s="105" t="s">
        <v>711</v>
      </c>
      <c r="B649" s="120"/>
      <c r="C649" s="159" t="s">
        <v>614</v>
      </c>
      <c r="D649" s="159" t="s">
        <v>239</v>
      </c>
      <c r="E649" s="159" t="s">
        <v>98</v>
      </c>
      <c r="F649" s="158" t="s">
        <v>566</v>
      </c>
      <c r="G649" s="30">
        <v>2913.7</v>
      </c>
      <c r="H649" s="20"/>
      <c r="I649" s="20"/>
      <c r="J649" s="246">
        <f>SUM('ведомствен.2013'!G1349)</f>
        <v>2913.7</v>
      </c>
    </row>
    <row r="650" spans="1:11" ht="15">
      <c r="A650" s="106" t="s">
        <v>615</v>
      </c>
      <c r="B650" s="155"/>
      <c r="C650" s="155" t="s">
        <v>614</v>
      </c>
      <c r="D650" s="155" t="s">
        <v>614</v>
      </c>
      <c r="E650" s="155"/>
      <c r="F650" s="156"/>
      <c r="G650" s="30">
        <f>SUM(G655+G665+G676+G651+G680)</f>
        <v>6907.900000000001</v>
      </c>
      <c r="H650" s="20">
        <f>SUM(H655+H665+H676+H651)</f>
        <v>32933.5</v>
      </c>
      <c r="I650" s="20">
        <f t="shared" si="18"/>
        <v>476.751255808567</v>
      </c>
      <c r="K650">
        <f>SUM(J655:J686)</f>
        <v>6907.900000000001</v>
      </c>
    </row>
    <row r="651" spans="1:9" ht="15" hidden="1">
      <c r="A651" s="106" t="s">
        <v>148</v>
      </c>
      <c r="B651" s="155"/>
      <c r="C651" s="155" t="s">
        <v>614</v>
      </c>
      <c r="D651" s="155" t="s">
        <v>614</v>
      </c>
      <c r="E651" s="155" t="s">
        <v>150</v>
      </c>
      <c r="F651" s="156"/>
      <c r="G651" s="30">
        <f>SUM(G652)</f>
        <v>0</v>
      </c>
      <c r="H651" s="20">
        <f>SUM(H652)</f>
        <v>1563.8</v>
      </c>
      <c r="I651" s="20" t="e">
        <f t="shared" si="18"/>
        <v>#DIV/0!</v>
      </c>
    </row>
    <row r="652" spans="1:9" ht="15" hidden="1">
      <c r="A652" s="106" t="s">
        <v>128</v>
      </c>
      <c r="B652" s="155"/>
      <c r="C652" s="155" t="s">
        <v>614</v>
      </c>
      <c r="D652" s="155" t="s">
        <v>614</v>
      </c>
      <c r="E652" s="155" t="s">
        <v>129</v>
      </c>
      <c r="F652" s="156"/>
      <c r="G652" s="30">
        <f>SUM(G653+G654)</f>
        <v>0</v>
      </c>
      <c r="H652" s="20">
        <f>SUM(H653+H654)</f>
        <v>1563.8</v>
      </c>
      <c r="I652" s="20" t="e">
        <f t="shared" si="18"/>
        <v>#DIV/0!</v>
      </c>
    </row>
    <row r="653" spans="1:9" ht="15" hidden="1">
      <c r="A653" s="108" t="s">
        <v>932</v>
      </c>
      <c r="B653" s="159"/>
      <c r="C653" s="155" t="s">
        <v>614</v>
      </c>
      <c r="D653" s="155" t="s">
        <v>614</v>
      </c>
      <c r="E653" s="155" t="s">
        <v>129</v>
      </c>
      <c r="F653" s="157" t="s">
        <v>933</v>
      </c>
      <c r="G653" s="30"/>
      <c r="H653" s="20">
        <v>964</v>
      </c>
      <c r="I653" s="20" t="e">
        <f t="shared" si="18"/>
        <v>#DIV/0!</v>
      </c>
    </row>
    <row r="654" spans="1:9" ht="13.5" customHeight="1" hidden="1">
      <c r="A654" s="108" t="s">
        <v>876</v>
      </c>
      <c r="B654" s="159"/>
      <c r="C654" s="155" t="s">
        <v>614</v>
      </c>
      <c r="D654" s="155" t="s">
        <v>614</v>
      </c>
      <c r="E654" s="155" t="s">
        <v>129</v>
      </c>
      <c r="F654" s="157" t="s">
        <v>877</v>
      </c>
      <c r="G654" s="30"/>
      <c r="H654" s="20">
        <v>599.8</v>
      </c>
      <c r="I654" s="20" t="e">
        <f t="shared" si="18"/>
        <v>#DIV/0!</v>
      </c>
    </row>
    <row r="655" spans="1:9" ht="15">
      <c r="A655" s="105" t="s">
        <v>878</v>
      </c>
      <c r="B655" s="159"/>
      <c r="C655" s="159" t="s">
        <v>614</v>
      </c>
      <c r="D655" s="159" t="s">
        <v>614</v>
      </c>
      <c r="E655" s="159" t="s">
        <v>879</v>
      </c>
      <c r="F655" s="157"/>
      <c r="G655" s="30">
        <f>SUM(G656+G663+G661)</f>
        <v>1784.1</v>
      </c>
      <c r="H655" s="20">
        <f>SUM(H656+H663+H661)</f>
        <v>3728.2999999999997</v>
      </c>
      <c r="I655" s="20">
        <f t="shared" si="18"/>
        <v>208.9737122358612</v>
      </c>
    </row>
    <row r="656" spans="1:9" ht="45.75" customHeight="1" hidden="1">
      <c r="A656" s="105" t="s">
        <v>417</v>
      </c>
      <c r="B656" s="159"/>
      <c r="C656" s="159" t="s">
        <v>614</v>
      </c>
      <c r="D656" s="159" t="s">
        <v>614</v>
      </c>
      <c r="E656" s="159" t="s">
        <v>834</v>
      </c>
      <c r="F656" s="157"/>
      <c r="G656" s="30">
        <f>SUM(G657)</f>
        <v>0</v>
      </c>
      <c r="H656" s="20">
        <f>SUM(H657:H663)</f>
        <v>2257.3999999999996</v>
      </c>
      <c r="I656" s="20" t="e">
        <f t="shared" si="18"/>
        <v>#DIV/0!</v>
      </c>
    </row>
    <row r="657" spans="1:10" ht="18" customHeight="1" hidden="1">
      <c r="A657" s="108" t="s">
        <v>483</v>
      </c>
      <c r="B657" s="159"/>
      <c r="C657" s="159" t="s">
        <v>614</v>
      </c>
      <c r="D657" s="159" t="s">
        <v>614</v>
      </c>
      <c r="E657" s="159" t="s">
        <v>834</v>
      </c>
      <c r="F657" s="157" t="s">
        <v>933</v>
      </c>
      <c r="G657" s="30"/>
      <c r="H657" s="20">
        <v>341.9</v>
      </c>
      <c r="I657" s="20" t="e">
        <f t="shared" si="18"/>
        <v>#DIV/0!</v>
      </c>
      <c r="J657" s="246">
        <f>SUM('ведомствен.2013'!G1111)</f>
        <v>0</v>
      </c>
    </row>
    <row r="658" spans="1:9" ht="21" customHeight="1" hidden="1">
      <c r="A658" s="106" t="s">
        <v>598</v>
      </c>
      <c r="B658" s="155"/>
      <c r="C658" s="159" t="s">
        <v>614</v>
      </c>
      <c r="D658" s="159" t="s">
        <v>614</v>
      </c>
      <c r="E658" s="159" t="s">
        <v>881</v>
      </c>
      <c r="F658" s="156" t="s">
        <v>599</v>
      </c>
      <c r="G658" s="30"/>
      <c r="H658" s="20"/>
      <c r="I658" s="20" t="e">
        <f t="shared" si="18"/>
        <v>#DIV/0!</v>
      </c>
    </row>
    <row r="659" spans="1:9" ht="17.25" customHeight="1" hidden="1">
      <c r="A659" s="106" t="s">
        <v>930</v>
      </c>
      <c r="B659" s="159"/>
      <c r="C659" s="159" t="s">
        <v>614</v>
      </c>
      <c r="D659" s="159" t="s">
        <v>614</v>
      </c>
      <c r="E659" s="159" t="s">
        <v>882</v>
      </c>
      <c r="F659" s="157"/>
      <c r="G659" s="30">
        <f>SUM(G660)</f>
        <v>0</v>
      </c>
      <c r="H659" s="20">
        <f>SUM(H660)</f>
        <v>0</v>
      </c>
      <c r="I659" s="20" t="e">
        <f t="shared" si="18"/>
        <v>#DIV/0!</v>
      </c>
    </row>
    <row r="660" spans="1:9" ht="17.25" customHeight="1" hidden="1">
      <c r="A660" s="108" t="s">
        <v>932</v>
      </c>
      <c r="B660" s="159"/>
      <c r="C660" s="159" t="s">
        <v>614</v>
      </c>
      <c r="D660" s="159" t="s">
        <v>614</v>
      </c>
      <c r="E660" s="159" t="s">
        <v>882</v>
      </c>
      <c r="F660" s="157" t="s">
        <v>933</v>
      </c>
      <c r="G660" s="30"/>
      <c r="H660" s="20"/>
      <c r="I660" s="20" t="e">
        <f t="shared" si="18"/>
        <v>#DIV/0!</v>
      </c>
    </row>
    <row r="661" spans="1:9" ht="54.75" customHeight="1" hidden="1">
      <c r="A661" s="108" t="s">
        <v>883</v>
      </c>
      <c r="B661" s="159"/>
      <c r="C661" s="159" t="s">
        <v>614</v>
      </c>
      <c r="D661" s="159" t="s">
        <v>614</v>
      </c>
      <c r="E661" s="159" t="s">
        <v>884</v>
      </c>
      <c r="F661" s="157"/>
      <c r="G661" s="30">
        <f>SUM(G662)</f>
        <v>0</v>
      </c>
      <c r="H661" s="20">
        <f>SUM(H662)</f>
        <v>444.6</v>
      </c>
      <c r="I661" s="20" t="e">
        <f t="shared" si="18"/>
        <v>#DIV/0!</v>
      </c>
    </row>
    <row r="662" spans="1:10" ht="17.25" customHeight="1" hidden="1">
      <c r="A662" s="108" t="s">
        <v>932</v>
      </c>
      <c r="B662" s="159"/>
      <c r="C662" s="159" t="s">
        <v>614</v>
      </c>
      <c r="D662" s="159" t="s">
        <v>614</v>
      </c>
      <c r="E662" s="159" t="s">
        <v>884</v>
      </c>
      <c r="F662" s="157" t="s">
        <v>933</v>
      </c>
      <c r="G662" s="30">
        <v>0</v>
      </c>
      <c r="H662" s="20">
        <v>444.6</v>
      </c>
      <c r="I662" s="20" t="e">
        <f t="shared" si="18"/>
        <v>#DIV/0!</v>
      </c>
      <c r="J662" s="246">
        <f>SUM('ведомствен.2013'!G1113)</f>
        <v>0</v>
      </c>
    </row>
    <row r="663" spans="1:9" ht="35.25" customHeight="1">
      <c r="A663" s="106" t="s">
        <v>482</v>
      </c>
      <c r="B663" s="159"/>
      <c r="C663" s="159" t="s">
        <v>614</v>
      </c>
      <c r="D663" s="159" t="s">
        <v>614</v>
      </c>
      <c r="E663" s="159" t="s">
        <v>885</v>
      </c>
      <c r="F663" s="157"/>
      <c r="G663" s="30">
        <f>SUM(G664)</f>
        <v>1784.1</v>
      </c>
      <c r="H663" s="20">
        <f>SUM(H664)</f>
        <v>1026.3</v>
      </c>
      <c r="I663" s="20">
        <f t="shared" si="18"/>
        <v>57.524802421388934</v>
      </c>
    </row>
    <row r="664" spans="1:10" ht="18.75" customHeight="1">
      <c r="A664" s="108" t="s">
        <v>483</v>
      </c>
      <c r="B664" s="159"/>
      <c r="C664" s="159" t="s">
        <v>614</v>
      </c>
      <c r="D664" s="159" t="s">
        <v>614</v>
      </c>
      <c r="E664" s="159" t="s">
        <v>885</v>
      </c>
      <c r="F664" s="157" t="s">
        <v>933</v>
      </c>
      <c r="G664" s="30">
        <v>1784.1</v>
      </c>
      <c r="H664" s="20">
        <v>1026.3</v>
      </c>
      <c r="I664" s="20">
        <f t="shared" si="18"/>
        <v>57.524802421388934</v>
      </c>
      <c r="J664" s="246">
        <f>SUM('ведомствен.2013'!G1357)</f>
        <v>1784.1</v>
      </c>
    </row>
    <row r="665" spans="1:9" ht="28.5">
      <c r="A665" s="133" t="s">
        <v>886</v>
      </c>
      <c r="B665" s="155"/>
      <c r="C665" s="155" t="s">
        <v>614</v>
      </c>
      <c r="D665" s="155" t="s">
        <v>614</v>
      </c>
      <c r="E665" s="155" t="s">
        <v>617</v>
      </c>
      <c r="F665" s="156"/>
      <c r="G665" s="30">
        <f>SUM(G666)</f>
        <v>3400</v>
      </c>
      <c r="H665" s="20">
        <f>SUM(H667)</f>
        <v>27641.4</v>
      </c>
      <c r="I665" s="20">
        <f t="shared" si="18"/>
        <v>812.9823529411766</v>
      </c>
    </row>
    <row r="666" spans="1:9" ht="42.75">
      <c r="A666" s="110" t="s">
        <v>580</v>
      </c>
      <c r="B666" s="159"/>
      <c r="C666" s="159" t="s">
        <v>614</v>
      </c>
      <c r="D666" s="159" t="s">
        <v>614</v>
      </c>
      <c r="E666" s="159" t="s">
        <v>581</v>
      </c>
      <c r="F666" s="157"/>
      <c r="G666" s="30">
        <f>SUM(G667)+G671+G674</f>
        <v>3400</v>
      </c>
      <c r="H666" s="20"/>
      <c r="I666" s="20"/>
    </row>
    <row r="667" spans="1:9" ht="42.75">
      <c r="A667" s="110" t="s">
        <v>582</v>
      </c>
      <c r="B667" s="159"/>
      <c r="C667" s="159" t="s">
        <v>614</v>
      </c>
      <c r="D667" s="159" t="s">
        <v>614</v>
      </c>
      <c r="E667" s="159" t="s">
        <v>583</v>
      </c>
      <c r="F667" s="157"/>
      <c r="G667" s="30">
        <f>SUM(G668:G670)</f>
        <v>3400</v>
      </c>
      <c r="H667" s="20">
        <f>SUM(H668+H671+H674)</f>
        <v>27641.4</v>
      </c>
      <c r="I667" s="20">
        <f t="shared" si="18"/>
        <v>812.9823529411766</v>
      </c>
    </row>
    <row r="668" spans="1:10" ht="17.25" customHeight="1">
      <c r="A668" s="108" t="s">
        <v>483</v>
      </c>
      <c r="B668" s="159"/>
      <c r="C668" s="159" t="s">
        <v>614</v>
      </c>
      <c r="D668" s="159" t="s">
        <v>614</v>
      </c>
      <c r="E668" s="159" t="s">
        <v>583</v>
      </c>
      <c r="F668" s="157" t="s">
        <v>933</v>
      </c>
      <c r="G668" s="30">
        <v>3400</v>
      </c>
      <c r="H668" s="20">
        <v>2956.6</v>
      </c>
      <c r="I668" s="20">
        <f t="shared" si="18"/>
        <v>86.95882352941176</v>
      </c>
      <c r="J668" s="246">
        <f>SUM('ведомствен.2013'!G1367)+'ведомствен.2013'!G1458</f>
        <v>3400</v>
      </c>
    </row>
    <row r="669" spans="1:10" ht="17.25" customHeight="1" hidden="1">
      <c r="A669" s="106" t="s">
        <v>598</v>
      </c>
      <c r="B669" s="159"/>
      <c r="C669" s="159" t="s">
        <v>614</v>
      </c>
      <c r="D669" s="159" t="s">
        <v>614</v>
      </c>
      <c r="E669" s="159" t="s">
        <v>583</v>
      </c>
      <c r="F669" s="157" t="s">
        <v>599</v>
      </c>
      <c r="G669" s="30"/>
      <c r="H669" s="20"/>
      <c r="I669" s="20"/>
      <c r="J669" s="246">
        <f>SUM('ведомствен.2013'!G1119)</f>
        <v>0</v>
      </c>
    </row>
    <row r="670" spans="1:10" ht="28.5" customHeight="1" hidden="1">
      <c r="A670" s="108" t="s">
        <v>666</v>
      </c>
      <c r="B670" s="155"/>
      <c r="C670" s="155" t="s">
        <v>614</v>
      </c>
      <c r="D670" s="155" t="s">
        <v>614</v>
      </c>
      <c r="E670" s="155" t="s">
        <v>583</v>
      </c>
      <c r="F670" s="156" t="s">
        <v>566</v>
      </c>
      <c r="G670" s="30"/>
      <c r="H670" s="20"/>
      <c r="I670" s="20"/>
      <c r="J670" s="246">
        <f>SUM('ведомствен.2013'!G1459+'ведомствен.2013'!G1368)</f>
        <v>0</v>
      </c>
    </row>
    <row r="671" spans="1:9" ht="75" customHeight="1" hidden="1">
      <c r="A671" s="108" t="s">
        <v>30</v>
      </c>
      <c r="B671" s="120"/>
      <c r="C671" s="155" t="s">
        <v>614</v>
      </c>
      <c r="D671" s="155" t="s">
        <v>614</v>
      </c>
      <c r="E671" s="159" t="s">
        <v>851</v>
      </c>
      <c r="F671" s="158"/>
      <c r="G671" s="30">
        <f>SUM(G672:G673)</f>
        <v>0</v>
      </c>
      <c r="H671" s="20">
        <f>SUM(H673)</f>
        <v>6986.3</v>
      </c>
      <c r="I671" s="20" t="e">
        <f t="shared" si="18"/>
        <v>#DIV/0!</v>
      </c>
    </row>
    <row r="672" spans="1:10" ht="23.25" customHeight="1" hidden="1">
      <c r="A672" s="108" t="s">
        <v>483</v>
      </c>
      <c r="B672" s="120"/>
      <c r="C672" s="155" t="s">
        <v>614</v>
      </c>
      <c r="D672" s="155" t="s">
        <v>614</v>
      </c>
      <c r="E672" s="159" t="s">
        <v>851</v>
      </c>
      <c r="F672" s="158" t="s">
        <v>933</v>
      </c>
      <c r="G672" s="30"/>
      <c r="H672" s="20"/>
      <c r="I672" s="20"/>
      <c r="J672" s="246">
        <f>SUM('ведомствен.2013'!G1370)</f>
        <v>0</v>
      </c>
    </row>
    <row r="673" spans="1:10" ht="30" customHeight="1" hidden="1">
      <c r="A673" s="108" t="s">
        <v>666</v>
      </c>
      <c r="B673" s="120"/>
      <c r="C673" s="155" t="s">
        <v>614</v>
      </c>
      <c r="D673" s="155" t="s">
        <v>614</v>
      </c>
      <c r="E673" s="159" t="s">
        <v>851</v>
      </c>
      <c r="F673" s="158" t="s">
        <v>566</v>
      </c>
      <c r="G673" s="30"/>
      <c r="H673" s="20">
        <v>6986.3</v>
      </c>
      <c r="I673" s="20" t="e">
        <f t="shared" si="18"/>
        <v>#DIV/0!</v>
      </c>
      <c r="J673" s="246">
        <f>SUM('ведомствен.2013'!G1371)</f>
        <v>0</v>
      </c>
    </row>
    <row r="674" spans="1:9" ht="58.5" customHeight="1" hidden="1">
      <c r="A674" s="108" t="s">
        <v>889</v>
      </c>
      <c r="B674" s="155"/>
      <c r="C674" s="159" t="s">
        <v>614</v>
      </c>
      <c r="D674" s="155" t="s">
        <v>614</v>
      </c>
      <c r="E674" s="159" t="s">
        <v>852</v>
      </c>
      <c r="F674" s="156"/>
      <c r="G674" s="30">
        <f>SUM(G675)</f>
        <v>0</v>
      </c>
      <c r="H674" s="20">
        <f>SUM(H675)</f>
        <v>17698.5</v>
      </c>
      <c r="I674" s="20" t="e">
        <f t="shared" si="18"/>
        <v>#DIV/0!</v>
      </c>
    </row>
    <row r="675" spans="1:10" ht="48.75" customHeight="1" hidden="1">
      <c r="A675" s="108" t="s">
        <v>827</v>
      </c>
      <c r="B675" s="155"/>
      <c r="C675" s="159" t="s">
        <v>614</v>
      </c>
      <c r="D675" s="155" t="s">
        <v>614</v>
      </c>
      <c r="E675" s="159" t="s">
        <v>852</v>
      </c>
      <c r="F675" s="156" t="s">
        <v>826</v>
      </c>
      <c r="G675" s="30"/>
      <c r="H675" s="20">
        <v>17698.5</v>
      </c>
      <c r="I675" s="20" t="e">
        <f t="shared" si="18"/>
        <v>#DIV/0!</v>
      </c>
      <c r="J675" s="246">
        <f>SUM('ведомствен.2013'!G1373)</f>
        <v>0</v>
      </c>
    </row>
    <row r="676" spans="1:9" ht="18.75" customHeight="1" hidden="1">
      <c r="A676" s="106" t="s">
        <v>340</v>
      </c>
      <c r="B676" s="120"/>
      <c r="C676" s="159" t="s">
        <v>614</v>
      </c>
      <c r="D676" s="159" t="s">
        <v>614</v>
      </c>
      <c r="E676" s="159" t="s">
        <v>341</v>
      </c>
      <c r="F676" s="158"/>
      <c r="G676" s="30">
        <f>SUM(G677)</f>
        <v>0</v>
      </c>
      <c r="H676" s="20">
        <f>SUM(H677)</f>
        <v>0</v>
      </c>
      <c r="I676" s="20" t="e">
        <f>SUM(H676/G676*100)</f>
        <v>#DIV/0!</v>
      </c>
    </row>
    <row r="677" spans="1:9" ht="45.75" customHeight="1" hidden="1">
      <c r="A677" s="140" t="s">
        <v>835</v>
      </c>
      <c r="B677" s="171"/>
      <c r="C677" s="171" t="s">
        <v>614</v>
      </c>
      <c r="D677" s="171" t="s">
        <v>614</v>
      </c>
      <c r="E677" s="171" t="s">
        <v>836</v>
      </c>
      <c r="F677" s="161"/>
      <c r="G677" s="225">
        <f>SUM(G678)</f>
        <v>0</v>
      </c>
      <c r="H677" s="20"/>
      <c r="I677" s="20"/>
    </row>
    <row r="678" spans="1:10" ht="17.25" customHeight="1" hidden="1">
      <c r="A678" s="140" t="s">
        <v>876</v>
      </c>
      <c r="B678" s="171"/>
      <c r="C678" s="171" t="s">
        <v>614</v>
      </c>
      <c r="D678" s="171" t="s">
        <v>614</v>
      </c>
      <c r="E678" s="171" t="s">
        <v>836</v>
      </c>
      <c r="F678" s="161" t="s">
        <v>877</v>
      </c>
      <c r="G678" s="225"/>
      <c r="H678" s="20"/>
      <c r="I678" s="20"/>
      <c r="J678" s="246">
        <f>SUM('ведомствен.2013'!G1122)</f>
        <v>0</v>
      </c>
    </row>
    <row r="679" spans="1:9" ht="13.5" customHeight="1" hidden="1">
      <c r="A679" s="108" t="s">
        <v>891</v>
      </c>
      <c r="B679" s="155"/>
      <c r="C679" s="159" t="s">
        <v>614</v>
      </c>
      <c r="D679" s="155" t="s">
        <v>614</v>
      </c>
      <c r="E679" s="159" t="s">
        <v>890</v>
      </c>
      <c r="F679" s="156" t="s">
        <v>892</v>
      </c>
      <c r="G679" s="30"/>
      <c r="H679" s="20"/>
      <c r="I679" s="20" t="e">
        <f t="shared" si="18"/>
        <v>#DIV/0!</v>
      </c>
    </row>
    <row r="680" spans="1:9" ht="14.25" customHeight="1">
      <c r="A680" s="108" t="s">
        <v>634</v>
      </c>
      <c r="B680" s="188"/>
      <c r="C680" s="159" t="s">
        <v>614</v>
      </c>
      <c r="D680" s="159" t="s">
        <v>614</v>
      </c>
      <c r="E680" s="159" t="s">
        <v>635</v>
      </c>
      <c r="F680" s="158"/>
      <c r="G680" s="30">
        <f>SUM(G685)+G681+G683</f>
        <v>1723.8</v>
      </c>
      <c r="H680" s="20" t="e">
        <f>SUM(#REF!)</f>
        <v>#REF!</v>
      </c>
      <c r="I680" s="20" t="e">
        <f>SUM(H680/G680*100)</f>
        <v>#REF!</v>
      </c>
    </row>
    <row r="681" spans="1:9" ht="47.25" customHeight="1" hidden="1">
      <c r="A681" s="109" t="s">
        <v>821</v>
      </c>
      <c r="B681" s="188"/>
      <c r="C681" s="159" t="s">
        <v>614</v>
      </c>
      <c r="D681" s="159" t="s">
        <v>614</v>
      </c>
      <c r="E681" s="159" t="s">
        <v>1037</v>
      </c>
      <c r="F681" s="158"/>
      <c r="G681" s="30">
        <f>SUM(G682)</f>
        <v>0</v>
      </c>
      <c r="H681" s="20"/>
      <c r="I681" s="20"/>
    </row>
    <row r="682" spans="1:10" ht="22.5" customHeight="1" hidden="1">
      <c r="A682" s="108" t="s">
        <v>483</v>
      </c>
      <c r="B682" s="188"/>
      <c r="C682" s="159" t="s">
        <v>614</v>
      </c>
      <c r="D682" s="159" t="s">
        <v>614</v>
      </c>
      <c r="E682" s="159" t="s">
        <v>1037</v>
      </c>
      <c r="F682" s="158" t="s">
        <v>933</v>
      </c>
      <c r="G682" s="30"/>
      <c r="H682" s="20"/>
      <c r="I682" s="20"/>
      <c r="J682" s="246">
        <f>SUM('ведомствен.2013'!G1125)</f>
        <v>0</v>
      </c>
    </row>
    <row r="683" spans="1:9" ht="30" customHeight="1">
      <c r="A683" s="108" t="s">
        <v>313</v>
      </c>
      <c r="B683" s="188"/>
      <c r="C683" s="159" t="s">
        <v>614</v>
      </c>
      <c r="D683" s="159" t="s">
        <v>614</v>
      </c>
      <c r="E683" s="159" t="s">
        <v>590</v>
      </c>
      <c r="F683" s="158"/>
      <c r="G683" s="30">
        <f>SUM(G684)</f>
        <v>1323.8</v>
      </c>
      <c r="H683" s="20"/>
      <c r="I683" s="20"/>
    </row>
    <row r="684" spans="1:10" ht="22.5" customHeight="1">
      <c r="A684" s="108" t="s">
        <v>876</v>
      </c>
      <c r="B684" s="188"/>
      <c r="C684" s="159" t="s">
        <v>614</v>
      </c>
      <c r="D684" s="159" t="s">
        <v>614</v>
      </c>
      <c r="E684" s="159" t="s">
        <v>590</v>
      </c>
      <c r="F684" s="158" t="s">
        <v>314</v>
      </c>
      <c r="G684" s="30">
        <v>1323.8</v>
      </c>
      <c r="H684" s="20"/>
      <c r="I684" s="20"/>
      <c r="J684" s="246">
        <f>SUM('ведомствен.2013'!G1378)</f>
        <v>1323.8</v>
      </c>
    </row>
    <row r="685" spans="1:9" ht="42.75">
      <c r="A685" s="109" t="s">
        <v>106</v>
      </c>
      <c r="B685" s="188"/>
      <c r="C685" s="159" t="s">
        <v>614</v>
      </c>
      <c r="D685" s="159" t="s">
        <v>614</v>
      </c>
      <c r="E685" s="159" t="s">
        <v>105</v>
      </c>
      <c r="F685" s="158"/>
      <c r="G685" s="30">
        <f>SUM(G686+G687)</f>
        <v>400</v>
      </c>
      <c r="H685" s="20"/>
      <c r="I685" s="20"/>
    </row>
    <row r="686" spans="1:10" ht="22.5" customHeight="1">
      <c r="A686" s="108" t="s">
        <v>876</v>
      </c>
      <c r="B686" s="188"/>
      <c r="C686" s="159" t="s">
        <v>614</v>
      </c>
      <c r="D686" s="159" t="s">
        <v>614</v>
      </c>
      <c r="E686" s="159" t="s">
        <v>105</v>
      </c>
      <c r="F686" s="158" t="s">
        <v>877</v>
      </c>
      <c r="G686" s="30">
        <v>400</v>
      </c>
      <c r="H686" s="20"/>
      <c r="I686" s="20"/>
      <c r="J686" s="246">
        <f>SUM('ведомствен.2013'!G1380+'ведомствен.2013'!G1129+'ведомствен.2013'!G773+'ведомствен.2013'!G1462)</f>
        <v>400</v>
      </c>
    </row>
    <row r="687" spans="1:10" ht="32.25" customHeight="1" hidden="1">
      <c r="A687" s="105" t="s">
        <v>711</v>
      </c>
      <c r="B687" s="188"/>
      <c r="C687" s="159" t="s">
        <v>614</v>
      </c>
      <c r="D687" s="159" t="s">
        <v>614</v>
      </c>
      <c r="E687" s="159" t="s">
        <v>105</v>
      </c>
      <c r="F687" s="158" t="s">
        <v>566</v>
      </c>
      <c r="G687" s="30"/>
      <c r="H687" s="20"/>
      <c r="I687" s="20"/>
      <c r="J687" s="246">
        <f>SUM('ведомствен.2013'!G1130)</f>
        <v>0</v>
      </c>
    </row>
    <row r="688" spans="1:11" ht="14.25" customHeight="1">
      <c r="A688" s="106" t="s">
        <v>893</v>
      </c>
      <c r="B688" s="155"/>
      <c r="C688" s="159" t="s">
        <v>614</v>
      </c>
      <c r="D688" s="159" t="s">
        <v>1</v>
      </c>
      <c r="E688" s="159"/>
      <c r="F688" s="157"/>
      <c r="G688" s="30">
        <f>SUM(G692+G696+G703+G722+G689)+G719</f>
        <v>39891.2</v>
      </c>
      <c r="H688" s="20" t="e">
        <f>SUM(H692+H696+H703+H722+H689)</f>
        <v>#REF!</v>
      </c>
      <c r="I688" s="20" t="e">
        <f t="shared" si="18"/>
        <v>#REF!</v>
      </c>
      <c r="K688">
        <f>SUM(J692:J742)</f>
        <v>39891.2</v>
      </c>
    </row>
    <row r="689" spans="1:10" s="25" customFormat="1" ht="28.5" customHeight="1" hidden="1">
      <c r="A689" s="105" t="s">
        <v>937</v>
      </c>
      <c r="B689" s="159"/>
      <c r="C689" s="159" t="s">
        <v>614</v>
      </c>
      <c r="D689" s="159" t="s">
        <v>1</v>
      </c>
      <c r="E689" s="159" t="s">
        <v>183</v>
      </c>
      <c r="F689" s="157"/>
      <c r="G689" s="30">
        <f>SUM(G690)</f>
        <v>0</v>
      </c>
      <c r="H689" s="20">
        <f>SUM(H690)</f>
        <v>0</v>
      </c>
      <c r="I689" s="20" t="e">
        <f t="shared" si="18"/>
        <v>#DIV/0!</v>
      </c>
      <c r="J689" s="250"/>
    </row>
    <row r="690" spans="1:10" s="25" customFormat="1" ht="27.75" customHeight="1" hidden="1">
      <c r="A690" s="105" t="s">
        <v>894</v>
      </c>
      <c r="B690" s="159"/>
      <c r="C690" s="159" t="s">
        <v>614</v>
      </c>
      <c r="D690" s="159" t="s">
        <v>1</v>
      </c>
      <c r="E690" s="159" t="s">
        <v>640</v>
      </c>
      <c r="F690" s="157"/>
      <c r="G690" s="30">
        <f>SUM(G691)</f>
        <v>0</v>
      </c>
      <c r="H690" s="20">
        <f>SUM(H691)</f>
        <v>0</v>
      </c>
      <c r="I690" s="20" t="e">
        <f t="shared" si="18"/>
        <v>#DIV/0!</v>
      </c>
      <c r="J690" s="250"/>
    </row>
    <row r="691" spans="1:10" s="25" customFormat="1" ht="18" customHeight="1" hidden="1">
      <c r="A691" s="105" t="s">
        <v>504</v>
      </c>
      <c r="B691" s="159"/>
      <c r="C691" s="159" t="s">
        <v>614</v>
      </c>
      <c r="D691" s="159" t="s">
        <v>1</v>
      </c>
      <c r="E691" s="159" t="s">
        <v>640</v>
      </c>
      <c r="F691" s="157" t="s">
        <v>642</v>
      </c>
      <c r="G691" s="30"/>
      <c r="H691" s="20"/>
      <c r="I691" s="20" t="e">
        <f t="shared" si="18"/>
        <v>#DIV/0!</v>
      </c>
      <c r="J691" s="250"/>
    </row>
    <row r="692" spans="1:9" ht="15" hidden="1">
      <c r="A692" s="127" t="s">
        <v>57</v>
      </c>
      <c r="B692" s="167"/>
      <c r="C692" s="159" t="s">
        <v>614</v>
      </c>
      <c r="D692" s="159" t="s">
        <v>1</v>
      </c>
      <c r="E692" s="159" t="s">
        <v>58</v>
      </c>
      <c r="F692" s="157"/>
      <c r="G692" s="30">
        <f aca="true" t="shared" si="19" ref="G692:H694">SUM(G693)</f>
        <v>0</v>
      </c>
      <c r="H692" s="20">
        <f t="shared" si="19"/>
        <v>1869.7</v>
      </c>
      <c r="I692" s="20" t="e">
        <f t="shared" si="18"/>
        <v>#DIV/0!</v>
      </c>
    </row>
    <row r="693" spans="1:9" ht="19.5" customHeight="1" hidden="1">
      <c r="A693" s="106" t="s">
        <v>895</v>
      </c>
      <c r="B693" s="167"/>
      <c r="C693" s="159" t="s">
        <v>614</v>
      </c>
      <c r="D693" s="159" t="s">
        <v>1</v>
      </c>
      <c r="E693" s="159" t="s">
        <v>1011</v>
      </c>
      <c r="F693" s="157"/>
      <c r="G693" s="30">
        <f t="shared" si="19"/>
        <v>0</v>
      </c>
      <c r="H693" s="20">
        <f t="shared" si="19"/>
        <v>1869.7</v>
      </c>
      <c r="I693" s="20" t="e">
        <f t="shared" si="18"/>
        <v>#DIV/0!</v>
      </c>
    </row>
    <row r="694" spans="1:9" ht="30" customHeight="1" hidden="1">
      <c r="A694" s="108" t="s">
        <v>998</v>
      </c>
      <c r="B694" s="167"/>
      <c r="C694" s="159" t="s">
        <v>614</v>
      </c>
      <c r="D694" s="159" t="s">
        <v>1</v>
      </c>
      <c r="E694" s="159" t="s">
        <v>999</v>
      </c>
      <c r="F694" s="157"/>
      <c r="G694" s="30">
        <f t="shared" si="19"/>
        <v>0</v>
      </c>
      <c r="H694" s="20">
        <f t="shared" si="19"/>
        <v>1869.7</v>
      </c>
      <c r="I694" s="20" t="e">
        <f t="shared" si="18"/>
        <v>#DIV/0!</v>
      </c>
    </row>
    <row r="695" spans="1:10" ht="18" customHeight="1" hidden="1">
      <c r="A695" s="108" t="s">
        <v>483</v>
      </c>
      <c r="B695" s="167"/>
      <c r="C695" s="159" t="s">
        <v>614</v>
      </c>
      <c r="D695" s="159" t="s">
        <v>1</v>
      </c>
      <c r="E695" s="159" t="s">
        <v>999</v>
      </c>
      <c r="F695" s="157" t="s">
        <v>933</v>
      </c>
      <c r="G695" s="30"/>
      <c r="H695" s="20">
        <v>1869.7</v>
      </c>
      <c r="I695" s="20" t="e">
        <f t="shared" si="18"/>
        <v>#DIV/0!</v>
      </c>
      <c r="J695" s="246">
        <f>SUM('ведомствен.2013'!G1385)</f>
        <v>0</v>
      </c>
    </row>
    <row r="696" spans="1:9" ht="57">
      <c r="A696" s="133" t="s">
        <v>1000</v>
      </c>
      <c r="B696" s="155"/>
      <c r="C696" s="159" t="s">
        <v>614</v>
      </c>
      <c r="D696" s="159" t="s">
        <v>1</v>
      </c>
      <c r="E696" s="159" t="s">
        <v>1001</v>
      </c>
      <c r="F696" s="157"/>
      <c r="G696" s="30">
        <f>SUM(G697)</f>
        <v>36244.2</v>
      </c>
      <c r="H696" s="20">
        <f>SUM(H697)</f>
        <v>17823.6</v>
      </c>
      <c r="I696" s="20">
        <f t="shared" si="18"/>
        <v>49.17641995133014</v>
      </c>
    </row>
    <row r="697" spans="1:9" ht="33" customHeight="1">
      <c r="A697" s="106" t="s">
        <v>482</v>
      </c>
      <c r="B697" s="167"/>
      <c r="C697" s="159" t="s">
        <v>614</v>
      </c>
      <c r="D697" s="159" t="s">
        <v>1</v>
      </c>
      <c r="E697" s="159" t="s">
        <v>1002</v>
      </c>
      <c r="F697" s="157"/>
      <c r="G697" s="30">
        <f>SUM(G698+G699+G701)</f>
        <v>36244.2</v>
      </c>
      <c r="H697" s="20">
        <f>SUM(H698+H699+H701)</f>
        <v>17823.6</v>
      </c>
      <c r="I697" s="20">
        <f t="shared" si="18"/>
        <v>49.17641995133014</v>
      </c>
    </row>
    <row r="698" spans="1:10" ht="18" customHeight="1">
      <c r="A698" s="108" t="s">
        <v>483</v>
      </c>
      <c r="B698" s="167"/>
      <c r="C698" s="159" t="s">
        <v>614</v>
      </c>
      <c r="D698" s="159" t="s">
        <v>1</v>
      </c>
      <c r="E698" s="159" t="s">
        <v>1002</v>
      </c>
      <c r="F698" s="157" t="s">
        <v>933</v>
      </c>
      <c r="G698" s="30">
        <v>36125.1</v>
      </c>
      <c r="H698" s="20">
        <v>17823.6</v>
      </c>
      <c r="I698" s="20">
        <f t="shared" si="18"/>
        <v>49.338548543810255</v>
      </c>
      <c r="J698" s="246">
        <f>SUM('ведомствен.2013'!G1388)+'ведомствен.2013'!G777</f>
        <v>36125.1</v>
      </c>
    </row>
    <row r="699" spans="1:9" ht="32.25" customHeight="1">
      <c r="A699" s="108" t="s">
        <v>962</v>
      </c>
      <c r="B699" s="167"/>
      <c r="C699" s="159" t="s">
        <v>614</v>
      </c>
      <c r="D699" s="159" t="s">
        <v>1</v>
      </c>
      <c r="E699" s="159" t="s">
        <v>1003</v>
      </c>
      <c r="F699" s="157"/>
      <c r="G699" s="30">
        <f>SUM(G700)</f>
        <v>119.1</v>
      </c>
      <c r="H699" s="20">
        <f>SUM(H700)</f>
        <v>0</v>
      </c>
      <c r="I699" s="20">
        <f t="shared" si="18"/>
        <v>0</v>
      </c>
    </row>
    <row r="700" spans="1:10" ht="20.25" customHeight="1">
      <c r="A700" s="108" t="s">
        <v>483</v>
      </c>
      <c r="B700" s="167"/>
      <c r="C700" s="159" t="s">
        <v>614</v>
      </c>
      <c r="D700" s="159" t="s">
        <v>1</v>
      </c>
      <c r="E700" s="159" t="s">
        <v>1003</v>
      </c>
      <c r="F700" s="157" t="s">
        <v>933</v>
      </c>
      <c r="G700" s="30">
        <v>119.1</v>
      </c>
      <c r="H700" s="20"/>
      <c r="I700" s="20">
        <f t="shared" si="18"/>
        <v>0</v>
      </c>
      <c r="J700" s="246">
        <f>SUM('ведомствен.2013'!G1390)</f>
        <v>119.1</v>
      </c>
    </row>
    <row r="701" spans="1:9" ht="62.25" customHeight="1" hidden="1">
      <c r="A701" s="106" t="s">
        <v>418</v>
      </c>
      <c r="B701" s="120"/>
      <c r="C701" s="159" t="s">
        <v>614</v>
      </c>
      <c r="D701" s="159" t="s">
        <v>1</v>
      </c>
      <c r="E701" s="159" t="s">
        <v>1004</v>
      </c>
      <c r="F701" s="158"/>
      <c r="G701" s="30">
        <f>SUM(G702)</f>
        <v>0</v>
      </c>
      <c r="H701" s="20">
        <f>SUM(H702)</f>
        <v>0</v>
      </c>
      <c r="I701" s="20" t="e">
        <f t="shared" si="18"/>
        <v>#DIV/0!</v>
      </c>
    </row>
    <row r="702" spans="1:9" ht="18" customHeight="1" hidden="1">
      <c r="A702" s="108" t="s">
        <v>932</v>
      </c>
      <c r="B702" s="167"/>
      <c r="C702" s="159" t="s">
        <v>614</v>
      </c>
      <c r="D702" s="159" t="s">
        <v>1</v>
      </c>
      <c r="E702" s="159" t="s">
        <v>1004</v>
      </c>
      <c r="F702" s="157" t="s">
        <v>933</v>
      </c>
      <c r="G702" s="30"/>
      <c r="H702" s="20"/>
      <c r="I702" s="20" t="e">
        <f t="shared" si="18"/>
        <v>#DIV/0!</v>
      </c>
    </row>
    <row r="703" spans="1:9" ht="19.5" customHeight="1" hidden="1">
      <c r="A703" s="106" t="s">
        <v>340</v>
      </c>
      <c r="B703" s="120"/>
      <c r="C703" s="159" t="s">
        <v>614</v>
      </c>
      <c r="D703" s="159" t="s">
        <v>1</v>
      </c>
      <c r="E703" s="159" t="s">
        <v>341</v>
      </c>
      <c r="F703" s="158"/>
      <c r="G703" s="30">
        <f>SUM(G712)</f>
        <v>0</v>
      </c>
      <c r="H703" s="20" t="e">
        <f>SUM(H704+H708+H712+H706)+H710+H715</f>
        <v>#REF!</v>
      </c>
      <c r="I703" s="20" t="e">
        <f t="shared" si="18"/>
        <v>#REF!</v>
      </c>
    </row>
    <row r="704" spans="1:9" ht="42.75" hidden="1">
      <c r="A704" s="106" t="s">
        <v>1005</v>
      </c>
      <c r="B704" s="120"/>
      <c r="C704" s="159" t="s">
        <v>614</v>
      </c>
      <c r="D704" s="159" t="s">
        <v>1</v>
      </c>
      <c r="E704" s="159" t="s">
        <v>1006</v>
      </c>
      <c r="F704" s="158"/>
      <c r="G704" s="30">
        <f>SUM(G705)</f>
        <v>0</v>
      </c>
      <c r="H704" s="20">
        <f>SUM(H705)</f>
        <v>3.5</v>
      </c>
      <c r="I704" s="20"/>
    </row>
    <row r="705" spans="1:9" ht="15" hidden="1">
      <c r="A705" s="108" t="s">
        <v>932</v>
      </c>
      <c r="B705" s="120"/>
      <c r="C705" s="159" t="s">
        <v>614</v>
      </c>
      <c r="D705" s="159" t="s">
        <v>1</v>
      </c>
      <c r="E705" s="159" t="s">
        <v>1006</v>
      </c>
      <c r="F705" s="158" t="s">
        <v>933</v>
      </c>
      <c r="G705" s="30"/>
      <c r="H705" s="20">
        <v>3.5</v>
      </c>
      <c r="I705" s="20"/>
    </row>
    <row r="706" spans="1:9" ht="71.25" hidden="1">
      <c r="A706" s="106" t="s">
        <v>1007</v>
      </c>
      <c r="B706" s="120"/>
      <c r="C706" s="159" t="s">
        <v>614</v>
      </c>
      <c r="D706" s="159" t="s">
        <v>1</v>
      </c>
      <c r="E706" s="159" t="s">
        <v>1008</v>
      </c>
      <c r="F706" s="158"/>
      <c r="G706" s="30">
        <f>SUM(G707)</f>
        <v>0</v>
      </c>
      <c r="H706" s="20">
        <f>SUM(H707)</f>
        <v>0</v>
      </c>
      <c r="I706" s="20" t="e">
        <f t="shared" si="18"/>
        <v>#DIV/0!</v>
      </c>
    </row>
    <row r="707" spans="1:9" ht="28.5" hidden="1">
      <c r="A707" s="106" t="s">
        <v>90</v>
      </c>
      <c r="B707" s="120"/>
      <c r="C707" s="159" t="s">
        <v>614</v>
      </c>
      <c r="D707" s="159" t="s">
        <v>1</v>
      </c>
      <c r="E707" s="159" t="s">
        <v>1008</v>
      </c>
      <c r="F707" s="158" t="s">
        <v>1009</v>
      </c>
      <c r="G707" s="30"/>
      <c r="H707" s="20"/>
      <c r="I707" s="20" t="e">
        <f t="shared" si="18"/>
        <v>#DIV/0!</v>
      </c>
    </row>
    <row r="708" spans="1:9" ht="42.75" hidden="1">
      <c r="A708" s="106" t="s">
        <v>79</v>
      </c>
      <c r="B708" s="120"/>
      <c r="C708" s="159" t="s">
        <v>614</v>
      </c>
      <c r="D708" s="159" t="s">
        <v>1</v>
      </c>
      <c r="E708" s="159" t="s">
        <v>80</v>
      </c>
      <c r="F708" s="158"/>
      <c r="G708" s="30">
        <f>SUM(G709)</f>
        <v>0</v>
      </c>
      <c r="H708" s="20">
        <f>SUM(H709)</f>
        <v>0</v>
      </c>
      <c r="I708" s="20" t="e">
        <f t="shared" si="18"/>
        <v>#DIV/0!</v>
      </c>
    </row>
    <row r="709" spans="1:9" ht="15" hidden="1">
      <c r="A709" s="108" t="s">
        <v>932</v>
      </c>
      <c r="B709" s="120"/>
      <c r="C709" s="159" t="s">
        <v>614</v>
      </c>
      <c r="D709" s="159" t="s">
        <v>1</v>
      </c>
      <c r="E709" s="159" t="s">
        <v>80</v>
      </c>
      <c r="F709" s="158" t="s">
        <v>933</v>
      </c>
      <c r="G709" s="30"/>
      <c r="H709" s="20"/>
      <c r="I709" s="20" t="e">
        <f t="shared" si="18"/>
        <v>#DIV/0!</v>
      </c>
    </row>
    <row r="710" spans="1:9" ht="28.5" hidden="1">
      <c r="A710" s="108" t="s">
        <v>420</v>
      </c>
      <c r="B710" s="120"/>
      <c r="C710" s="159" t="s">
        <v>614</v>
      </c>
      <c r="D710" s="159" t="s">
        <v>1</v>
      </c>
      <c r="E710" s="159" t="s">
        <v>1010</v>
      </c>
      <c r="F710" s="158"/>
      <c r="G710" s="30">
        <f>SUM(G711)</f>
        <v>0</v>
      </c>
      <c r="H710" s="20">
        <f>SUM(H711)</f>
        <v>0</v>
      </c>
      <c r="I710" s="20" t="e">
        <f t="shared" si="18"/>
        <v>#DIV/0!</v>
      </c>
    </row>
    <row r="711" spans="1:9" ht="28.5" hidden="1">
      <c r="A711" s="106" t="s">
        <v>90</v>
      </c>
      <c r="B711" s="120"/>
      <c r="C711" s="159" t="s">
        <v>614</v>
      </c>
      <c r="D711" s="159" t="s">
        <v>1</v>
      </c>
      <c r="E711" s="159" t="s">
        <v>1010</v>
      </c>
      <c r="F711" s="158" t="s">
        <v>1009</v>
      </c>
      <c r="G711" s="30"/>
      <c r="H711" s="20"/>
      <c r="I711" s="20" t="e">
        <f t="shared" si="18"/>
        <v>#DIV/0!</v>
      </c>
    </row>
    <row r="712" spans="1:9" ht="28.5" customHeight="1" hidden="1">
      <c r="A712" s="106" t="s">
        <v>653</v>
      </c>
      <c r="B712" s="120"/>
      <c r="C712" s="159" t="s">
        <v>614</v>
      </c>
      <c r="D712" s="159" t="s">
        <v>1</v>
      </c>
      <c r="E712" s="159" t="s">
        <v>654</v>
      </c>
      <c r="F712" s="158"/>
      <c r="G712" s="30">
        <f>SUM(G713)+G721</f>
        <v>0</v>
      </c>
      <c r="H712" s="20" t="e">
        <f>SUM(H713)</f>
        <v>#REF!</v>
      </c>
      <c r="I712" s="20" t="e">
        <f t="shared" si="18"/>
        <v>#REF!</v>
      </c>
    </row>
    <row r="713" spans="1:10" ht="24.75" customHeight="1" hidden="1">
      <c r="A713" s="108" t="s">
        <v>932</v>
      </c>
      <c r="B713" s="120"/>
      <c r="C713" s="159" t="s">
        <v>614</v>
      </c>
      <c r="D713" s="159" t="s">
        <v>1</v>
      </c>
      <c r="E713" s="159" t="s">
        <v>654</v>
      </c>
      <c r="F713" s="158" t="s">
        <v>933</v>
      </c>
      <c r="G713" s="30"/>
      <c r="H713" s="20" t="e">
        <f>SUM('[1]Ведомств.'!G586)</f>
        <v>#REF!</v>
      </c>
      <c r="I713" s="20" t="e">
        <f t="shared" si="18"/>
        <v>#REF!</v>
      </c>
      <c r="J713" s="246">
        <f>SUM('ведомствен.2013'!G1405)</f>
        <v>0</v>
      </c>
    </row>
    <row r="714" spans="1:9" ht="30.75" customHeight="1" hidden="1">
      <c r="A714" s="108" t="s">
        <v>1038</v>
      </c>
      <c r="B714" s="120"/>
      <c r="C714" s="159" t="s">
        <v>614</v>
      </c>
      <c r="D714" s="159" t="s">
        <v>1</v>
      </c>
      <c r="E714" s="159" t="s">
        <v>654</v>
      </c>
      <c r="F714" s="158" t="s">
        <v>72</v>
      </c>
      <c r="G714" s="30"/>
      <c r="H714" s="20"/>
      <c r="I714" s="20"/>
    </row>
    <row r="715" spans="1:9" ht="87.75" customHeight="1" hidden="1">
      <c r="A715" s="130" t="s">
        <v>655</v>
      </c>
      <c r="B715" s="120"/>
      <c r="C715" s="159" t="s">
        <v>614</v>
      </c>
      <c r="D715" s="159" t="s">
        <v>1</v>
      </c>
      <c r="E715" s="159" t="s">
        <v>656</v>
      </c>
      <c r="F715" s="158"/>
      <c r="G715" s="30">
        <f>SUM(G716)</f>
        <v>0</v>
      </c>
      <c r="H715" s="20">
        <f>SUM(H716)</f>
        <v>568.5</v>
      </c>
      <c r="I715" s="20" t="e">
        <f t="shared" si="18"/>
        <v>#DIV/0!</v>
      </c>
    </row>
    <row r="716" spans="1:9" ht="15" hidden="1">
      <c r="A716" s="108" t="s">
        <v>932</v>
      </c>
      <c r="B716" s="120"/>
      <c r="C716" s="159" t="s">
        <v>614</v>
      </c>
      <c r="D716" s="159" t="s">
        <v>1</v>
      </c>
      <c r="E716" s="159" t="s">
        <v>656</v>
      </c>
      <c r="F716" s="158" t="s">
        <v>933</v>
      </c>
      <c r="G716" s="30"/>
      <c r="H716" s="20">
        <v>568.5</v>
      </c>
      <c r="I716" s="20" t="e">
        <f t="shared" si="18"/>
        <v>#DIV/0!</v>
      </c>
    </row>
    <row r="717" spans="1:9" ht="15" hidden="1">
      <c r="A717" s="108"/>
      <c r="B717" s="120"/>
      <c r="C717" s="159"/>
      <c r="D717" s="159"/>
      <c r="E717" s="159"/>
      <c r="F717" s="158"/>
      <c r="G717" s="30"/>
      <c r="H717" s="20"/>
      <c r="I717" s="20"/>
    </row>
    <row r="718" spans="1:9" ht="15" hidden="1">
      <c r="A718" s="108"/>
      <c r="B718" s="120"/>
      <c r="C718" s="159"/>
      <c r="D718" s="159"/>
      <c r="E718" s="159"/>
      <c r="F718" s="158"/>
      <c r="G718" s="30"/>
      <c r="H718" s="20"/>
      <c r="I718" s="20"/>
    </row>
    <row r="719" spans="1:9" ht="27.75" customHeight="1" hidden="1">
      <c r="A719" s="133" t="s">
        <v>813</v>
      </c>
      <c r="B719" s="155"/>
      <c r="C719" s="159" t="s">
        <v>614</v>
      </c>
      <c r="D719" s="159" t="s">
        <v>1</v>
      </c>
      <c r="E719" s="155" t="s">
        <v>814</v>
      </c>
      <c r="F719" s="158"/>
      <c r="G719" s="30">
        <f>SUM(G720)</f>
        <v>0</v>
      </c>
      <c r="H719" s="20">
        <f>SUM(H720)</f>
        <v>0</v>
      </c>
      <c r="I719" s="20" t="e">
        <f>SUM(H719/G719*100)</f>
        <v>#DIV/0!</v>
      </c>
    </row>
    <row r="720" spans="1:9" ht="16.5" customHeight="1" hidden="1">
      <c r="A720" s="108" t="s">
        <v>483</v>
      </c>
      <c r="B720" s="155"/>
      <c r="C720" s="183" t="s">
        <v>348</v>
      </c>
      <c r="D720" s="183" t="s">
        <v>132</v>
      </c>
      <c r="E720" s="155" t="s">
        <v>814</v>
      </c>
      <c r="F720" s="156" t="s">
        <v>933</v>
      </c>
      <c r="G720" s="225"/>
      <c r="H720" s="20"/>
      <c r="I720" s="20"/>
    </row>
    <row r="721" spans="1:10" ht="27.75" customHeight="1" hidden="1">
      <c r="A721" s="105" t="s">
        <v>711</v>
      </c>
      <c r="B721" s="120"/>
      <c r="C721" s="159" t="s">
        <v>614</v>
      </c>
      <c r="D721" s="159" t="s">
        <v>1</v>
      </c>
      <c r="E721" s="159" t="s">
        <v>654</v>
      </c>
      <c r="F721" s="158" t="s">
        <v>566</v>
      </c>
      <c r="G721" s="30"/>
      <c r="H721" s="20"/>
      <c r="I721" s="20"/>
      <c r="J721" s="246">
        <f>SUM('ведомствен.2013'!G1410)</f>
        <v>0</v>
      </c>
    </row>
    <row r="722" spans="1:10" s="39" customFormat="1" ht="16.5" customHeight="1">
      <c r="A722" s="108" t="s">
        <v>634</v>
      </c>
      <c r="B722" s="188"/>
      <c r="C722" s="159" t="s">
        <v>614</v>
      </c>
      <c r="D722" s="159" t="s">
        <v>1</v>
      </c>
      <c r="E722" s="159" t="s">
        <v>635</v>
      </c>
      <c r="F722" s="158"/>
      <c r="G722" s="30">
        <f>SUM(G723,G725,G727,G730,G733,G738,G734)+G737+G741</f>
        <v>3647</v>
      </c>
      <c r="H722" s="20">
        <f>SUM(H723)</f>
        <v>18780.1</v>
      </c>
      <c r="I722" s="20">
        <f t="shared" si="18"/>
        <v>514.9465313956676</v>
      </c>
      <c r="J722" s="261"/>
    </row>
    <row r="723" spans="1:10" s="39" customFormat="1" ht="44.25" customHeight="1" hidden="1">
      <c r="A723" s="105" t="s">
        <v>821</v>
      </c>
      <c r="B723" s="188"/>
      <c r="C723" s="159" t="s">
        <v>614</v>
      </c>
      <c r="D723" s="159" t="s">
        <v>1</v>
      </c>
      <c r="E723" s="159" t="s">
        <v>1037</v>
      </c>
      <c r="F723" s="158"/>
      <c r="G723" s="30">
        <f>SUM(G724)</f>
        <v>0</v>
      </c>
      <c r="H723" s="20">
        <f>SUM(H725:H738)</f>
        <v>18780.1</v>
      </c>
      <c r="I723" s="20" t="e">
        <f>SUM(H723/G723*100)</f>
        <v>#DIV/0!</v>
      </c>
      <c r="J723" s="261"/>
    </row>
    <row r="724" spans="1:10" ht="15.75" customHeight="1" hidden="1">
      <c r="A724" s="108" t="s">
        <v>483</v>
      </c>
      <c r="B724" s="188"/>
      <c r="C724" s="159" t="s">
        <v>1039</v>
      </c>
      <c r="D724" s="159" t="s">
        <v>1</v>
      </c>
      <c r="E724" s="159" t="s">
        <v>1037</v>
      </c>
      <c r="F724" s="158" t="s">
        <v>933</v>
      </c>
      <c r="G724" s="30"/>
      <c r="H724" s="20"/>
      <c r="I724" s="20"/>
      <c r="J724" s="246">
        <f>SUM('ведомствен.2013'!G1414)</f>
        <v>0</v>
      </c>
    </row>
    <row r="725" spans="1:10" s="39" customFormat="1" ht="42" customHeight="1" hidden="1">
      <c r="A725" s="109" t="s">
        <v>682</v>
      </c>
      <c r="B725" s="188"/>
      <c r="C725" s="159" t="s">
        <v>614</v>
      </c>
      <c r="D725" s="159" t="s">
        <v>1</v>
      </c>
      <c r="E725" s="159" t="s">
        <v>97</v>
      </c>
      <c r="F725" s="158"/>
      <c r="G725" s="30">
        <f>SUM(G726)</f>
        <v>0</v>
      </c>
      <c r="H725" s="20">
        <v>179.9</v>
      </c>
      <c r="I725" s="20" t="e">
        <f>SUM(H725/G725*100)</f>
        <v>#DIV/0!</v>
      </c>
      <c r="J725" s="246"/>
    </row>
    <row r="726" spans="1:10" s="39" customFormat="1" ht="16.5" customHeight="1" hidden="1">
      <c r="A726" s="108" t="s">
        <v>876</v>
      </c>
      <c r="B726" s="188"/>
      <c r="C726" s="159" t="s">
        <v>614</v>
      </c>
      <c r="D726" s="159" t="s">
        <v>1</v>
      </c>
      <c r="E726" s="159" t="s">
        <v>97</v>
      </c>
      <c r="F726" s="158" t="s">
        <v>877</v>
      </c>
      <c r="G726" s="30"/>
      <c r="H726" s="20"/>
      <c r="I726" s="20"/>
      <c r="J726" s="246">
        <f>SUM('ведомствен.2013'!G1134)</f>
        <v>0</v>
      </c>
    </row>
    <row r="727" spans="1:9" ht="18.75" customHeight="1">
      <c r="A727" s="109" t="s">
        <v>293</v>
      </c>
      <c r="B727" s="155"/>
      <c r="C727" s="159" t="s">
        <v>614</v>
      </c>
      <c r="D727" s="159" t="s">
        <v>1</v>
      </c>
      <c r="E727" s="159" t="s">
        <v>98</v>
      </c>
      <c r="F727" s="158"/>
      <c r="G727" s="225">
        <f>SUM(G728:G729)</f>
        <v>2647</v>
      </c>
      <c r="H727" s="27">
        <v>14959.3</v>
      </c>
      <c r="I727" s="20">
        <f>SUM(H727/G727*100)</f>
        <v>565.1416698148847</v>
      </c>
    </row>
    <row r="728" spans="1:10" ht="16.5" customHeight="1">
      <c r="A728" s="108" t="s">
        <v>876</v>
      </c>
      <c r="B728" s="155"/>
      <c r="C728" s="159" t="s">
        <v>614</v>
      </c>
      <c r="D728" s="159" t="s">
        <v>1</v>
      </c>
      <c r="E728" s="159" t="s">
        <v>98</v>
      </c>
      <c r="F728" s="158" t="s">
        <v>877</v>
      </c>
      <c r="G728" s="225">
        <v>2647</v>
      </c>
      <c r="H728" s="27"/>
      <c r="I728" s="20"/>
      <c r="J728" s="246">
        <f>SUM('ведомствен.2013'!G1416)</f>
        <v>2647</v>
      </c>
    </row>
    <row r="729" spans="1:10" ht="31.5" customHeight="1" hidden="1">
      <c r="A729" s="105" t="s">
        <v>711</v>
      </c>
      <c r="B729" s="120"/>
      <c r="C729" s="159" t="s">
        <v>614</v>
      </c>
      <c r="D729" s="159" t="s">
        <v>1</v>
      </c>
      <c r="E729" s="159" t="s">
        <v>98</v>
      </c>
      <c r="F729" s="158" t="s">
        <v>566</v>
      </c>
      <c r="G729" s="30"/>
      <c r="H729" s="27"/>
      <c r="I729" s="20"/>
      <c r="J729" s="246">
        <f>SUM('ведомствен.2013'!G1417)</f>
        <v>0</v>
      </c>
    </row>
    <row r="730" spans="1:9" ht="60" customHeight="1" hidden="1">
      <c r="A730" s="109" t="s">
        <v>1012</v>
      </c>
      <c r="B730" s="155"/>
      <c r="C730" s="159" t="s">
        <v>614</v>
      </c>
      <c r="D730" s="159" t="s">
        <v>1</v>
      </c>
      <c r="E730" s="159" t="s">
        <v>100</v>
      </c>
      <c r="F730" s="158"/>
      <c r="G730" s="225">
        <f>SUM(G731:G732)</f>
        <v>0</v>
      </c>
      <c r="H730" s="27">
        <v>2979.3</v>
      </c>
      <c r="I730" s="20" t="e">
        <f>SUM(H730/G730*100)</f>
        <v>#DIV/0!</v>
      </c>
    </row>
    <row r="731" spans="1:10" ht="17.25" customHeight="1" hidden="1">
      <c r="A731" s="108" t="s">
        <v>876</v>
      </c>
      <c r="B731" s="155"/>
      <c r="C731" s="159" t="s">
        <v>614</v>
      </c>
      <c r="D731" s="159" t="s">
        <v>1</v>
      </c>
      <c r="E731" s="159" t="s">
        <v>100</v>
      </c>
      <c r="F731" s="158" t="s">
        <v>877</v>
      </c>
      <c r="G731" s="225"/>
      <c r="H731" s="27"/>
      <c r="I731" s="20"/>
      <c r="J731" s="246">
        <f>SUM('ведомствен.2013'!G1419)</f>
        <v>0</v>
      </c>
    </row>
    <row r="732" spans="1:10" ht="30.75" customHeight="1" hidden="1">
      <c r="A732" s="105" t="s">
        <v>711</v>
      </c>
      <c r="B732" s="120"/>
      <c r="C732" s="159" t="s">
        <v>614</v>
      </c>
      <c r="D732" s="159" t="s">
        <v>1</v>
      </c>
      <c r="E732" s="159" t="s">
        <v>100</v>
      </c>
      <c r="F732" s="158" t="s">
        <v>566</v>
      </c>
      <c r="G732" s="30"/>
      <c r="H732" s="27"/>
      <c r="I732" s="20"/>
      <c r="J732" s="246">
        <f>SUM('ведомствен.2013'!G1420)</f>
        <v>0</v>
      </c>
    </row>
    <row r="733" spans="1:9" ht="0.75" customHeight="1" hidden="1">
      <c r="A733" s="109" t="s">
        <v>101</v>
      </c>
      <c r="B733" s="155"/>
      <c r="C733" s="159" t="s">
        <v>614</v>
      </c>
      <c r="D733" s="159" t="s">
        <v>1</v>
      </c>
      <c r="E733" s="159" t="s">
        <v>102</v>
      </c>
      <c r="F733" s="158" t="s">
        <v>877</v>
      </c>
      <c r="G733" s="225"/>
      <c r="H733" s="27">
        <v>20.5</v>
      </c>
      <c r="I733" s="20" t="e">
        <f>SUM(H733/G733*100)</f>
        <v>#DIV/0!</v>
      </c>
    </row>
    <row r="734" spans="1:9" ht="30.75" customHeight="1" hidden="1">
      <c r="A734" s="108" t="s">
        <v>591</v>
      </c>
      <c r="B734" s="155"/>
      <c r="C734" s="159" t="s">
        <v>614</v>
      </c>
      <c r="D734" s="159" t="s">
        <v>1</v>
      </c>
      <c r="E734" s="159" t="s">
        <v>590</v>
      </c>
      <c r="F734" s="158"/>
      <c r="G734" s="225">
        <f>SUM(G735)</f>
        <v>0</v>
      </c>
      <c r="H734" s="27"/>
      <c r="I734" s="20"/>
    </row>
    <row r="735" spans="1:10" ht="19.5" customHeight="1" hidden="1">
      <c r="A735" s="108" t="s">
        <v>876</v>
      </c>
      <c r="B735" s="155"/>
      <c r="C735" s="159" t="s">
        <v>614</v>
      </c>
      <c r="D735" s="159" t="s">
        <v>1</v>
      </c>
      <c r="E735" s="159" t="s">
        <v>590</v>
      </c>
      <c r="F735" s="158" t="s">
        <v>877</v>
      </c>
      <c r="G735" s="225"/>
      <c r="H735" s="27"/>
      <c r="I735" s="20"/>
      <c r="J735" s="246">
        <f>SUM('ведомствен.2013'!G1138)</f>
        <v>0</v>
      </c>
    </row>
    <row r="736" spans="1:9" ht="42.75" hidden="1">
      <c r="A736" s="108" t="s">
        <v>156</v>
      </c>
      <c r="B736" s="188"/>
      <c r="C736" s="159" t="s">
        <v>614</v>
      </c>
      <c r="D736" s="159" t="s">
        <v>1</v>
      </c>
      <c r="E736" s="159" t="s">
        <v>157</v>
      </c>
      <c r="F736" s="158"/>
      <c r="G736" s="30">
        <f>SUM(G737)</f>
        <v>0</v>
      </c>
      <c r="H736" s="20"/>
      <c r="I736" s="20"/>
    </row>
    <row r="737" spans="1:10" ht="33.75" customHeight="1" hidden="1">
      <c r="A737" s="108" t="s">
        <v>711</v>
      </c>
      <c r="B737" s="120"/>
      <c r="C737" s="159" t="s">
        <v>614</v>
      </c>
      <c r="D737" s="159" t="s">
        <v>1</v>
      </c>
      <c r="E737" s="159" t="s">
        <v>157</v>
      </c>
      <c r="F737" s="158" t="s">
        <v>566</v>
      </c>
      <c r="G737" s="30"/>
      <c r="H737" s="20"/>
      <c r="I737" s="20"/>
      <c r="J737" s="246">
        <f>SUM('ведомствен.2013'!G1140)</f>
        <v>0</v>
      </c>
    </row>
    <row r="738" spans="1:9" ht="18" customHeight="1" hidden="1">
      <c r="A738" s="109" t="s">
        <v>19</v>
      </c>
      <c r="B738" s="155"/>
      <c r="C738" s="159" t="s">
        <v>614</v>
      </c>
      <c r="D738" s="159" t="s">
        <v>1</v>
      </c>
      <c r="E738" s="159" t="s">
        <v>103</v>
      </c>
      <c r="F738" s="158"/>
      <c r="G738" s="225">
        <f>SUM(G739:G740)</f>
        <v>0</v>
      </c>
      <c r="H738" s="27">
        <v>641.1</v>
      </c>
      <c r="I738" s="20" t="e">
        <f>SUM(H738/G738*100)</f>
        <v>#DIV/0!</v>
      </c>
    </row>
    <row r="739" spans="1:10" ht="21.75" customHeight="1" hidden="1">
      <c r="A739" s="108" t="s">
        <v>876</v>
      </c>
      <c r="B739" s="155"/>
      <c r="C739" s="159" t="s">
        <v>614</v>
      </c>
      <c r="D739" s="159" t="s">
        <v>1</v>
      </c>
      <c r="E739" s="159" t="s">
        <v>103</v>
      </c>
      <c r="F739" s="158" t="s">
        <v>877</v>
      </c>
      <c r="G739" s="225"/>
      <c r="H739" s="27"/>
      <c r="I739" s="20"/>
      <c r="J739" s="246">
        <f>SUM('ведомствен.2013'!G1422)</f>
        <v>0</v>
      </c>
    </row>
    <row r="740" spans="1:10" ht="28.5" customHeight="1" hidden="1">
      <c r="A740" s="108" t="s">
        <v>711</v>
      </c>
      <c r="B740" s="155"/>
      <c r="C740" s="159" t="s">
        <v>614</v>
      </c>
      <c r="D740" s="159" t="s">
        <v>1</v>
      </c>
      <c r="E740" s="159" t="s">
        <v>103</v>
      </c>
      <c r="F740" s="158" t="s">
        <v>566</v>
      </c>
      <c r="G740" s="225"/>
      <c r="H740" s="27"/>
      <c r="I740" s="20"/>
      <c r="J740" s="246">
        <f>SUM('ведомствен.2013'!G1423)</f>
        <v>0</v>
      </c>
    </row>
    <row r="741" spans="1:9" ht="46.5" customHeight="1">
      <c r="A741" s="109" t="s">
        <v>669</v>
      </c>
      <c r="B741" s="120"/>
      <c r="C741" s="159" t="s">
        <v>614</v>
      </c>
      <c r="D741" s="159" t="s">
        <v>1</v>
      </c>
      <c r="E741" s="159" t="s">
        <v>475</v>
      </c>
      <c r="F741" s="187"/>
      <c r="G741" s="30">
        <f>SUM(G742)</f>
        <v>1000</v>
      </c>
      <c r="H741" s="27"/>
      <c r="I741" s="20"/>
    </row>
    <row r="742" spans="1:10" ht="19.5" customHeight="1">
      <c r="A742" s="109" t="s">
        <v>641</v>
      </c>
      <c r="B742" s="120"/>
      <c r="C742" s="159" t="s">
        <v>614</v>
      </c>
      <c r="D742" s="159" t="s">
        <v>1</v>
      </c>
      <c r="E742" s="159" t="s">
        <v>475</v>
      </c>
      <c r="F742" s="187" t="s">
        <v>642</v>
      </c>
      <c r="G742" s="30">
        <v>1000</v>
      </c>
      <c r="H742" s="27"/>
      <c r="I742" s="20"/>
      <c r="J742" s="261">
        <f>SUM('ведомствен.2013'!G586)</f>
        <v>1000</v>
      </c>
    </row>
    <row r="743" spans="1:10" s="19" customFormat="1" ht="15.75">
      <c r="A743" s="134" t="s">
        <v>50</v>
      </c>
      <c r="B743" s="189"/>
      <c r="C743" s="214" t="s">
        <v>627</v>
      </c>
      <c r="D743" s="214"/>
      <c r="E743" s="214"/>
      <c r="F743" s="215"/>
      <c r="G743" s="224">
        <f>SUM(G744+G790)</f>
        <v>72580.09999999999</v>
      </c>
      <c r="H743" s="26">
        <f>SUM(H744+H790)</f>
        <v>31684.7</v>
      </c>
      <c r="I743" s="26">
        <f>SUM(H743/G743*100)</f>
        <v>43.65480345163482</v>
      </c>
      <c r="J743" s="247"/>
    </row>
    <row r="744" spans="1:12" ht="15">
      <c r="A744" s="106" t="s">
        <v>104</v>
      </c>
      <c r="B744" s="155"/>
      <c r="C744" s="159" t="s">
        <v>627</v>
      </c>
      <c r="D744" s="159" t="s">
        <v>237</v>
      </c>
      <c r="E744" s="159"/>
      <c r="F744" s="157"/>
      <c r="G744" s="30">
        <f>SUM(G745+G760+G774+G786)</f>
        <v>57967.799999999996</v>
      </c>
      <c r="H744" s="20">
        <f>SUM(H774+H760+H749+H782)</f>
        <v>27050.9</v>
      </c>
      <c r="I744" s="20">
        <f>SUM(H744/G744*100)</f>
        <v>46.665390095880824</v>
      </c>
      <c r="K744">
        <f>SUM(J744:J807)</f>
        <v>72580.1</v>
      </c>
      <c r="L744">
        <f>SUM('ведомствен.2013'!G1463)</f>
        <v>72580.1</v>
      </c>
    </row>
    <row r="745" spans="1:9" ht="28.5">
      <c r="A745" s="105" t="s">
        <v>629</v>
      </c>
      <c r="B745" s="155"/>
      <c r="C745" s="159" t="s">
        <v>627</v>
      </c>
      <c r="D745" s="159" t="s">
        <v>237</v>
      </c>
      <c r="E745" s="159" t="s">
        <v>643</v>
      </c>
      <c r="F745" s="157"/>
      <c r="G745" s="30">
        <f>SUM(G748+G758)+G746</f>
        <v>29300.7</v>
      </c>
      <c r="H745" s="20">
        <f>SUM(H758)</f>
        <v>14679.5</v>
      </c>
      <c r="I745" s="20">
        <f>SUM(H745/G745*100)</f>
        <v>50.09948567781657</v>
      </c>
    </row>
    <row r="746" spans="1:9" ht="42.75">
      <c r="A746" s="108" t="s">
        <v>121</v>
      </c>
      <c r="B746" s="120"/>
      <c r="C746" s="159" t="s">
        <v>627</v>
      </c>
      <c r="D746" s="159" t="s">
        <v>237</v>
      </c>
      <c r="E746" s="159" t="s">
        <v>563</v>
      </c>
      <c r="F746" s="158"/>
      <c r="G746" s="30">
        <f>SUM(G747)</f>
        <v>389.5</v>
      </c>
      <c r="H746" s="20"/>
      <c r="I746" s="20"/>
    </row>
    <row r="747" spans="1:10" ht="15">
      <c r="A747" s="108" t="s">
        <v>483</v>
      </c>
      <c r="B747" s="155"/>
      <c r="C747" s="159" t="s">
        <v>627</v>
      </c>
      <c r="D747" s="159" t="s">
        <v>237</v>
      </c>
      <c r="E747" s="159" t="s">
        <v>563</v>
      </c>
      <c r="F747" s="157" t="s">
        <v>933</v>
      </c>
      <c r="G747" s="30">
        <v>389.5</v>
      </c>
      <c r="H747" s="20"/>
      <c r="I747" s="20"/>
      <c r="J747" s="246">
        <f>'ведомствен.2013'!G1467</f>
        <v>389.5</v>
      </c>
    </row>
    <row r="748" spans="1:9" ht="28.5">
      <c r="A748" s="106" t="s">
        <v>588</v>
      </c>
      <c r="B748" s="174"/>
      <c r="C748" s="159" t="s">
        <v>627</v>
      </c>
      <c r="D748" s="159" t="s">
        <v>237</v>
      </c>
      <c r="E748" s="159" t="s">
        <v>808</v>
      </c>
      <c r="F748" s="157"/>
      <c r="G748" s="30">
        <f>SUM(G749+G751)</f>
        <v>16752.2</v>
      </c>
      <c r="H748" s="20"/>
      <c r="I748" s="20"/>
    </row>
    <row r="749" spans="1:9" ht="28.5">
      <c r="A749" s="106" t="s">
        <v>809</v>
      </c>
      <c r="B749" s="174"/>
      <c r="C749" s="159" t="s">
        <v>627</v>
      </c>
      <c r="D749" s="159" t="s">
        <v>237</v>
      </c>
      <c r="E749" s="159" t="s">
        <v>810</v>
      </c>
      <c r="F749" s="157"/>
      <c r="G749" s="30">
        <f>SUM(G750)</f>
        <v>16438.2</v>
      </c>
      <c r="H749" s="20">
        <f>SUM(H750)</f>
        <v>14679.5</v>
      </c>
      <c r="I749" s="20">
        <f>SUM(H749/G749*100)</f>
        <v>89.30114002749693</v>
      </c>
    </row>
    <row r="750" spans="1:10" ht="48" customHeight="1">
      <c r="A750" s="108" t="s">
        <v>710</v>
      </c>
      <c r="B750" s="120"/>
      <c r="C750" s="159" t="s">
        <v>627</v>
      </c>
      <c r="D750" s="159" t="s">
        <v>237</v>
      </c>
      <c r="E750" s="159" t="s">
        <v>810</v>
      </c>
      <c r="F750" s="158" t="s">
        <v>485</v>
      </c>
      <c r="G750" s="30">
        <v>16438.2</v>
      </c>
      <c r="H750" s="20">
        <f>SUM(H758:H759)</f>
        <v>14679.5</v>
      </c>
      <c r="I750" s="20">
        <f>SUM(H750/G750*100)</f>
        <v>89.30114002749693</v>
      </c>
      <c r="J750" s="246">
        <f>'ведомствен.2013'!G1470</f>
        <v>16438.2</v>
      </c>
    </row>
    <row r="751" spans="1:9" ht="30" customHeight="1">
      <c r="A751" s="106" t="s">
        <v>711</v>
      </c>
      <c r="B751" s="155"/>
      <c r="C751" s="159" t="s">
        <v>627</v>
      </c>
      <c r="D751" s="159" t="s">
        <v>237</v>
      </c>
      <c r="E751" s="155" t="s">
        <v>160</v>
      </c>
      <c r="F751" s="158"/>
      <c r="G751" s="30">
        <f>SUM(G752+G754+G756)</f>
        <v>314</v>
      </c>
      <c r="H751" s="20"/>
      <c r="I751" s="20"/>
    </row>
    <row r="752" spans="1:9" ht="30" customHeight="1">
      <c r="A752" s="106" t="s">
        <v>240</v>
      </c>
      <c r="B752" s="155"/>
      <c r="C752" s="159" t="s">
        <v>627</v>
      </c>
      <c r="D752" s="159" t="s">
        <v>237</v>
      </c>
      <c r="E752" s="155" t="s">
        <v>161</v>
      </c>
      <c r="F752" s="158"/>
      <c r="G752" s="30">
        <f>SUM(G753)</f>
        <v>200</v>
      </c>
      <c r="H752" s="20"/>
      <c r="I752" s="20"/>
    </row>
    <row r="753" spans="1:10" ht="30" customHeight="1">
      <c r="A753" s="106" t="s">
        <v>711</v>
      </c>
      <c r="B753" s="155"/>
      <c r="C753" s="159" t="s">
        <v>627</v>
      </c>
      <c r="D753" s="159" t="s">
        <v>237</v>
      </c>
      <c r="E753" s="155" t="s">
        <v>161</v>
      </c>
      <c r="F753" s="158" t="s">
        <v>566</v>
      </c>
      <c r="G753" s="30">
        <v>200</v>
      </c>
      <c r="H753" s="20"/>
      <c r="I753" s="20"/>
      <c r="J753" s="246">
        <f>SUM('ведомствен.2013'!G1473)</f>
        <v>200</v>
      </c>
    </row>
    <row r="754" spans="1:9" ht="36" customHeight="1">
      <c r="A754" s="108" t="s">
        <v>159</v>
      </c>
      <c r="B754" s="120"/>
      <c r="C754" s="159" t="s">
        <v>627</v>
      </c>
      <c r="D754" s="159" t="s">
        <v>237</v>
      </c>
      <c r="E754" s="159" t="s">
        <v>158</v>
      </c>
      <c r="F754" s="158"/>
      <c r="G754" s="30">
        <f>SUM(G755)</f>
        <v>30</v>
      </c>
      <c r="H754" s="20"/>
      <c r="I754" s="20"/>
    </row>
    <row r="755" spans="1:10" ht="40.5" customHeight="1">
      <c r="A755" s="108" t="s">
        <v>666</v>
      </c>
      <c r="B755" s="120"/>
      <c r="C755" s="159" t="s">
        <v>627</v>
      </c>
      <c r="D755" s="159" t="s">
        <v>237</v>
      </c>
      <c r="E755" s="159" t="s">
        <v>158</v>
      </c>
      <c r="F755" s="158" t="s">
        <v>566</v>
      </c>
      <c r="G755" s="30">
        <v>30</v>
      </c>
      <c r="H755" s="20"/>
      <c r="I755" s="20"/>
      <c r="J755" s="246">
        <f>SUM('ведомствен.2013'!G1475)</f>
        <v>30</v>
      </c>
    </row>
    <row r="756" spans="1:10" ht="31.5" customHeight="1">
      <c r="A756" s="108" t="s">
        <v>705</v>
      </c>
      <c r="B756" s="120"/>
      <c r="C756" s="159" t="s">
        <v>627</v>
      </c>
      <c r="D756" s="159" t="s">
        <v>237</v>
      </c>
      <c r="E756" s="159" t="s">
        <v>839</v>
      </c>
      <c r="F756" s="158"/>
      <c r="G756" s="30">
        <f>SUM(G757)</f>
        <v>84</v>
      </c>
      <c r="H756" s="20"/>
      <c r="I756" s="20"/>
      <c r="J756" s="246">
        <f>SUM('ведомствен.2013'!G1476)</f>
        <v>84</v>
      </c>
    </row>
    <row r="757" spans="1:9" ht="39" customHeight="1">
      <c r="A757" s="108" t="s">
        <v>666</v>
      </c>
      <c r="B757" s="120"/>
      <c r="C757" s="159" t="s">
        <v>627</v>
      </c>
      <c r="D757" s="159" t="s">
        <v>237</v>
      </c>
      <c r="E757" s="159" t="s">
        <v>839</v>
      </c>
      <c r="F757" s="158" t="s">
        <v>566</v>
      </c>
      <c r="G757" s="30">
        <v>84</v>
      </c>
      <c r="H757" s="20"/>
      <c r="I757" s="20"/>
    </row>
    <row r="758" spans="1:9" ht="27.75" customHeight="1">
      <c r="A758" s="106" t="s">
        <v>482</v>
      </c>
      <c r="B758" s="159"/>
      <c r="C758" s="159" t="s">
        <v>627</v>
      </c>
      <c r="D758" s="159" t="s">
        <v>237</v>
      </c>
      <c r="E758" s="159" t="s">
        <v>644</v>
      </c>
      <c r="F758" s="157"/>
      <c r="G758" s="30">
        <f>SUM(G759:G759)</f>
        <v>12159</v>
      </c>
      <c r="H758" s="20">
        <v>14679.5</v>
      </c>
      <c r="I758" s="20">
        <f>SUM(H758/G758*100)</f>
        <v>120.72950078131426</v>
      </c>
    </row>
    <row r="759" spans="1:10" ht="18" customHeight="1">
      <c r="A759" s="108" t="s">
        <v>483</v>
      </c>
      <c r="B759" s="159"/>
      <c r="C759" s="159" t="s">
        <v>627</v>
      </c>
      <c r="D759" s="159" t="s">
        <v>237</v>
      </c>
      <c r="E759" s="159" t="s">
        <v>644</v>
      </c>
      <c r="F759" s="157" t="s">
        <v>933</v>
      </c>
      <c r="G759" s="30">
        <v>12159</v>
      </c>
      <c r="H759" s="20"/>
      <c r="I759" s="20">
        <f>SUM(H759/G759*100)</f>
        <v>0</v>
      </c>
      <c r="J759" s="246">
        <f>'ведомствен.2013'!G1479+'ведомствен.2013'!G788</f>
        <v>12159</v>
      </c>
    </row>
    <row r="760" spans="1:9" ht="24.75" customHeight="1">
      <c r="A760" s="106" t="s">
        <v>110</v>
      </c>
      <c r="B760" s="155"/>
      <c r="C760" s="159" t="s">
        <v>627</v>
      </c>
      <c r="D760" s="159" t="s">
        <v>237</v>
      </c>
      <c r="E760" s="159" t="s">
        <v>111</v>
      </c>
      <c r="F760" s="157"/>
      <c r="G760" s="30">
        <f>SUM(G761)+G771</f>
        <v>4117</v>
      </c>
      <c r="H760" s="20">
        <f>SUM(H761)</f>
        <v>2102.5</v>
      </c>
      <c r="I760" s="20">
        <f>SUM(H760/G760*100)</f>
        <v>51.0687393733301</v>
      </c>
    </row>
    <row r="761" spans="1:9" ht="34.5" customHeight="1">
      <c r="A761" s="106" t="s">
        <v>588</v>
      </c>
      <c r="B761" s="174"/>
      <c r="C761" s="159" t="s">
        <v>627</v>
      </c>
      <c r="D761" s="159" t="s">
        <v>237</v>
      </c>
      <c r="E761" s="159" t="s">
        <v>564</v>
      </c>
      <c r="F761" s="157"/>
      <c r="G761" s="30">
        <f>SUM(G763)+G764</f>
        <v>4117</v>
      </c>
      <c r="H761" s="20">
        <f>SUM(H763)+H772</f>
        <v>2102.5</v>
      </c>
      <c r="I761" s="20">
        <f>SUM(H761/G761*100)</f>
        <v>51.0687393733301</v>
      </c>
    </row>
    <row r="762" spans="1:9" ht="37.5" customHeight="1">
      <c r="A762" s="106" t="s">
        <v>809</v>
      </c>
      <c r="B762" s="174"/>
      <c r="C762" s="159" t="s">
        <v>627</v>
      </c>
      <c r="D762" s="159" t="s">
        <v>237</v>
      </c>
      <c r="E762" s="159" t="s">
        <v>565</v>
      </c>
      <c r="F762" s="157"/>
      <c r="G762" s="30">
        <f>SUM(G763)</f>
        <v>3394</v>
      </c>
      <c r="H762" s="20"/>
      <c r="I762" s="20"/>
    </row>
    <row r="763" spans="1:10" ht="48" customHeight="1">
      <c r="A763" s="106" t="s">
        <v>362</v>
      </c>
      <c r="B763" s="120"/>
      <c r="C763" s="159" t="s">
        <v>627</v>
      </c>
      <c r="D763" s="159" t="s">
        <v>237</v>
      </c>
      <c r="E763" s="159" t="s">
        <v>565</v>
      </c>
      <c r="F763" s="158" t="s">
        <v>485</v>
      </c>
      <c r="G763" s="30">
        <v>3394</v>
      </c>
      <c r="H763" s="20">
        <v>2102.5</v>
      </c>
      <c r="I763" s="20">
        <f>SUM(H763/G763*100)</f>
        <v>61.94755450795522</v>
      </c>
      <c r="J763" s="246">
        <f>SUM('ведомствен.2013'!G1486)</f>
        <v>3394</v>
      </c>
    </row>
    <row r="764" spans="1:9" ht="32.25" customHeight="1">
      <c r="A764" s="106" t="s">
        <v>711</v>
      </c>
      <c r="B764" s="155"/>
      <c r="C764" s="159" t="s">
        <v>627</v>
      </c>
      <c r="D764" s="159" t="s">
        <v>237</v>
      </c>
      <c r="E764" s="155" t="s">
        <v>841</v>
      </c>
      <c r="F764" s="158"/>
      <c r="G764" s="30">
        <f>SUM(G767+G765)+G769</f>
        <v>723</v>
      </c>
      <c r="H764" s="20"/>
      <c r="I764" s="20"/>
    </row>
    <row r="765" spans="1:9" ht="32.25" customHeight="1">
      <c r="A765" s="106" t="s">
        <v>240</v>
      </c>
      <c r="B765" s="120"/>
      <c r="C765" s="159" t="s">
        <v>627</v>
      </c>
      <c r="D765" s="159" t="s">
        <v>237</v>
      </c>
      <c r="E765" s="159" t="s">
        <v>242</v>
      </c>
      <c r="F765" s="158"/>
      <c r="G765" s="30">
        <f>SUM(G766)</f>
        <v>710</v>
      </c>
      <c r="H765" s="20"/>
      <c r="I765" s="20"/>
    </row>
    <row r="766" spans="1:10" ht="31.5" customHeight="1">
      <c r="A766" s="106" t="s">
        <v>711</v>
      </c>
      <c r="B766" s="120"/>
      <c r="C766" s="159" t="s">
        <v>627</v>
      </c>
      <c r="D766" s="159" t="s">
        <v>237</v>
      </c>
      <c r="E766" s="159" t="s">
        <v>242</v>
      </c>
      <c r="F766" s="158" t="s">
        <v>566</v>
      </c>
      <c r="G766" s="30">
        <v>710</v>
      </c>
      <c r="H766" s="20"/>
      <c r="I766" s="20"/>
      <c r="J766" s="246">
        <f>SUM('ведомствен.2013'!G1491)</f>
        <v>710</v>
      </c>
    </row>
    <row r="767" spans="1:9" ht="34.5" customHeight="1" hidden="1">
      <c r="A767" s="108" t="s">
        <v>159</v>
      </c>
      <c r="B767" s="120"/>
      <c r="C767" s="159" t="s">
        <v>627</v>
      </c>
      <c r="D767" s="159" t="s">
        <v>237</v>
      </c>
      <c r="E767" s="159" t="s">
        <v>683</v>
      </c>
      <c r="F767" s="158"/>
      <c r="G767" s="30">
        <f>SUM(G768)</f>
        <v>0</v>
      </c>
      <c r="H767" s="20"/>
      <c r="I767" s="20"/>
    </row>
    <row r="768" spans="1:10" ht="38.25" customHeight="1" hidden="1">
      <c r="A768" s="108" t="s">
        <v>666</v>
      </c>
      <c r="B768" s="120"/>
      <c r="C768" s="159" t="s">
        <v>627</v>
      </c>
      <c r="D768" s="159" t="s">
        <v>237</v>
      </c>
      <c r="E768" s="159" t="s">
        <v>683</v>
      </c>
      <c r="F768" s="158" t="s">
        <v>566</v>
      </c>
      <c r="G768" s="30"/>
      <c r="H768" s="20"/>
      <c r="I768" s="20"/>
      <c r="J768" s="246">
        <f>SUM('ведомствен.2013'!G1493)</f>
        <v>0</v>
      </c>
    </row>
    <row r="769" spans="1:9" ht="38.25" customHeight="1">
      <c r="A769" s="108" t="s">
        <v>705</v>
      </c>
      <c r="B769" s="120"/>
      <c r="C769" s="159" t="s">
        <v>627</v>
      </c>
      <c r="D769" s="159" t="s">
        <v>237</v>
      </c>
      <c r="E769" s="159" t="s">
        <v>322</v>
      </c>
      <c r="F769" s="158"/>
      <c r="G769" s="91">
        <f>SUM(G770)</f>
        <v>13</v>
      </c>
      <c r="H769" s="20"/>
      <c r="I769" s="20"/>
    </row>
    <row r="770" spans="1:10" ht="38.25" customHeight="1">
      <c r="A770" s="108" t="s">
        <v>666</v>
      </c>
      <c r="B770" s="120"/>
      <c r="C770" s="159" t="s">
        <v>627</v>
      </c>
      <c r="D770" s="159" t="s">
        <v>237</v>
      </c>
      <c r="E770" s="159" t="s">
        <v>322</v>
      </c>
      <c r="F770" s="158" t="s">
        <v>566</v>
      </c>
      <c r="G770" s="91">
        <v>13</v>
      </c>
      <c r="H770" s="20"/>
      <c r="I770" s="20"/>
      <c r="J770" s="246">
        <f>SUM('ведомствен.2013'!G1495)</f>
        <v>13</v>
      </c>
    </row>
    <row r="771" spans="1:9" ht="27.75" customHeight="1" hidden="1">
      <c r="A771" s="106" t="s">
        <v>482</v>
      </c>
      <c r="B771" s="159"/>
      <c r="C771" s="159" t="s">
        <v>627</v>
      </c>
      <c r="D771" s="159" t="s">
        <v>237</v>
      </c>
      <c r="E771" s="159" t="s">
        <v>112</v>
      </c>
      <c r="F771" s="157"/>
      <c r="G771" s="30">
        <f>SUM(G772:G772)</f>
        <v>0</v>
      </c>
      <c r="H771" s="20">
        <v>14679.5</v>
      </c>
      <c r="I771" s="20" t="e">
        <f aca="true" t="shared" si="20" ref="I771:I787">SUM(H771/G771*100)</f>
        <v>#DIV/0!</v>
      </c>
    </row>
    <row r="772" spans="1:10" ht="18" customHeight="1" hidden="1">
      <c r="A772" s="108" t="s">
        <v>483</v>
      </c>
      <c r="B772" s="159"/>
      <c r="C772" s="159" t="s">
        <v>627</v>
      </c>
      <c r="D772" s="159" t="s">
        <v>237</v>
      </c>
      <c r="E772" s="159" t="s">
        <v>112</v>
      </c>
      <c r="F772" s="157" t="s">
        <v>933</v>
      </c>
      <c r="G772" s="30"/>
      <c r="H772" s="20"/>
      <c r="I772" s="20" t="e">
        <f t="shared" si="20"/>
        <v>#DIV/0!</v>
      </c>
      <c r="J772" s="246">
        <f>SUM('ведомствен.2013'!G791)</f>
        <v>0</v>
      </c>
    </row>
    <row r="773" spans="1:9" ht="15" customHeight="1" hidden="1">
      <c r="A773" s="108" t="s">
        <v>932</v>
      </c>
      <c r="B773" s="120"/>
      <c r="C773" s="159" t="s">
        <v>627</v>
      </c>
      <c r="D773" s="159" t="s">
        <v>237</v>
      </c>
      <c r="E773" s="159" t="s">
        <v>113</v>
      </c>
      <c r="F773" s="158" t="s">
        <v>933</v>
      </c>
      <c r="G773" s="30"/>
      <c r="H773" s="20"/>
      <c r="I773" s="20" t="e">
        <f t="shared" si="20"/>
        <v>#DIV/0!</v>
      </c>
    </row>
    <row r="774" spans="1:9" ht="15">
      <c r="A774" s="106" t="s">
        <v>114</v>
      </c>
      <c r="B774" s="155"/>
      <c r="C774" s="159" t="s">
        <v>627</v>
      </c>
      <c r="D774" s="159" t="s">
        <v>237</v>
      </c>
      <c r="E774" s="159" t="s">
        <v>115</v>
      </c>
      <c r="F774" s="157"/>
      <c r="G774" s="30">
        <f>SUM(G775)</f>
        <v>24550.1</v>
      </c>
      <c r="H774" s="20">
        <f>SUM(H775)</f>
        <v>10268.9</v>
      </c>
      <c r="I774" s="20">
        <f t="shared" si="20"/>
        <v>41.828342858073896</v>
      </c>
    </row>
    <row r="775" spans="1:9" ht="34.5" customHeight="1">
      <c r="A775" s="106" t="s">
        <v>482</v>
      </c>
      <c r="B775" s="174"/>
      <c r="C775" s="159" t="s">
        <v>627</v>
      </c>
      <c r="D775" s="159" t="s">
        <v>237</v>
      </c>
      <c r="E775" s="159" t="s">
        <v>116</v>
      </c>
      <c r="F775" s="157"/>
      <c r="G775" s="30">
        <f>SUM(G776+G778+G780)</f>
        <v>24550.1</v>
      </c>
      <c r="H775" s="20">
        <f>SUM(H776+H778+H780)</f>
        <v>10268.9</v>
      </c>
      <c r="I775" s="20">
        <f t="shared" si="20"/>
        <v>41.828342858073896</v>
      </c>
    </row>
    <row r="776" spans="1:10" ht="15.75" customHeight="1">
      <c r="A776" s="108" t="s">
        <v>483</v>
      </c>
      <c r="B776" s="120"/>
      <c r="C776" s="159" t="s">
        <v>627</v>
      </c>
      <c r="D776" s="159" t="s">
        <v>237</v>
      </c>
      <c r="E776" s="159" t="s">
        <v>116</v>
      </c>
      <c r="F776" s="158" t="s">
        <v>933</v>
      </c>
      <c r="G776" s="30">
        <v>22342.1</v>
      </c>
      <c r="H776" s="20">
        <v>8963.8</v>
      </c>
      <c r="I776" s="20">
        <f t="shared" si="20"/>
        <v>40.12066905080543</v>
      </c>
      <c r="J776" s="246">
        <f>SUM('ведомствен.2013'!G1498)+'ведомствен.2013'!G794</f>
        <v>22342.1</v>
      </c>
    </row>
    <row r="777" spans="1:9" ht="43.5" customHeight="1" hidden="1">
      <c r="A777" s="108" t="s">
        <v>107</v>
      </c>
      <c r="B777" s="120"/>
      <c r="C777" s="159" t="s">
        <v>627</v>
      </c>
      <c r="D777" s="159" t="s">
        <v>237</v>
      </c>
      <c r="E777" s="159" t="s">
        <v>116</v>
      </c>
      <c r="F777" s="158" t="s">
        <v>108</v>
      </c>
      <c r="G777" s="30"/>
      <c r="H777" s="20"/>
      <c r="I777" s="20" t="e">
        <f t="shared" si="20"/>
        <v>#DIV/0!</v>
      </c>
    </row>
    <row r="778" spans="1:9" ht="57.75" customHeight="1" hidden="1">
      <c r="A778" s="106" t="s">
        <v>418</v>
      </c>
      <c r="B778" s="155"/>
      <c r="C778" s="159" t="s">
        <v>627</v>
      </c>
      <c r="D778" s="159" t="s">
        <v>237</v>
      </c>
      <c r="E778" s="159" t="s">
        <v>117</v>
      </c>
      <c r="F778" s="158"/>
      <c r="G778" s="30">
        <f>SUM(G779)</f>
        <v>0</v>
      </c>
      <c r="H778" s="20">
        <f>SUM(H779)</f>
        <v>0</v>
      </c>
      <c r="I778" s="20" t="e">
        <f t="shared" si="20"/>
        <v>#DIV/0!</v>
      </c>
    </row>
    <row r="779" spans="1:9" ht="16.5" customHeight="1" hidden="1">
      <c r="A779" s="108" t="s">
        <v>932</v>
      </c>
      <c r="B779" s="120"/>
      <c r="C779" s="159" t="s">
        <v>627</v>
      </c>
      <c r="D779" s="159" t="s">
        <v>237</v>
      </c>
      <c r="E779" s="159" t="s">
        <v>117</v>
      </c>
      <c r="F779" s="158" t="s">
        <v>933</v>
      </c>
      <c r="G779" s="30"/>
      <c r="H779" s="20"/>
      <c r="I779" s="20" t="e">
        <f t="shared" si="20"/>
        <v>#DIV/0!</v>
      </c>
    </row>
    <row r="780" spans="1:9" ht="47.25" customHeight="1">
      <c r="A780" s="108" t="s">
        <v>494</v>
      </c>
      <c r="B780" s="120"/>
      <c r="C780" s="159" t="s">
        <v>627</v>
      </c>
      <c r="D780" s="159" t="s">
        <v>237</v>
      </c>
      <c r="E780" s="159" t="s">
        <v>118</v>
      </c>
      <c r="F780" s="158"/>
      <c r="G780" s="30">
        <f>SUM(G781)</f>
        <v>2208</v>
      </c>
      <c r="H780" s="20">
        <f>SUM(H781)</f>
        <v>1305.1</v>
      </c>
      <c r="I780" s="20">
        <f t="shared" si="20"/>
        <v>59.107789855072454</v>
      </c>
    </row>
    <row r="781" spans="1:10" ht="16.5" customHeight="1">
      <c r="A781" s="108" t="s">
        <v>483</v>
      </c>
      <c r="B781" s="120"/>
      <c r="C781" s="159" t="s">
        <v>627</v>
      </c>
      <c r="D781" s="159" t="s">
        <v>237</v>
      </c>
      <c r="E781" s="159" t="s">
        <v>118</v>
      </c>
      <c r="F781" s="158" t="s">
        <v>933</v>
      </c>
      <c r="G781" s="30">
        <v>2208</v>
      </c>
      <c r="H781" s="20">
        <v>1305.1</v>
      </c>
      <c r="I781" s="20">
        <f t="shared" si="20"/>
        <v>59.107789855072454</v>
      </c>
      <c r="J781" s="246">
        <f>SUM('ведомствен.2013'!G1503)</f>
        <v>2208</v>
      </c>
    </row>
    <row r="782" spans="1:9" ht="30" customHeight="1" hidden="1">
      <c r="A782" s="108" t="s">
        <v>119</v>
      </c>
      <c r="B782" s="120"/>
      <c r="C782" s="159" t="s">
        <v>627</v>
      </c>
      <c r="D782" s="159" t="s">
        <v>237</v>
      </c>
      <c r="E782" s="159" t="s">
        <v>120</v>
      </c>
      <c r="F782" s="158"/>
      <c r="G782" s="30">
        <f>SUM(G783+G784)</f>
        <v>0</v>
      </c>
      <c r="H782" s="20">
        <f>SUM(H783+H784)</f>
        <v>0</v>
      </c>
      <c r="I782" s="20" t="e">
        <f t="shared" si="20"/>
        <v>#DIV/0!</v>
      </c>
    </row>
    <row r="783" spans="1:9" ht="0.75" customHeight="1" hidden="1">
      <c r="A783" s="108" t="s">
        <v>932</v>
      </c>
      <c r="B783" s="120"/>
      <c r="C783" s="159" t="s">
        <v>627</v>
      </c>
      <c r="D783" s="159" t="s">
        <v>237</v>
      </c>
      <c r="E783" s="159" t="s">
        <v>120</v>
      </c>
      <c r="F783" s="158" t="s">
        <v>933</v>
      </c>
      <c r="G783" s="30"/>
      <c r="H783" s="20"/>
      <c r="I783" s="20" t="e">
        <f t="shared" si="20"/>
        <v>#DIV/0!</v>
      </c>
    </row>
    <row r="784" spans="1:9" ht="42" customHeight="1" hidden="1">
      <c r="A784" s="108" t="s">
        <v>121</v>
      </c>
      <c r="B784" s="120"/>
      <c r="C784" s="159" t="s">
        <v>627</v>
      </c>
      <c r="D784" s="159" t="s">
        <v>237</v>
      </c>
      <c r="E784" s="159" t="s">
        <v>122</v>
      </c>
      <c r="F784" s="158"/>
      <c r="G784" s="30">
        <f>SUM(G785)</f>
        <v>0</v>
      </c>
      <c r="H784" s="20">
        <f>SUM(H785)</f>
        <v>0</v>
      </c>
      <c r="I784" s="20" t="e">
        <f t="shared" si="20"/>
        <v>#DIV/0!</v>
      </c>
    </row>
    <row r="785" spans="1:9" ht="21" customHeight="1" hidden="1">
      <c r="A785" s="108" t="s">
        <v>932</v>
      </c>
      <c r="B785" s="120"/>
      <c r="C785" s="159" t="s">
        <v>627</v>
      </c>
      <c r="D785" s="159" t="s">
        <v>237</v>
      </c>
      <c r="E785" s="159" t="s">
        <v>122</v>
      </c>
      <c r="F785" s="158" t="s">
        <v>933</v>
      </c>
      <c r="G785" s="30"/>
      <c r="H785" s="20"/>
      <c r="I785" s="20" t="e">
        <f t="shared" si="20"/>
        <v>#DIV/0!</v>
      </c>
    </row>
    <row r="786" spans="1:9" ht="18" customHeight="1" hidden="1">
      <c r="A786" s="108" t="s">
        <v>634</v>
      </c>
      <c r="B786" s="189"/>
      <c r="C786" s="171" t="s">
        <v>627</v>
      </c>
      <c r="D786" s="171" t="s">
        <v>237</v>
      </c>
      <c r="E786" s="171" t="s">
        <v>635</v>
      </c>
      <c r="F786" s="161"/>
      <c r="G786" s="30">
        <f>SUM(G787)</f>
        <v>0</v>
      </c>
      <c r="H786" s="20">
        <f>SUM(H787)</f>
        <v>7333.8</v>
      </c>
      <c r="I786" s="20" t="e">
        <f t="shared" si="20"/>
        <v>#DIV/0!</v>
      </c>
    </row>
    <row r="787" spans="1:9" ht="45" customHeight="1" hidden="1">
      <c r="A787" s="128" t="s">
        <v>821</v>
      </c>
      <c r="B787" s="189"/>
      <c r="C787" s="171" t="s">
        <v>627</v>
      </c>
      <c r="D787" s="171" t="s">
        <v>237</v>
      </c>
      <c r="E787" s="171" t="s">
        <v>1037</v>
      </c>
      <c r="F787" s="161"/>
      <c r="G787" s="30">
        <f>SUM(G788:G789)</f>
        <v>0</v>
      </c>
      <c r="H787" s="20">
        <f>SUM(H789:H793)</f>
        <v>7333.8</v>
      </c>
      <c r="I787" s="20" t="e">
        <f t="shared" si="20"/>
        <v>#DIV/0!</v>
      </c>
    </row>
    <row r="788" spans="1:10" ht="21" customHeight="1" hidden="1">
      <c r="A788" s="108" t="s">
        <v>483</v>
      </c>
      <c r="B788" s="189"/>
      <c r="C788" s="171" t="s">
        <v>627</v>
      </c>
      <c r="D788" s="171" t="s">
        <v>237</v>
      </c>
      <c r="E788" s="171" t="s">
        <v>1037</v>
      </c>
      <c r="F788" s="161" t="s">
        <v>933</v>
      </c>
      <c r="G788" s="30"/>
      <c r="H788" s="20"/>
      <c r="I788" s="20"/>
      <c r="J788" s="246">
        <f>SUM('ведомствен.2013'!G1510)</f>
        <v>0</v>
      </c>
    </row>
    <row r="789" spans="1:10" ht="20.25" customHeight="1" hidden="1">
      <c r="A789" s="108" t="s">
        <v>666</v>
      </c>
      <c r="B789" s="189"/>
      <c r="C789" s="171" t="s">
        <v>627</v>
      </c>
      <c r="D789" s="171" t="s">
        <v>237</v>
      </c>
      <c r="E789" s="171" t="s">
        <v>1037</v>
      </c>
      <c r="F789" s="161" t="s">
        <v>566</v>
      </c>
      <c r="G789" s="30"/>
      <c r="H789" s="20"/>
      <c r="I789" s="20" t="e">
        <f aca="true" t="shared" si="21" ref="I789:I797">SUM(H789/G789*100)</f>
        <v>#DIV/0!</v>
      </c>
      <c r="J789" s="246">
        <f>SUM('ведомствен.2013'!G1511)</f>
        <v>0</v>
      </c>
    </row>
    <row r="790" spans="1:9" ht="24" customHeight="1">
      <c r="A790" s="133" t="s">
        <v>896</v>
      </c>
      <c r="B790" s="189"/>
      <c r="C790" s="171" t="s">
        <v>627</v>
      </c>
      <c r="D790" s="171" t="s">
        <v>625</v>
      </c>
      <c r="E790" s="171"/>
      <c r="F790" s="161"/>
      <c r="G790" s="30">
        <f>SUM(G794+G799)+G791+G797</f>
        <v>14612.3</v>
      </c>
      <c r="H790" s="20">
        <f>SUM(H794+H799)+H791</f>
        <v>4633.8</v>
      </c>
      <c r="I790" s="20">
        <f t="shared" si="21"/>
        <v>31.711640193535583</v>
      </c>
    </row>
    <row r="791" spans="1:9" ht="20.25" customHeight="1" hidden="1">
      <c r="A791" s="106" t="s">
        <v>148</v>
      </c>
      <c r="B791" s="189"/>
      <c r="C791" s="159" t="s">
        <v>627</v>
      </c>
      <c r="D791" s="171" t="s">
        <v>625</v>
      </c>
      <c r="E791" s="159" t="s">
        <v>150</v>
      </c>
      <c r="F791" s="161"/>
      <c r="G791" s="30">
        <f>SUM(G792)</f>
        <v>0</v>
      </c>
      <c r="H791" s="20">
        <f>SUM(H792)</f>
        <v>900</v>
      </c>
      <c r="I791" s="20" t="e">
        <f t="shared" si="21"/>
        <v>#DIV/0!</v>
      </c>
    </row>
    <row r="792" spans="1:9" ht="18.75" customHeight="1" hidden="1">
      <c r="A792" s="106" t="s">
        <v>128</v>
      </c>
      <c r="B792" s="189"/>
      <c r="C792" s="159" t="s">
        <v>627</v>
      </c>
      <c r="D792" s="171" t="s">
        <v>625</v>
      </c>
      <c r="E792" s="159" t="s">
        <v>129</v>
      </c>
      <c r="F792" s="161"/>
      <c r="G792" s="30">
        <f>SUM(G793)</f>
        <v>0</v>
      </c>
      <c r="H792" s="20">
        <f>SUM(H793)</f>
        <v>900</v>
      </c>
      <c r="I792" s="20" t="e">
        <f t="shared" si="21"/>
        <v>#DIV/0!</v>
      </c>
    </row>
    <row r="793" spans="1:9" ht="45.75" customHeight="1" hidden="1">
      <c r="A793" s="106" t="s">
        <v>20</v>
      </c>
      <c r="B793" s="189"/>
      <c r="C793" s="159" t="s">
        <v>627</v>
      </c>
      <c r="D793" s="171" t="s">
        <v>625</v>
      </c>
      <c r="E793" s="159" t="s">
        <v>129</v>
      </c>
      <c r="F793" s="161" t="s">
        <v>21</v>
      </c>
      <c r="G793" s="30"/>
      <c r="H793" s="20">
        <v>900</v>
      </c>
      <c r="I793" s="20" t="e">
        <f t="shared" si="21"/>
        <v>#DIV/0!</v>
      </c>
    </row>
    <row r="794" spans="1:9" ht="62.25" customHeight="1">
      <c r="A794" s="133" t="s">
        <v>1000</v>
      </c>
      <c r="B794" s="174"/>
      <c r="C794" s="159" t="s">
        <v>627</v>
      </c>
      <c r="D794" s="171" t="s">
        <v>625</v>
      </c>
      <c r="E794" s="159" t="s">
        <v>1001</v>
      </c>
      <c r="F794" s="157"/>
      <c r="G794" s="30">
        <f>SUM(G795)</f>
        <v>7112.3</v>
      </c>
      <c r="H794" s="20">
        <f>SUM(H795)</f>
        <v>3733.8</v>
      </c>
      <c r="I794" s="20">
        <f t="shared" si="21"/>
        <v>52.49778552648229</v>
      </c>
    </row>
    <row r="795" spans="1:9" ht="30.75" customHeight="1">
      <c r="A795" s="106" t="s">
        <v>482</v>
      </c>
      <c r="B795" s="174"/>
      <c r="C795" s="159" t="s">
        <v>627</v>
      </c>
      <c r="D795" s="171" t="s">
        <v>625</v>
      </c>
      <c r="E795" s="159" t="s">
        <v>1002</v>
      </c>
      <c r="F795" s="157"/>
      <c r="G795" s="30">
        <f>SUM(G796)</f>
        <v>7112.3</v>
      </c>
      <c r="H795" s="20">
        <f>SUM(H796)</f>
        <v>3733.8</v>
      </c>
      <c r="I795" s="20">
        <f t="shared" si="21"/>
        <v>52.49778552648229</v>
      </c>
    </row>
    <row r="796" spans="1:10" ht="16.5" customHeight="1">
      <c r="A796" s="108" t="s">
        <v>483</v>
      </c>
      <c r="B796" s="120"/>
      <c r="C796" s="159" t="s">
        <v>627</v>
      </c>
      <c r="D796" s="171" t="s">
        <v>625</v>
      </c>
      <c r="E796" s="159" t="s">
        <v>1002</v>
      </c>
      <c r="F796" s="158" t="s">
        <v>933</v>
      </c>
      <c r="G796" s="30">
        <v>7112.3</v>
      </c>
      <c r="H796" s="20">
        <v>3733.8</v>
      </c>
      <c r="I796" s="20">
        <f t="shared" si="21"/>
        <v>52.49778552648229</v>
      </c>
      <c r="J796" s="246">
        <f>SUM('ведомствен.2013'!G1518)+'ведомствен.2013'!G798</f>
        <v>7112.3</v>
      </c>
    </row>
    <row r="797" spans="1:9" ht="27.75" customHeight="1" hidden="1">
      <c r="A797" s="133" t="s">
        <v>813</v>
      </c>
      <c r="B797" s="155"/>
      <c r="C797" s="171" t="s">
        <v>627</v>
      </c>
      <c r="D797" s="171" t="s">
        <v>625</v>
      </c>
      <c r="E797" s="155" t="s">
        <v>814</v>
      </c>
      <c r="F797" s="158"/>
      <c r="G797" s="30">
        <f>SUM(G798)</f>
        <v>0</v>
      </c>
      <c r="H797" s="20">
        <f>SUM(H798)</f>
        <v>0</v>
      </c>
      <c r="I797" s="20" t="e">
        <f t="shared" si="21"/>
        <v>#DIV/0!</v>
      </c>
    </row>
    <row r="798" spans="1:9" ht="16.5" customHeight="1" hidden="1">
      <c r="A798" s="108" t="s">
        <v>483</v>
      </c>
      <c r="B798" s="155"/>
      <c r="C798" s="171" t="s">
        <v>627</v>
      </c>
      <c r="D798" s="171" t="s">
        <v>625</v>
      </c>
      <c r="E798" s="155" t="s">
        <v>814</v>
      </c>
      <c r="F798" s="156" t="s">
        <v>933</v>
      </c>
      <c r="G798" s="225"/>
      <c r="H798" s="20"/>
      <c r="I798" s="20"/>
    </row>
    <row r="799" spans="1:9" ht="18.75" customHeight="1">
      <c r="A799" s="108" t="s">
        <v>634</v>
      </c>
      <c r="B799" s="189"/>
      <c r="C799" s="171" t="s">
        <v>627</v>
      </c>
      <c r="D799" s="171" t="s">
        <v>625</v>
      </c>
      <c r="E799" s="171" t="s">
        <v>635</v>
      </c>
      <c r="F799" s="161"/>
      <c r="G799" s="30">
        <f>SUM(G802+G800+G805)</f>
        <v>7500</v>
      </c>
      <c r="H799" s="20">
        <f>SUM(H802)</f>
        <v>0</v>
      </c>
      <c r="I799" s="20">
        <f>SUM(H799/G799*100)</f>
        <v>0</v>
      </c>
    </row>
    <row r="800" spans="1:10" ht="42.75" hidden="1">
      <c r="A800" s="128" t="s">
        <v>821</v>
      </c>
      <c r="B800" s="189"/>
      <c r="C800" s="171" t="s">
        <v>627</v>
      </c>
      <c r="D800" s="171" t="s">
        <v>625</v>
      </c>
      <c r="E800" s="171" t="s">
        <v>1037</v>
      </c>
      <c r="F800" s="161"/>
      <c r="G800" s="30">
        <f>SUM(G801)</f>
        <v>0</v>
      </c>
      <c r="H800" s="20"/>
      <c r="I800" s="20"/>
      <c r="J800" s="246">
        <f>SUM('ведомствен.2013'!G1520)</f>
        <v>0</v>
      </c>
    </row>
    <row r="801" spans="1:9" ht="15" hidden="1">
      <c r="A801" s="108" t="s">
        <v>483</v>
      </c>
      <c r="B801" s="189"/>
      <c r="C801" s="171" t="s">
        <v>627</v>
      </c>
      <c r="D801" s="171" t="s">
        <v>625</v>
      </c>
      <c r="E801" s="171" t="s">
        <v>1037</v>
      </c>
      <c r="F801" s="161" t="s">
        <v>933</v>
      </c>
      <c r="G801" s="30"/>
      <c r="H801" s="20"/>
      <c r="I801" s="20"/>
    </row>
    <row r="802" spans="1:9" ht="37.5" customHeight="1">
      <c r="A802" s="128" t="s">
        <v>294</v>
      </c>
      <c r="B802" s="189"/>
      <c r="C802" s="171" t="s">
        <v>627</v>
      </c>
      <c r="D802" s="171" t="s">
        <v>625</v>
      </c>
      <c r="E802" s="171" t="s">
        <v>22</v>
      </c>
      <c r="F802" s="161"/>
      <c r="G802" s="30">
        <f>SUM(G803:G804)</f>
        <v>3900</v>
      </c>
      <c r="H802" s="20">
        <f>SUM(H803:H807)</f>
        <v>0</v>
      </c>
      <c r="I802" s="20">
        <f>SUM(H802/G802*100)</f>
        <v>0</v>
      </c>
    </row>
    <row r="803" spans="1:10" ht="45" customHeight="1">
      <c r="A803" s="108" t="s">
        <v>589</v>
      </c>
      <c r="B803" s="189"/>
      <c r="C803" s="171" t="s">
        <v>627</v>
      </c>
      <c r="D803" s="171" t="s">
        <v>625</v>
      </c>
      <c r="E803" s="171" t="s">
        <v>22</v>
      </c>
      <c r="F803" s="161" t="s">
        <v>21</v>
      </c>
      <c r="G803" s="30">
        <v>1780</v>
      </c>
      <c r="H803" s="20"/>
      <c r="I803" s="20">
        <f>SUM(H803/G803*100)</f>
        <v>0</v>
      </c>
      <c r="J803" s="246">
        <f>SUM('ведомствен.2013'!G1523)</f>
        <v>1780</v>
      </c>
    </row>
    <row r="804" spans="1:10" ht="28.5">
      <c r="A804" s="128" t="s">
        <v>711</v>
      </c>
      <c r="B804" s="189"/>
      <c r="C804" s="171" t="s">
        <v>627</v>
      </c>
      <c r="D804" s="171" t="s">
        <v>625</v>
      </c>
      <c r="E804" s="171" t="s">
        <v>22</v>
      </c>
      <c r="F804" s="161" t="s">
        <v>566</v>
      </c>
      <c r="G804" s="225">
        <v>2120</v>
      </c>
      <c r="H804" s="27"/>
      <c r="I804" s="20">
        <f>SUM(H804/G804*100)</f>
        <v>0</v>
      </c>
      <c r="J804" s="246">
        <f>SUM('ведомствен.2013'!G1524)</f>
        <v>2120</v>
      </c>
    </row>
    <row r="805" spans="1:9" ht="33" customHeight="1">
      <c r="A805" s="128" t="s">
        <v>295</v>
      </c>
      <c r="B805" s="189"/>
      <c r="C805" s="171" t="s">
        <v>627</v>
      </c>
      <c r="D805" s="171" t="s">
        <v>625</v>
      </c>
      <c r="E805" s="171" t="s">
        <v>24</v>
      </c>
      <c r="F805" s="161"/>
      <c r="G805" s="225">
        <f>SUM(G806:G807)</f>
        <v>3600</v>
      </c>
      <c r="H805" s="27"/>
      <c r="I805" s="20"/>
    </row>
    <row r="806" spans="1:10" ht="43.5" customHeight="1">
      <c r="A806" s="108" t="s">
        <v>589</v>
      </c>
      <c r="B806" s="189"/>
      <c r="C806" s="171" t="s">
        <v>627</v>
      </c>
      <c r="D806" s="171" t="s">
        <v>625</v>
      </c>
      <c r="E806" s="171" t="s">
        <v>24</v>
      </c>
      <c r="F806" s="161" t="s">
        <v>21</v>
      </c>
      <c r="G806" s="30">
        <v>3140</v>
      </c>
      <c r="H806" s="20"/>
      <c r="I806" s="20">
        <f aca="true" t="shared" si="22" ref="I806:I817">SUM(H806/G806*100)</f>
        <v>0</v>
      </c>
      <c r="J806" s="246">
        <f>SUM('ведомствен.2013'!G1526)</f>
        <v>3140</v>
      </c>
    </row>
    <row r="807" spans="1:10" ht="28.5">
      <c r="A807" s="128" t="s">
        <v>711</v>
      </c>
      <c r="B807" s="189"/>
      <c r="C807" s="171" t="s">
        <v>627</v>
      </c>
      <c r="D807" s="171" t="s">
        <v>625</v>
      </c>
      <c r="E807" s="171" t="s">
        <v>24</v>
      </c>
      <c r="F807" s="161" t="s">
        <v>566</v>
      </c>
      <c r="G807" s="225">
        <v>460</v>
      </c>
      <c r="H807" s="27"/>
      <c r="I807" s="20">
        <f t="shared" si="22"/>
        <v>0</v>
      </c>
      <c r="J807" s="246">
        <f>SUM('ведомствен.2013'!G1527)</f>
        <v>460</v>
      </c>
    </row>
    <row r="808" spans="1:10" s="40" customFormat="1" ht="33" customHeight="1" hidden="1">
      <c r="A808" s="128" t="s">
        <v>23</v>
      </c>
      <c r="B808" s="189"/>
      <c r="C808" s="171" t="s">
        <v>627</v>
      </c>
      <c r="D808" s="171" t="s">
        <v>625</v>
      </c>
      <c r="E808" s="171" t="s">
        <v>24</v>
      </c>
      <c r="F808" s="161" t="s">
        <v>21</v>
      </c>
      <c r="G808" s="225"/>
      <c r="H808" s="27">
        <v>2421.6</v>
      </c>
      <c r="I808" s="20" t="e">
        <f t="shared" si="22"/>
        <v>#DIV/0!</v>
      </c>
      <c r="J808" s="260"/>
    </row>
    <row r="809" spans="1:9" ht="15.75" customHeight="1" hidden="1">
      <c r="A809" s="106" t="s">
        <v>613</v>
      </c>
      <c r="B809" s="174"/>
      <c r="C809" s="159" t="s">
        <v>614</v>
      </c>
      <c r="D809" s="159"/>
      <c r="E809" s="159"/>
      <c r="F809" s="157"/>
      <c r="G809" s="30">
        <f>SUM(G810)+G813</f>
        <v>0</v>
      </c>
      <c r="H809" s="20">
        <f>SUM(H810)+H813</f>
        <v>0</v>
      </c>
      <c r="I809" s="20" t="e">
        <f t="shared" si="22"/>
        <v>#DIV/0!</v>
      </c>
    </row>
    <row r="810" spans="1:9" ht="15.75" customHeight="1" hidden="1">
      <c r="A810" s="106" t="s">
        <v>615</v>
      </c>
      <c r="B810" s="155"/>
      <c r="C810" s="155" t="s">
        <v>614</v>
      </c>
      <c r="D810" s="155" t="s">
        <v>614</v>
      </c>
      <c r="E810" s="155"/>
      <c r="F810" s="156"/>
      <c r="G810" s="30">
        <f>SUM(G811)</f>
        <v>0</v>
      </c>
      <c r="H810" s="20">
        <f>SUM(H811)</f>
        <v>0</v>
      </c>
      <c r="I810" s="20" t="e">
        <f t="shared" si="22"/>
        <v>#DIV/0!</v>
      </c>
    </row>
    <row r="811" spans="1:9" ht="27.75" customHeight="1" hidden="1">
      <c r="A811" s="106" t="s">
        <v>616</v>
      </c>
      <c r="B811" s="155"/>
      <c r="C811" s="155" t="s">
        <v>614</v>
      </c>
      <c r="D811" s="155" t="s">
        <v>614</v>
      </c>
      <c r="E811" s="155" t="s">
        <v>617</v>
      </c>
      <c r="F811" s="156"/>
      <c r="G811" s="30">
        <f>SUM(G812)</f>
        <v>0</v>
      </c>
      <c r="H811" s="20">
        <f>SUM(H812)</f>
        <v>0</v>
      </c>
      <c r="I811" s="20" t="e">
        <f t="shared" si="22"/>
        <v>#DIV/0!</v>
      </c>
    </row>
    <row r="812" spans="1:9" ht="13.5" customHeight="1" hidden="1">
      <c r="A812" s="106" t="s">
        <v>618</v>
      </c>
      <c r="B812" s="155"/>
      <c r="C812" s="155" t="s">
        <v>614</v>
      </c>
      <c r="D812" s="155" t="s">
        <v>614</v>
      </c>
      <c r="E812" s="155" t="s">
        <v>617</v>
      </c>
      <c r="F812" s="156" t="s">
        <v>619</v>
      </c>
      <c r="G812" s="30"/>
      <c r="H812" s="20"/>
      <c r="I812" s="20" t="e">
        <f t="shared" si="22"/>
        <v>#DIV/0!</v>
      </c>
    </row>
    <row r="813" spans="1:9" ht="13.5" customHeight="1" hidden="1">
      <c r="A813" s="108" t="s">
        <v>893</v>
      </c>
      <c r="B813" s="155"/>
      <c r="C813" s="155" t="s">
        <v>614</v>
      </c>
      <c r="D813" s="155" t="s">
        <v>1</v>
      </c>
      <c r="E813" s="155"/>
      <c r="F813" s="156"/>
      <c r="G813" s="30">
        <f>SUM(G814)</f>
        <v>0</v>
      </c>
      <c r="H813" s="20">
        <f>SUM(H814)</f>
        <v>0</v>
      </c>
      <c r="I813" s="20" t="e">
        <f t="shared" si="22"/>
        <v>#DIV/0!</v>
      </c>
    </row>
    <row r="814" spans="1:9" ht="13.5" customHeight="1" hidden="1">
      <c r="A814" s="108" t="s">
        <v>634</v>
      </c>
      <c r="B814" s="155"/>
      <c r="C814" s="155" t="s">
        <v>614</v>
      </c>
      <c r="D814" s="155" t="s">
        <v>1</v>
      </c>
      <c r="E814" s="155" t="s">
        <v>635</v>
      </c>
      <c r="F814" s="156"/>
      <c r="G814" s="30">
        <f>SUM(G815)</f>
        <v>0</v>
      </c>
      <c r="H814" s="20">
        <f>SUM(H815)</f>
        <v>0</v>
      </c>
      <c r="I814" s="20" t="e">
        <f t="shared" si="22"/>
        <v>#DIV/0!</v>
      </c>
    </row>
    <row r="815" spans="1:9" ht="13.5" customHeight="1" hidden="1">
      <c r="A815" s="106" t="s">
        <v>25</v>
      </c>
      <c r="B815" s="155"/>
      <c r="C815" s="155" t="s">
        <v>614</v>
      </c>
      <c r="D815" s="155" t="s">
        <v>1</v>
      </c>
      <c r="E815" s="155" t="s">
        <v>635</v>
      </c>
      <c r="F815" s="156" t="s">
        <v>753</v>
      </c>
      <c r="G815" s="30"/>
      <c r="H815" s="20"/>
      <c r="I815" s="20" t="e">
        <f t="shared" si="22"/>
        <v>#DIV/0!</v>
      </c>
    </row>
    <row r="816" spans="1:12" s="19" customFormat="1" ht="18.75" customHeight="1">
      <c r="A816" s="134" t="s">
        <v>48</v>
      </c>
      <c r="B816" s="189"/>
      <c r="C816" s="214" t="s">
        <v>1</v>
      </c>
      <c r="D816" s="214"/>
      <c r="E816" s="214"/>
      <c r="F816" s="215"/>
      <c r="G816" s="224">
        <f>SUM(G817+G837+G871+G876+G886+G895)</f>
        <v>85964.3</v>
      </c>
      <c r="H816" s="26" t="e">
        <f>SUM(H817+H837+H871+H876+H886+H895)</f>
        <v>#REF!</v>
      </c>
      <c r="I816" s="26" t="e">
        <f t="shared" si="22"/>
        <v>#REF!</v>
      </c>
      <c r="J816" s="247"/>
      <c r="K816" s="19">
        <f>SUM(J817:J929)</f>
        <v>85964.3</v>
      </c>
      <c r="L816" s="19">
        <f>SUM('ведомствен.2013'!G1537)</f>
        <v>85964.3</v>
      </c>
    </row>
    <row r="817" spans="1:9" ht="15.75" customHeight="1">
      <c r="A817" s="106" t="s">
        <v>754</v>
      </c>
      <c r="B817" s="155"/>
      <c r="C817" s="159" t="s">
        <v>1</v>
      </c>
      <c r="D817" s="159" t="s">
        <v>237</v>
      </c>
      <c r="E817" s="159"/>
      <c r="F817" s="157"/>
      <c r="G817" s="30">
        <f>SUM(G822+G824)</f>
        <v>10644.900000000001</v>
      </c>
      <c r="H817" s="20">
        <f>SUM(H822+H824)</f>
        <v>49456.8</v>
      </c>
      <c r="I817" s="20">
        <f t="shared" si="22"/>
        <v>464.60558577346893</v>
      </c>
    </row>
    <row r="818" spans="1:9" ht="19.5" customHeight="1" hidden="1">
      <c r="A818" s="131" t="s">
        <v>755</v>
      </c>
      <c r="B818" s="155"/>
      <c r="C818" s="159" t="s">
        <v>1</v>
      </c>
      <c r="D818" s="159" t="s">
        <v>237</v>
      </c>
      <c r="E818" s="159" t="s">
        <v>756</v>
      </c>
      <c r="F818" s="157"/>
      <c r="G818" s="30">
        <f>SUM(G819)</f>
        <v>0</v>
      </c>
      <c r="H818" s="20">
        <f>SUM(H819)</f>
        <v>0</v>
      </c>
      <c r="I818" s="20" t="e">
        <f aca="true" t="shared" si="23" ref="I818:I895">SUM(H818/G818*100)</f>
        <v>#DIV/0!</v>
      </c>
    </row>
    <row r="819" spans="1:9" ht="18.75" customHeight="1" hidden="1">
      <c r="A819" s="106" t="s">
        <v>930</v>
      </c>
      <c r="B819" s="155"/>
      <c r="C819" s="159" t="s">
        <v>1</v>
      </c>
      <c r="D819" s="159" t="s">
        <v>237</v>
      </c>
      <c r="E819" s="159" t="s">
        <v>757</v>
      </c>
      <c r="F819" s="157"/>
      <c r="G819" s="30">
        <f>SUM(G820)</f>
        <v>0</v>
      </c>
      <c r="H819" s="20">
        <f>SUM(H820)</f>
        <v>0</v>
      </c>
      <c r="I819" s="20" t="e">
        <f t="shared" si="23"/>
        <v>#DIV/0!</v>
      </c>
    </row>
    <row r="820" spans="1:9" ht="17.25" customHeight="1" hidden="1">
      <c r="A820" s="108" t="s">
        <v>932</v>
      </c>
      <c r="B820" s="155"/>
      <c r="C820" s="159" t="s">
        <v>1</v>
      </c>
      <c r="D820" s="159" t="s">
        <v>237</v>
      </c>
      <c r="E820" s="159" t="s">
        <v>757</v>
      </c>
      <c r="F820" s="157" t="s">
        <v>933</v>
      </c>
      <c r="G820" s="30"/>
      <c r="H820" s="20"/>
      <c r="I820" s="20" t="e">
        <f t="shared" si="23"/>
        <v>#DIV/0!</v>
      </c>
    </row>
    <row r="821" spans="1:9" ht="17.25" customHeight="1" hidden="1">
      <c r="A821" s="106" t="s">
        <v>148</v>
      </c>
      <c r="B821" s="155"/>
      <c r="C821" s="159" t="s">
        <v>1</v>
      </c>
      <c r="D821" s="159" t="s">
        <v>237</v>
      </c>
      <c r="E821" s="155" t="s">
        <v>150</v>
      </c>
      <c r="F821" s="156"/>
      <c r="G821" s="30">
        <f>SUM(G822)</f>
        <v>0</v>
      </c>
      <c r="H821" s="20">
        <f>SUM(H822)</f>
        <v>146.8</v>
      </c>
      <c r="I821" s="20" t="e">
        <f t="shared" si="23"/>
        <v>#DIV/0!</v>
      </c>
    </row>
    <row r="822" spans="1:9" ht="15.75" customHeight="1" hidden="1">
      <c r="A822" s="106" t="s">
        <v>128</v>
      </c>
      <c r="B822" s="155"/>
      <c r="C822" s="159" t="s">
        <v>1</v>
      </c>
      <c r="D822" s="159" t="s">
        <v>237</v>
      </c>
      <c r="E822" s="155" t="s">
        <v>129</v>
      </c>
      <c r="F822" s="156"/>
      <c r="G822" s="30">
        <f>SUM(G823)</f>
        <v>0</v>
      </c>
      <c r="H822" s="20">
        <f>SUM(H823)</f>
        <v>146.8</v>
      </c>
      <c r="I822" s="20" t="e">
        <f t="shared" si="23"/>
        <v>#DIV/0!</v>
      </c>
    </row>
    <row r="823" spans="1:9" ht="17.25" customHeight="1" hidden="1">
      <c r="A823" s="108" t="s">
        <v>932</v>
      </c>
      <c r="B823" s="159"/>
      <c r="C823" s="159" t="s">
        <v>1</v>
      </c>
      <c r="D823" s="159" t="s">
        <v>237</v>
      </c>
      <c r="E823" s="155" t="s">
        <v>129</v>
      </c>
      <c r="F823" s="157" t="s">
        <v>933</v>
      </c>
      <c r="G823" s="30"/>
      <c r="H823" s="20">
        <v>146.8</v>
      </c>
      <c r="I823" s="20" t="e">
        <f t="shared" si="23"/>
        <v>#DIV/0!</v>
      </c>
    </row>
    <row r="824" spans="1:9" ht="15">
      <c r="A824" s="106" t="s">
        <v>791</v>
      </c>
      <c r="B824" s="155"/>
      <c r="C824" s="159" t="s">
        <v>1</v>
      </c>
      <c r="D824" s="159" t="s">
        <v>237</v>
      </c>
      <c r="E824" s="159" t="s">
        <v>758</v>
      </c>
      <c r="F824" s="157"/>
      <c r="G824" s="30">
        <f>SUM(G825)+G834</f>
        <v>10644.900000000001</v>
      </c>
      <c r="H824" s="20">
        <f>SUM(H825)</f>
        <v>49310</v>
      </c>
      <c r="I824" s="20">
        <f t="shared" si="23"/>
        <v>463.22652162068215</v>
      </c>
    </row>
    <row r="825" spans="1:9" ht="30.75" customHeight="1">
      <c r="A825" s="106" t="s">
        <v>588</v>
      </c>
      <c r="B825" s="174"/>
      <c r="C825" s="159" t="s">
        <v>1</v>
      </c>
      <c r="D825" s="159" t="s">
        <v>237</v>
      </c>
      <c r="E825" s="159" t="s">
        <v>567</v>
      </c>
      <c r="F825" s="157"/>
      <c r="G825" s="30">
        <f>SUM(G826+G832)</f>
        <v>10644.900000000001</v>
      </c>
      <c r="H825" s="20">
        <f>SUM(H832:H835)</f>
        <v>49310</v>
      </c>
      <c r="I825" s="20">
        <f t="shared" si="23"/>
        <v>463.22652162068215</v>
      </c>
    </row>
    <row r="826" spans="1:9" ht="29.25" customHeight="1">
      <c r="A826" s="108" t="s">
        <v>663</v>
      </c>
      <c r="B826" s="174"/>
      <c r="C826" s="159" t="s">
        <v>1</v>
      </c>
      <c r="D826" s="159" t="s">
        <v>237</v>
      </c>
      <c r="E826" s="159" t="s">
        <v>664</v>
      </c>
      <c r="F826" s="157"/>
      <c r="G826" s="30">
        <f>SUM(G828+G830)</f>
        <v>156.2</v>
      </c>
      <c r="H826" s="20"/>
      <c r="I826" s="20"/>
    </row>
    <row r="827" spans="1:10" ht="27" customHeight="1" hidden="1">
      <c r="A827" s="108" t="s">
        <v>663</v>
      </c>
      <c r="B827" s="174"/>
      <c r="C827" s="159" t="s">
        <v>1</v>
      </c>
      <c r="D827" s="159" t="s">
        <v>237</v>
      </c>
      <c r="E827" s="159" t="s">
        <v>664</v>
      </c>
      <c r="F827" s="157" t="s">
        <v>566</v>
      </c>
      <c r="G827" s="30"/>
      <c r="H827" s="20"/>
      <c r="I827" s="20"/>
      <c r="J827" s="246">
        <f>SUM('ведомствен.2013'!G1545)</f>
        <v>0</v>
      </c>
    </row>
    <row r="828" spans="1:9" ht="28.5" customHeight="1" hidden="1">
      <c r="A828" s="108" t="s">
        <v>159</v>
      </c>
      <c r="B828" s="174"/>
      <c r="C828" s="159" t="s">
        <v>1</v>
      </c>
      <c r="D828" s="159" t="s">
        <v>237</v>
      </c>
      <c r="E828" s="159" t="s">
        <v>665</v>
      </c>
      <c r="F828" s="157"/>
      <c r="G828" s="30">
        <f>SUM(G829)</f>
        <v>0</v>
      </c>
      <c r="H828" s="20"/>
      <c r="I828" s="20"/>
    </row>
    <row r="829" spans="1:10" ht="28.5" customHeight="1" hidden="1">
      <c r="A829" s="108" t="s">
        <v>666</v>
      </c>
      <c r="B829" s="174"/>
      <c r="C829" s="159" t="s">
        <v>1</v>
      </c>
      <c r="D829" s="159" t="s">
        <v>237</v>
      </c>
      <c r="E829" s="159" t="s">
        <v>665</v>
      </c>
      <c r="F829" s="157" t="s">
        <v>566</v>
      </c>
      <c r="G829" s="30"/>
      <c r="H829" s="20"/>
      <c r="I829" s="20"/>
      <c r="J829" s="246">
        <f>SUM('ведомствен.2013'!G1547)</f>
        <v>0</v>
      </c>
    </row>
    <row r="830" spans="1:9" ht="29.25" customHeight="1">
      <c r="A830" s="106" t="s">
        <v>838</v>
      </c>
      <c r="B830" s="155"/>
      <c r="C830" s="159" t="s">
        <v>1</v>
      </c>
      <c r="D830" s="159" t="s">
        <v>237</v>
      </c>
      <c r="E830" s="155" t="s">
        <v>842</v>
      </c>
      <c r="F830" s="156"/>
      <c r="G830" s="30">
        <f>SUM(G831)</f>
        <v>156.2</v>
      </c>
      <c r="H830" s="20"/>
      <c r="I830" s="20"/>
    </row>
    <row r="831" spans="1:10" ht="29.25" customHeight="1">
      <c r="A831" s="106" t="s">
        <v>711</v>
      </c>
      <c r="B831" s="155"/>
      <c r="C831" s="159" t="s">
        <v>1</v>
      </c>
      <c r="D831" s="159" t="s">
        <v>237</v>
      </c>
      <c r="E831" s="155" t="s">
        <v>842</v>
      </c>
      <c r="F831" s="156" t="s">
        <v>566</v>
      </c>
      <c r="G831" s="30">
        <v>156.2</v>
      </c>
      <c r="H831" s="20"/>
      <c r="I831" s="20"/>
      <c r="J831" s="246">
        <f>SUM('ведомствен.2013'!G1549)</f>
        <v>156.2</v>
      </c>
    </row>
    <row r="832" spans="1:9" ht="32.25" customHeight="1">
      <c r="A832" s="106" t="s">
        <v>10</v>
      </c>
      <c r="B832" s="174"/>
      <c r="C832" s="159" t="s">
        <v>1</v>
      </c>
      <c r="D832" s="159" t="s">
        <v>237</v>
      </c>
      <c r="E832" s="159" t="s">
        <v>9</v>
      </c>
      <c r="F832" s="157"/>
      <c r="G832" s="30">
        <f>SUM(G833)</f>
        <v>10488.7</v>
      </c>
      <c r="H832" s="20">
        <v>49310</v>
      </c>
      <c r="I832" s="20">
        <f t="shared" si="23"/>
        <v>470.1249916576887</v>
      </c>
    </row>
    <row r="833" spans="1:10" ht="45.75" customHeight="1">
      <c r="A833" s="108" t="s">
        <v>363</v>
      </c>
      <c r="B833" s="120"/>
      <c r="C833" s="159" t="s">
        <v>1</v>
      </c>
      <c r="D833" s="159" t="s">
        <v>237</v>
      </c>
      <c r="E833" s="159" t="s">
        <v>9</v>
      </c>
      <c r="F833" s="158" t="s">
        <v>875</v>
      </c>
      <c r="G833" s="30">
        <v>10488.7</v>
      </c>
      <c r="H833" s="20"/>
      <c r="I833" s="20">
        <f t="shared" si="23"/>
        <v>0</v>
      </c>
      <c r="J833" s="246">
        <f>SUM('ведомствен.2013'!G1551)</f>
        <v>10488.7</v>
      </c>
    </row>
    <row r="834" spans="1:9" ht="28.5" customHeight="1" hidden="1">
      <c r="A834" s="106" t="s">
        <v>482</v>
      </c>
      <c r="B834" s="155"/>
      <c r="C834" s="159" t="s">
        <v>760</v>
      </c>
      <c r="D834" s="159" t="s">
        <v>237</v>
      </c>
      <c r="E834" s="159" t="s">
        <v>759</v>
      </c>
      <c r="F834" s="157"/>
      <c r="G834" s="30">
        <f>SUM(G835)</f>
        <v>0</v>
      </c>
      <c r="H834" s="20"/>
      <c r="I834" s="20" t="e">
        <f t="shared" si="23"/>
        <v>#DIV/0!</v>
      </c>
    </row>
    <row r="835" spans="1:10" ht="21" customHeight="1" hidden="1">
      <c r="A835" s="108" t="s">
        <v>483</v>
      </c>
      <c r="B835" s="155"/>
      <c r="C835" s="159" t="s">
        <v>760</v>
      </c>
      <c r="D835" s="159" t="s">
        <v>237</v>
      </c>
      <c r="E835" s="159" t="s">
        <v>759</v>
      </c>
      <c r="F835" s="157" t="s">
        <v>933</v>
      </c>
      <c r="G835" s="30"/>
      <c r="H835" s="20">
        <f>SUM(H836)</f>
        <v>0</v>
      </c>
      <c r="I835" s="20" t="e">
        <f t="shared" si="23"/>
        <v>#DIV/0!</v>
      </c>
      <c r="J835" s="246">
        <f>SUM('ведомствен.2013'!G803)</f>
        <v>0</v>
      </c>
    </row>
    <row r="836" spans="1:9" ht="23.25" customHeight="1" hidden="1">
      <c r="A836" s="108" t="s">
        <v>932</v>
      </c>
      <c r="B836" s="155"/>
      <c r="C836" s="159" t="s">
        <v>760</v>
      </c>
      <c r="D836" s="159" t="s">
        <v>237</v>
      </c>
      <c r="E836" s="159" t="s">
        <v>910</v>
      </c>
      <c r="F836" s="157" t="s">
        <v>933</v>
      </c>
      <c r="G836" s="30"/>
      <c r="H836" s="20"/>
      <c r="I836" s="20" t="e">
        <f t="shared" si="23"/>
        <v>#DIV/0!</v>
      </c>
    </row>
    <row r="837" spans="1:9" ht="18.75" customHeight="1">
      <c r="A837" s="106" t="s">
        <v>911</v>
      </c>
      <c r="B837" s="155"/>
      <c r="C837" s="159" t="s">
        <v>1</v>
      </c>
      <c r="D837" s="159" t="s">
        <v>239</v>
      </c>
      <c r="E837" s="159"/>
      <c r="F837" s="157"/>
      <c r="G837" s="30">
        <f>SUM(G838+G849+G862+G868)</f>
        <v>17381.7</v>
      </c>
      <c r="H837" s="20" t="e">
        <f>SUM(H838+H849+H862+H868)</f>
        <v>#REF!</v>
      </c>
      <c r="I837" s="20" t="e">
        <f t="shared" si="23"/>
        <v>#REF!</v>
      </c>
    </row>
    <row r="838" spans="1:9" ht="18.75" customHeight="1">
      <c r="A838" s="106" t="s">
        <v>791</v>
      </c>
      <c r="B838" s="155"/>
      <c r="C838" s="159" t="s">
        <v>1</v>
      </c>
      <c r="D838" s="159" t="s">
        <v>239</v>
      </c>
      <c r="E838" s="159" t="s">
        <v>758</v>
      </c>
      <c r="F838" s="157"/>
      <c r="G838" s="30">
        <f>SUM(G839)+G847</f>
        <v>9275.400000000001</v>
      </c>
      <c r="H838" s="20" t="e">
        <f>SUM(H839)</f>
        <v>#REF!</v>
      </c>
      <c r="I838" s="20" t="e">
        <f t="shared" si="23"/>
        <v>#REF!</v>
      </c>
    </row>
    <row r="839" spans="1:9" ht="28.5" customHeight="1">
      <c r="A839" s="106" t="s">
        <v>588</v>
      </c>
      <c r="B839" s="174"/>
      <c r="C839" s="159" t="s">
        <v>1</v>
      </c>
      <c r="D839" s="159" t="s">
        <v>239</v>
      </c>
      <c r="E839" s="159" t="s">
        <v>567</v>
      </c>
      <c r="F839" s="157"/>
      <c r="G839" s="30">
        <f>SUM(G840+G845)</f>
        <v>9275.400000000001</v>
      </c>
      <c r="H839" s="20" t="e">
        <f>SUM(H845:H848)</f>
        <v>#REF!</v>
      </c>
      <c r="I839" s="20" t="e">
        <f t="shared" si="23"/>
        <v>#REF!</v>
      </c>
    </row>
    <row r="840" spans="1:9" ht="46.5" customHeight="1">
      <c r="A840" s="108" t="s">
        <v>663</v>
      </c>
      <c r="B840" s="174"/>
      <c r="C840" s="159" t="s">
        <v>1</v>
      </c>
      <c r="D840" s="159" t="s">
        <v>239</v>
      </c>
      <c r="E840" s="159" t="s">
        <v>664</v>
      </c>
      <c r="F840" s="157"/>
      <c r="G840" s="30">
        <f>SUM(G843)+G841</f>
        <v>156.2</v>
      </c>
      <c r="H840" s="20"/>
      <c r="I840" s="20"/>
    </row>
    <row r="841" spans="1:9" ht="27.75" customHeight="1" hidden="1">
      <c r="A841" s="108" t="s">
        <v>159</v>
      </c>
      <c r="B841" s="174"/>
      <c r="C841" s="159" t="s">
        <v>1</v>
      </c>
      <c r="D841" s="159" t="s">
        <v>239</v>
      </c>
      <c r="E841" s="159" t="s">
        <v>665</v>
      </c>
      <c r="F841" s="157"/>
      <c r="G841" s="30">
        <f>SUM(G842)</f>
        <v>0</v>
      </c>
      <c r="H841" s="20"/>
      <c r="I841" s="20"/>
    </row>
    <row r="842" spans="1:10" ht="27.75" customHeight="1" hidden="1">
      <c r="A842" s="108" t="s">
        <v>666</v>
      </c>
      <c r="B842" s="174"/>
      <c r="C842" s="159" t="s">
        <v>1</v>
      </c>
      <c r="D842" s="159" t="s">
        <v>239</v>
      </c>
      <c r="E842" s="159" t="s">
        <v>665</v>
      </c>
      <c r="F842" s="157" t="s">
        <v>566</v>
      </c>
      <c r="G842" s="30"/>
      <c r="H842" s="20"/>
      <c r="I842" s="20"/>
      <c r="J842" s="246">
        <f>SUM('ведомствен.2013'!G1560)</f>
        <v>0</v>
      </c>
    </row>
    <row r="843" spans="1:9" ht="27.75" customHeight="1">
      <c r="A843" s="106" t="s">
        <v>838</v>
      </c>
      <c r="B843" s="174"/>
      <c r="C843" s="159" t="s">
        <v>1</v>
      </c>
      <c r="D843" s="159" t="s">
        <v>239</v>
      </c>
      <c r="E843" s="159" t="s">
        <v>842</v>
      </c>
      <c r="F843" s="157"/>
      <c r="G843" s="30">
        <f>SUM(G844)</f>
        <v>156.2</v>
      </c>
      <c r="H843" s="20"/>
      <c r="I843" s="20"/>
    </row>
    <row r="844" spans="1:10" ht="30" customHeight="1">
      <c r="A844" s="106" t="s">
        <v>711</v>
      </c>
      <c r="B844" s="174"/>
      <c r="C844" s="159" t="s">
        <v>1</v>
      </c>
      <c r="D844" s="159" t="s">
        <v>239</v>
      </c>
      <c r="E844" s="159" t="s">
        <v>842</v>
      </c>
      <c r="F844" s="157" t="s">
        <v>566</v>
      </c>
      <c r="G844" s="30">
        <v>156.2</v>
      </c>
      <c r="H844" s="20"/>
      <c r="I844" s="20"/>
      <c r="J844" s="246">
        <f>SUM('ведомствен.2013'!G1549)</f>
        <v>156.2</v>
      </c>
    </row>
    <row r="845" spans="1:9" ht="29.25" customHeight="1">
      <c r="A845" s="106" t="s">
        <v>10</v>
      </c>
      <c r="B845" s="174"/>
      <c r="C845" s="159" t="s">
        <v>1</v>
      </c>
      <c r="D845" s="159" t="s">
        <v>239</v>
      </c>
      <c r="E845" s="159" t="s">
        <v>9</v>
      </c>
      <c r="F845" s="157"/>
      <c r="G845" s="30">
        <f>SUM(G846)</f>
        <v>9119.2</v>
      </c>
      <c r="H845" s="20">
        <v>21823.6</v>
      </c>
      <c r="I845" s="20">
        <f t="shared" si="23"/>
        <v>239.31485218001575</v>
      </c>
    </row>
    <row r="846" spans="1:10" ht="45" customHeight="1">
      <c r="A846" s="108" t="s">
        <v>363</v>
      </c>
      <c r="B846" s="120"/>
      <c r="C846" s="159" t="s">
        <v>1</v>
      </c>
      <c r="D846" s="159" t="s">
        <v>239</v>
      </c>
      <c r="E846" s="159" t="s">
        <v>9</v>
      </c>
      <c r="F846" s="158" t="s">
        <v>875</v>
      </c>
      <c r="G846" s="30">
        <v>9119.2</v>
      </c>
      <c r="H846" s="20"/>
      <c r="I846" s="20">
        <f t="shared" si="23"/>
        <v>0</v>
      </c>
      <c r="J846" s="246">
        <f>SUM('ведомствен.2013'!G1566)</f>
        <v>9119.2</v>
      </c>
    </row>
    <row r="847" spans="1:9" ht="28.5" customHeight="1" hidden="1">
      <c r="A847" s="106" t="s">
        <v>482</v>
      </c>
      <c r="B847" s="155"/>
      <c r="C847" s="159" t="s">
        <v>1</v>
      </c>
      <c r="D847" s="159" t="s">
        <v>239</v>
      </c>
      <c r="E847" s="159" t="s">
        <v>759</v>
      </c>
      <c r="F847" s="157"/>
      <c r="G847" s="30">
        <f>SUM(G848)</f>
        <v>0</v>
      </c>
      <c r="H847" s="20"/>
      <c r="I847" s="20" t="e">
        <f>SUM(H847/G847*100)</f>
        <v>#DIV/0!</v>
      </c>
    </row>
    <row r="848" spans="1:10" ht="21" customHeight="1" hidden="1">
      <c r="A848" s="108" t="s">
        <v>483</v>
      </c>
      <c r="B848" s="155"/>
      <c r="C848" s="159" t="s">
        <v>1</v>
      </c>
      <c r="D848" s="159" t="s">
        <v>239</v>
      </c>
      <c r="E848" s="159" t="s">
        <v>759</v>
      </c>
      <c r="F848" s="157" t="s">
        <v>933</v>
      </c>
      <c r="G848" s="30"/>
      <c r="H848" s="20" t="e">
        <f>SUM(#REF!)</f>
        <v>#REF!</v>
      </c>
      <c r="I848" s="20" t="e">
        <f>SUM(H848/G848*100)</f>
        <v>#REF!</v>
      </c>
      <c r="J848" s="246">
        <f>SUM('ведомствен.2013'!G807)</f>
        <v>0</v>
      </c>
    </row>
    <row r="849" spans="1:9" ht="15.75" customHeight="1">
      <c r="A849" s="106" t="s">
        <v>912</v>
      </c>
      <c r="B849" s="155"/>
      <c r="C849" s="159" t="s">
        <v>1</v>
      </c>
      <c r="D849" s="159" t="s">
        <v>239</v>
      </c>
      <c r="E849" s="159" t="s">
        <v>913</v>
      </c>
      <c r="F849" s="157"/>
      <c r="G849" s="30">
        <f>SUM(G850)+G860</f>
        <v>8106.3</v>
      </c>
      <c r="H849" s="20" t="e">
        <f>SUM(H850)</f>
        <v>#REF!</v>
      </c>
      <c r="I849" s="20" t="e">
        <f t="shared" si="23"/>
        <v>#REF!</v>
      </c>
    </row>
    <row r="850" spans="1:9" ht="32.25" customHeight="1">
      <c r="A850" s="106" t="s">
        <v>588</v>
      </c>
      <c r="B850" s="155"/>
      <c r="C850" s="159" t="s">
        <v>1</v>
      </c>
      <c r="D850" s="159" t="s">
        <v>239</v>
      </c>
      <c r="E850" s="159" t="s">
        <v>11</v>
      </c>
      <c r="F850" s="157"/>
      <c r="G850" s="30">
        <f>SUM(G858)+G851</f>
        <v>8106.3</v>
      </c>
      <c r="H850" s="20" t="e">
        <f>SUM(H859:H861)</f>
        <v>#REF!</v>
      </c>
      <c r="I850" s="20" t="e">
        <f t="shared" si="23"/>
        <v>#REF!</v>
      </c>
    </row>
    <row r="851" spans="1:9" ht="32.25" customHeight="1">
      <c r="A851" s="108" t="s">
        <v>663</v>
      </c>
      <c r="B851" s="155"/>
      <c r="C851" s="159" t="s">
        <v>1</v>
      </c>
      <c r="D851" s="159" t="s">
        <v>239</v>
      </c>
      <c r="E851" s="159" t="s">
        <v>843</v>
      </c>
      <c r="F851" s="157"/>
      <c r="G851" s="30">
        <f>SUM(G852)+G855+G856</f>
        <v>560</v>
      </c>
      <c r="H851" s="20"/>
      <c r="I851" s="20"/>
    </row>
    <row r="852" spans="1:9" ht="32.25" customHeight="1">
      <c r="A852" s="108" t="s">
        <v>667</v>
      </c>
      <c r="B852" s="174"/>
      <c r="C852" s="159" t="s">
        <v>1</v>
      </c>
      <c r="D852" s="159" t="s">
        <v>239</v>
      </c>
      <c r="E852" s="159" t="s">
        <v>668</v>
      </c>
      <c r="F852" s="157"/>
      <c r="G852" s="30">
        <f>SUM(G853)</f>
        <v>231</v>
      </c>
      <c r="H852" s="20"/>
      <c r="I852" s="20"/>
    </row>
    <row r="853" spans="1:10" ht="32.25" customHeight="1">
      <c r="A853" s="108" t="s">
        <v>666</v>
      </c>
      <c r="B853" s="174"/>
      <c r="C853" s="159" t="s">
        <v>1</v>
      </c>
      <c r="D853" s="159" t="s">
        <v>239</v>
      </c>
      <c r="E853" s="159" t="s">
        <v>668</v>
      </c>
      <c r="F853" s="157" t="s">
        <v>566</v>
      </c>
      <c r="G853" s="30">
        <v>231</v>
      </c>
      <c r="H853" s="20"/>
      <c r="I853" s="20"/>
      <c r="J853" s="246">
        <f>SUM('ведомствен.2013'!G1574)</f>
        <v>231</v>
      </c>
    </row>
    <row r="854" spans="1:9" ht="32.25" customHeight="1">
      <c r="A854" s="108" t="s">
        <v>159</v>
      </c>
      <c r="B854" s="174"/>
      <c r="C854" s="159" t="s">
        <v>1</v>
      </c>
      <c r="D854" s="159" t="s">
        <v>239</v>
      </c>
      <c r="E854" s="159" t="s">
        <v>301</v>
      </c>
      <c r="F854" s="157"/>
      <c r="G854" s="30">
        <f>SUM(G855)</f>
        <v>230</v>
      </c>
      <c r="H854" s="20"/>
      <c r="I854" s="20"/>
    </row>
    <row r="855" spans="1:10" ht="32.25" customHeight="1">
      <c r="A855" s="108" t="s">
        <v>666</v>
      </c>
      <c r="B855" s="174"/>
      <c r="C855" s="159" t="s">
        <v>1</v>
      </c>
      <c r="D855" s="159" t="s">
        <v>239</v>
      </c>
      <c r="E855" s="159" t="s">
        <v>301</v>
      </c>
      <c r="F855" s="157" t="s">
        <v>566</v>
      </c>
      <c r="G855" s="30">
        <v>230</v>
      </c>
      <c r="H855" s="20"/>
      <c r="I855" s="20"/>
      <c r="J855" s="246">
        <f>SUM('ведомствен.2013'!G1576)</f>
        <v>230</v>
      </c>
    </row>
    <row r="856" spans="1:9" ht="32.25" customHeight="1">
      <c r="A856" s="108" t="s">
        <v>705</v>
      </c>
      <c r="B856" s="174"/>
      <c r="C856" s="159" t="s">
        <v>1</v>
      </c>
      <c r="D856" s="159" t="s">
        <v>239</v>
      </c>
      <c r="E856" s="159" t="s">
        <v>392</v>
      </c>
      <c r="F856" s="157"/>
      <c r="G856" s="91">
        <f>SUM(G857)</f>
        <v>99</v>
      </c>
      <c r="H856" s="20"/>
      <c r="I856" s="20"/>
    </row>
    <row r="857" spans="1:10" ht="32.25" customHeight="1">
      <c r="A857" s="108" t="s">
        <v>666</v>
      </c>
      <c r="B857" s="174"/>
      <c r="C857" s="159" t="s">
        <v>1</v>
      </c>
      <c r="D857" s="159" t="s">
        <v>239</v>
      </c>
      <c r="E857" s="159" t="s">
        <v>392</v>
      </c>
      <c r="F857" s="157" t="s">
        <v>566</v>
      </c>
      <c r="G857" s="91">
        <v>99</v>
      </c>
      <c r="H857" s="20"/>
      <c r="I857" s="20"/>
      <c r="J857" s="246">
        <f>SUM('ведомствен.2013'!G1578)</f>
        <v>99</v>
      </c>
    </row>
    <row r="858" spans="1:9" ht="32.25" customHeight="1">
      <c r="A858" s="108" t="s">
        <v>10</v>
      </c>
      <c r="B858" s="155"/>
      <c r="C858" s="159" t="s">
        <v>1</v>
      </c>
      <c r="D858" s="159" t="s">
        <v>239</v>
      </c>
      <c r="E858" s="159" t="s">
        <v>12</v>
      </c>
      <c r="F858" s="157"/>
      <c r="G858" s="30">
        <f>SUM(G859)</f>
        <v>7546.3</v>
      </c>
      <c r="H858" s="20"/>
      <c r="I858" s="20"/>
    </row>
    <row r="859" spans="1:10" ht="47.25" customHeight="1">
      <c r="A859" s="108" t="s">
        <v>363</v>
      </c>
      <c r="B859" s="155"/>
      <c r="C859" s="159" t="s">
        <v>1</v>
      </c>
      <c r="D859" s="159" t="s">
        <v>239</v>
      </c>
      <c r="E859" s="159" t="s">
        <v>12</v>
      </c>
      <c r="F859" s="157" t="s">
        <v>875</v>
      </c>
      <c r="G859" s="30">
        <v>7546.3</v>
      </c>
      <c r="H859" s="20">
        <v>7467.6</v>
      </c>
      <c r="I859" s="20">
        <f t="shared" si="23"/>
        <v>98.95710480632893</v>
      </c>
      <c r="J859" s="246">
        <f>SUM('ведомствен.2013'!G1581)</f>
        <v>7546.3</v>
      </c>
    </row>
    <row r="860" spans="1:9" ht="28.5" customHeight="1" hidden="1">
      <c r="A860" s="106" t="s">
        <v>482</v>
      </c>
      <c r="B860" s="155"/>
      <c r="C860" s="159" t="s">
        <v>1</v>
      </c>
      <c r="D860" s="159" t="s">
        <v>239</v>
      </c>
      <c r="E860" s="159" t="s">
        <v>914</v>
      </c>
      <c r="F860" s="157"/>
      <c r="G860" s="30">
        <f>SUM(G861)</f>
        <v>0</v>
      </c>
      <c r="H860" s="20"/>
      <c r="I860" s="20" t="e">
        <f t="shared" si="23"/>
        <v>#DIV/0!</v>
      </c>
    </row>
    <row r="861" spans="1:10" ht="21" customHeight="1" hidden="1">
      <c r="A861" s="108" t="s">
        <v>483</v>
      </c>
      <c r="B861" s="155"/>
      <c r="C861" s="159" t="s">
        <v>1</v>
      </c>
      <c r="D861" s="159" t="s">
        <v>239</v>
      </c>
      <c r="E861" s="159" t="s">
        <v>914</v>
      </c>
      <c r="F861" s="157" t="s">
        <v>933</v>
      </c>
      <c r="G861" s="30"/>
      <c r="H861" s="20" t="e">
        <f>SUM(#REF!)</f>
        <v>#REF!</v>
      </c>
      <c r="I861" s="20" t="e">
        <f t="shared" si="23"/>
        <v>#REF!</v>
      </c>
      <c r="J861" s="246">
        <f>SUM('ведомствен.2013'!G810)</f>
        <v>0</v>
      </c>
    </row>
    <row r="862" spans="1:9" ht="14.25" customHeight="1" hidden="1">
      <c r="A862" s="106" t="s">
        <v>916</v>
      </c>
      <c r="B862" s="155"/>
      <c r="C862" s="159" t="s">
        <v>1</v>
      </c>
      <c r="D862" s="159" t="s">
        <v>239</v>
      </c>
      <c r="E862" s="159" t="s">
        <v>917</v>
      </c>
      <c r="F862" s="157"/>
      <c r="G862" s="30">
        <f>SUM(G863)+G866</f>
        <v>0</v>
      </c>
      <c r="H862" s="20">
        <f>SUM(H863)</f>
        <v>1817.2</v>
      </c>
      <c r="I862" s="20" t="e">
        <f t="shared" si="23"/>
        <v>#DIV/0!</v>
      </c>
    </row>
    <row r="863" spans="1:9" ht="31.5" customHeight="1" hidden="1">
      <c r="A863" s="106" t="s">
        <v>588</v>
      </c>
      <c r="B863" s="174"/>
      <c r="C863" s="159" t="s">
        <v>1</v>
      </c>
      <c r="D863" s="159" t="s">
        <v>239</v>
      </c>
      <c r="E863" s="159" t="s">
        <v>568</v>
      </c>
      <c r="F863" s="157"/>
      <c r="G863" s="30">
        <f>SUM(G865)</f>
        <v>0</v>
      </c>
      <c r="H863" s="20">
        <f>SUM(H864:H865)</f>
        <v>1817.2</v>
      </c>
      <c r="I863" s="20" t="e">
        <f t="shared" si="23"/>
        <v>#DIV/0!</v>
      </c>
    </row>
    <row r="864" spans="1:9" ht="39" customHeight="1" hidden="1">
      <c r="A864" s="106" t="s">
        <v>10</v>
      </c>
      <c r="B864" s="174"/>
      <c r="C864" s="159" t="s">
        <v>1</v>
      </c>
      <c r="D864" s="159" t="s">
        <v>239</v>
      </c>
      <c r="E864" s="159" t="s">
        <v>14</v>
      </c>
      <c r="F864" s="157"/>
      <c r="G864" s="30">
        <f>SUM(G865)</f>
        <v>0</v>
      </c>
      <c r="H864" s="20">
        <v>1817.2</v>
      </c>
      <c r="I864" s="20" t="e">
        <f t="shared" si="23"/>
        <v>#DIV/0!</v>
      </c>
    </row>
    <row r="865" spans="1:10" ht="50.25" customHeight="1" hidden="1">
      <c r="A865" s="108" t="s">
        <v>363</v>
      </c>
      <c r="B865" s="120"/>
      <c r="C865" s="159" t="s">
        <v>1</v>
      </c>
      <c r="D865" s="159" t="s">
        <v>239</v>
      </c>
      <c r="E865" s="159" t="s">
        <v>14</v>
      </c>
      <c r="F865" s="158" t="s">
        <v>875</v>
      </c>
      <c r="G865" s="30"/>
      <c r="H865" s="20"/>
      <c r="I865" s="20" t="e">
        <f t="shared" si="23"/>
        <v>#DIV/0!</v>
      </c>
      <c r="J865" s="246">
        <f>SUM('ведомствен.2013'!G1585)</f>
        <v>0</v>
      </c>
    </row>
    <row r="866" spans="1:9" ht="28.5" customHeight="1" hidden="1">
      <c r="A866" s="106" t="s">
        <v>482</v>
      </c>
      <c r="B866" s="155"/>
      <c r="C866" s="159" t="s">
        <v>1</v>
      </c>
      <c r="D866" s="159" t="s">
        <v>239</v>
      </c>
      <c r="E866" s="159" t="s">
        <v>657</v>
      </c>
      <c r="F866" s="157"/>
      <c r="G866" s="30">
        <f>SUM(G867)</f>
        <v>0</v>
      </c>
      <c r="H866" s="20"/>
      <c r="I866" s="20" t="e">
        <f>SUM(H866/G866*100)</f>
        <v>#DIV/0!</v>
      </c>
    </row>
    <row r="867" spans="1:10" ht="21" customHeight="1" hidden="1">
      <c r="A867" s="108" t="s">
        <v>483</v>
      </c>
      <c r="B867" s="155"/>
      <c r="C867" s="159" t="s">
        <v>1</v>
      </c>
      <c r="D867" s="159" t="s">
        <v>239</v>
      </c>
      <c r="E867" s="159" t="s">
        <v>657</v>
      </c>
      <c r="F867" s="157" t="s">
        <v>933</v>
      </c>
      <c r="G867" s="30"/>
      <c r="H867" s="20" t="e">
        <f>SUM(#REF!)</f>
        <v>#REF!</v>
      </c>
      <c r="I867" s="20" t="e">
        <f>SUM(H867/G867*100)</f>
        <v>#REF!</v>
      </c>
      <c r="J867" s="246">
        <f>SUM('ведомствен.2013'!G813)</f>
        <v>0</v>
      </c>
    </row>
    <row r="868" spans="1:9" ht="14.25" customHeight="1" hidden="1">
      <c r="A868" s="109" t="s">
        <v>61</v>
      </c>
      <c r="B868" s="155"/>
      <c r="C868" s="159" t="s">
        <v>1</v>
      </c>
      <c r="D868" s="159" t="s">
        <v>239</v>
      </c>
      <c r="E868" s="159" t="s">
        <v>62</v>
      </c>
      <c r="F868" s="157"/>
      <c r="G868" s="30">
        <f>SUM(G869)</f>
        <v>0</v>
      </c>
      <c r="H868" s="20">
        <f>SUM(H869)</f>
        <v>340</v>
      </c>
      <c r="I868" s="20" t="e">
        <f t="shared" si="23"/>
        <v>#DIV/0!</v>
      </c>
    </row>
    <row r="869" spans="1:9" ht="42" customHeight="1" hidden="1">
      <c r="A869" s="133" t="s">
        <v>421</v>
      </c>
      <c r="B869" s="155"/>
      <c r="C869" s="159" t="s">
        <v>1</v>
      </c>
      <c r="D869" s="159" t="s">
        <v>239</v>
      </c>
      <c r="E869" s="159" t="s">
        <v>918</v>
      </c>
      <c r="F869" s="157"/>
      <c r="G869" s="30">
        <f>SUM(G870)</f>
        <v>0</v>
      </c>
      <c r="H869" s="20">
        <f>SUM(H870)</f>
        <v>340</v>
      </c>
      <c r="I869" s="20" t="e">
        <f t="shared" si="23"/>
        <v>#DIV/0!</v>
      </c>
    </row>
    <row r="870" spans="1:10" ht="30.75" customHeight="1" hidden="1">
      <c r="A870" s="108" t="s">
        <v>711</v>
      </c>
      <c r="B870" s="155"/>
      <c r="C870" s="159" t="s">
        <v>1</v>
      </c>
      <c r="D870" s="159" t="s">
        <v>239</v>
      </c>
      <c r="E870" s="159" t="s">
        <v>918</v>
      </c>
      <c r="F870" s="157" t="s">
        <v>566</v>
      </c>
      <c r="G870" s="30"/>
      <c r="H870" s="20">
        <v>340</v>
      </c>
      <c r="I870" s="20" t="e">
        <f t="shared" si="23"/>
        <v>#DIV/0!</v>
      </c>
      <c r="J870" s="246">
        <f>SUM('ведомствен.2013'!G1588)</f>
        <v>0</v>
      </c>
    </row>
    <row r="871" spans="1:9" ht="14.25" customHeight="1" hidden="1">
      <c r="A871" s="141" t="s">
        <v>919</v>
      </c>
      <c r="B871" s="167"/>
      <c r="C871" s="159" t="s">
        <v>1</v>
      </c>
      <c r="D871" s="159" t="s">
        <v>601</v>
      </c>
      <c r="E871" s="159"/>
      <c r="F871" s="157"/>
      <c r="G871" s="30">
        <f>SUM(G872)</f>
        <v>0</v>
      </c>
      <c r="H871" s="20">
        <f>SUM(H872)</f>
        <v>9494.7</v>
      </c>
      <c r="I871" s="20" t="e">
        <f t="shared" si="23"/>
        <v>#DIV/0!</v>
      </c>
    </row>
    <row r="872" spans="1:9" ht="20.25" customHeight="1" hidden="1">
      <c r="A872" s="141" t="s">
        <v>920</v>
      </c>
      <c r="B872" s="167"/>
      <c r="C872" s="159" t="s">
        <v>1</v>
      </c>
      <c r="D872" s="159" t="s">
        <v>601</v>
      </c>
      <c r="E872" s="159" t="s">
        <v>758</v>
      </c>
      <c r="F872" s="157"/>
      <c r="G872" s="30">
        <f>SUM(G873)</f>
        <v>0</v>
      </c>
      <c r="H872" s="20">
        <f>SUM(H873)</f>
        <v>9494.7</v>
      </c>
      <c r="I872" s="20" t="e">
        <f t="shared" si="23"/>
        <v>#DIV/0!</v>
      </c>
    </row>
    <row r="873" spans="1:9" ht="37.5" customHeight="1" hidden="1">
      <c r="A873" s="106" t="s">
        <v>482</v>
      </c>
      <c r="B873" s="167"/>
      <c r="C873" s="159" t="s">
        <v>1</v>
      </c>
      <c r="D873" s="159" t="s">
        <v>601</v>
      </c>
      <c r="E873" s="159" t="s">
        <v>759</v>
      </c>
      <c r="F873" s="157"/>
      <c r="G873" s="30">
        <f>SUM(G874:G875)</f>
        <v>0</v>
      </c>
      <c r="H873" s="20">
        <f>SUM(H874:H875)</f>
        <v>9494.7</v>
      </c>
      <c r="I873" s="20" t="e">
        <f t="shared" si="23"/>
        <v>#DIV/0!</v>
      </c>
    </row>
    <row r="874" spans="1:9" ht="14.25" customHeight="1" hidden="1">
      <c r="A874" s="108" t="s">
        <v>483</v>
      </c>
      <c r="B874" s="167"/>
      <c r="C874" s="159" t="s">
        <v>1</v>
      </c>
      <c r="D874" s="159" t="s">
        <v>601</v>
      </c>
      <c r="E874" s="159" t="s">
        <v>759</v>
      </c>
      <c r="F874" s="157" t="s">
        <v>933</v>
      </c>
      <c r="G874" s="30"/>
      <c r="H874" s="20">
        <v>9494.7</v>
      </c>
      <c r="I874" s="20" t="e">
        <f t="shared" si="23"/>
        <v>#DIV/0!</v>
      </c>
    </row>
    <row r="875" spans="1:9" ht="14.25" customHeight="1" hidden="1">
      <c r="A875" s="106" t="s">
        <v>418</v>
      </c>
      <c r="B875" s="155"/>
      <c r="C875" s="159" t="s">
        <v>1</v>
      </c>
      <c r="D875" s="159" t="s">
        <v>601</v>
      </c>
      <c r="E875" s="159" t="s">
        <v>914</v>
      </c>
      <c r="F875" s="157" t="s">
        <v>915</v>
      </c>
      <c r="G875" s="30"/>
      <c r="H875" s="20"/>
      <c r="I875" s="20" t="e">
        <f t="shared" si="23"/>
        <v>#DIV/0!</v>
      </c>
    </row>
    <row r="876" spans="1:9" ht="15">
      <c r="A876" s="108" t="s">
        <v>921</v>
      </c>
      <c r="B876" s="155"/>
      <c r="C876" s="159" t="s">
        <v>1</v>
      </c>
      <c r="D876" s="159" t="s">
        <v>625</v>
      </c>
      <c r="E876" s="159"/>
      <c r="F876" s="157"/>
      <c r="G876" s="30">
        <f>SUM(G879+G883+G877)</f>
        <v>638.1</v>
      </c>
      <c r="H876" s="20">
        <f>SUM(H879+H883+H877)</f>
        <v>40136</v>
      </c>
      <c r="I876" s="20">
        <f t="shared" si="23"/>
        <v>6289.923209528287</v>
      </c>
    </row>
    <row r="877" spans="1:9" ht="15" hidden="1">
      <c r="A877" s="108" t="s">
        <v>128</v>
      </c>
      <c r="B877" s="155"/>
      <c r="C877" s="159" t="s">
        <v>1</v>
      </c>
      <c r="D877" s="159" t="s">
        <v>625</v>
      </c>
      <c r="E877" s="159" t="s">
        <v>129</v>
      </c>
      <c r="F877" s="157"/>
      <c r="G877" s="30">
        <f>SUM(G878)</f>
        <v>0</v>
      </c>
      <c r="H877" s="20">
        <f>SUM(H878)</f>
        <v>60</v>
      </c>
      <c r="I877" s="20" t="e">
        <f t="shared" si="23"/>
        <v>#DIV/0!</v>
      </c>
    </row>
    <row r="878" spans="1:9" ht="15" hidden="1">
      <c r="A878" s="108" t="s">
        <v>932</v>
      </c>
      <c r="B878" s="155"/>
      <c r="C878" s="159" t="s">
        <v>1</v>
      </c>
      <c r="D878" s="159" t="s">
        <v>625</v>
      </c>
      <c r="E878" s="159" t="s">
        <v>129</v>
      </c>
      <c r="F878" s="157" t="s">
        <v>933</v>
      </c>
      <c r="G878" s="30"/>
      <c r="H878" s="20">
        <v>60</v>
      </c>
      <c r="I878" s="20" t="e">
        <f t="shared" si="23"/>
        <v>#DIV/0!</v>
      </c>
    </row>
    <row r="879" spans="1:9" ht="15" customHeight="1" hidden="1">
      <c r="A879" s="106" t="s">
        <v>922</v>
      </c>
      <c r="B879" s="155"/>
      <c r="C879" s="159" t="s">
        <v>1</v>
      </c>
      <c r="D879" s="159" t="s">
        <v>625</v>
      </c>
      <c r="E879" s="159" t="s">
        <v>923</v>
      </c>
      <c r="F879" s="157"/>
      <c r="G879" s="30">
        <f>SUM(G880)</f>
        <v>0</v>
      </c>
      <c r="H879" s="20">
        <f>SUM(H880)</f>
        <v>34637.7</v>
      </c>
      <c r="I879" s="20" t="e">
        <f t="shared" si="23"/>
        <v>#DIV/0!</v>
      </c>
    </row>
    <row r="880" spans="1:9" ht="30" customHeight="1" hidden="1">
      <c r="A880" s="106" t="s">
        <v>482</v>
      </c>
      <c r="B880" s="155"/>
      <c r="C880" s="159" t="s">
        <v>1</v>
      </c>
      <c r="D880" s="159" t="s">
        <v>625</v>
      </c>
      <c r="E880" s="159" t="s">
        <v>924</v>
      </c>
      <c r="F880" s="157"/>
      <c r="G880" s="30"/>
      <c r="H880" s="20">
        <f>SUM(H881:H882)</f>
        <v>34637.7</v>
      </c>
      <c r="I880" s="20" t="e">
        <f t="shared" si="23"/>
        <v>#DIV/0!</v>
      </c>
    </row>
    <row r="881" spans="1:10" ht="16.5" customHeight="1" hidden="1">
      <c r="A881" s="108" t="s">
        <v>483</v>
      </c>
      <c r="B881" s="155"/>
      <c r="C881" s="159" t="s">
        <v>1</v>
      </c>
      <c r="D881" s="159" t="s">
        <v>625</v>
      </c>
      <c r="E881" s="159" t="s">
        <v>924</v>
      </c>
      <c r="F881" s="157" t="s">
        <v>933</v>
      </c>
      <c r="G881" s="30"/>
      <c r="H881" s="20">
        <v>34637.7</v>
      </c>
      <c r="I881" s="20" t="e">
        <f t="shared" si="23"/>
        <v>#DIV/0!</v>
      </c>
      <c r="J881" s="246">
        <f>SUM('ведомствен.2013'!G1599)+'ведомствен.2013'!G817</f>
        <v>0</v>
      </c>
    </row>
    <row r="882" spans="1:9" ht="57" customHeight="1">
      <c r="A882" s="106" t="s">
        <v>588</v>
      </c>
      <c r="B882" s="155"/>
      <c r="C882" s="159" t="s">
        <v>1</v>
      </c>
      <c r="D882" s="159" t="s">
        <v>625</v>
      </c>
      <c r="E882" s="159" t="s">
        <v>323</v>
      </c>
      <c r="F882" s="157"/>
      <c r="G882" s="91">
        <f>SUM(G887:G888)+G883</f>
        <v>638.1</v>
      </c>
      <c r="H882" s="20"/>
      <c r="I882" s="20">
        <f t="shared" si="23"/>
        <v>0</v>
      </c>
    </row>
    <row r="883" spans="1:9" ht="27" customHeight="1">
      <c r="A883" s="108" t="s">
        <v>10</v>
      </c>
      <c r="B883" s="155"/>
      <c r="C883" s="159" t="s">
        <v>1</v>
      </c>
      <c r="D883" s="159" t="s">
        <v>625</v>
      </c>
      <c r="E883" s="159" t="s">
        <v>324</v>
      </c>
      <c r="F883" s="157"/>
      <c r="G883" s="91">
        <f>SUM(G884)</f>
        <v>638.1</v>
      </c>
      <c r="H883" s="20">
        <f>SUM(H884)</f>
        <v>5438.3</v>
      </c>
      <c r="I883" s="20">
        <f t="shared" si="23"/>
        <v>852.2645353392885</v>
      </c>
    </row>
    <row r="884" spans="1:10" s="41" customFormat="1" ht="40.5" customHeight="1">
      <c r="A884" s="108" t="s">
        <v>363</v>
      </c>
      <c r="B884" s="155"/>
      <c r="C884" s="159" t="s">
        <v>1</v>
      </c>
      <c r="D884" s="159" t="s">
        <v>625</v>
      </c>
      <c r="E884" s="159" t="s">
        <v>325</v>
      </c>
      <c r="F884" s="157" t="s">
        <v>875</v>
      </c>
      <c r="G884" s="91">
        <v>638.1</v>
      </c>
      <c r="H884" s="20">
        <f>SUM(H885)</f>
        <v>5438.3</v>
      </c>
      <c r="I884" s="20">
        <f t="shared" si="23"/>
        <v>852.2645353392885</v>
      </c>
      <c r="J884" s="262">
        <f>SUM('ведомствен.2013'!G1602)</f>
        <v>638.1</v>
      </c>
    </row>
    <row r="885" spans="1:10" ht="19.5" customHeight="1" hidden="1">
      <c r="A885" s="108" t="s">
        <v>483</v>
      </c>
      <c r="B885" s="155"/>
      <c r="C885" s="159" t="s">
        <v>1</v>
      </c>
      <c r="D885" s="159" t="s">
        <v>625</v>
      </c>
      <c r="E885" s="159" t="s">
        <v>918</v>
      </c>
      <c r="F885" s="157" t="s">
        <v>933</v>
      </c>
      <c r="G885" s="30"/>
      <c r="H885" s="20">
        <v>5438.3</v>
      </c>
      <c r="I885" s="20" t="e">
        <f t="shared" si="23"/>
        <v>#DIV/0!</v>
      </c>
      <c r="J885" s="246">
        <f>SUM('ведомствен.2013'!G1605)</f>
        <v>0</v>
      </c>
    </row>
    <row r="886" spans="1:9" ht="15" hidden="1">
      <c r="A886" s="106" t="s">
        <v>925</v>
      </c>
      <c r="B886" s="155"/>
      <c r="C886" s="155" t="s">
        <v>1</v>
      </c>
      <c r="D886" s="155" t="s">
        <v>627</v>
      </c>
      <c r="E886" s="155"/>
      <c r="F886" s="156"/>
      <c r="G886" s="30">
        <f>SUM(G889+G892+G887)</f>
        <v>0</v>
      </c>
      <c r="H886" s="20">
        <f>SUM(H889+H892+H887)</f>
        <v>1344.5</v>
      </c>
      <c r="I886" s="20" t="e">
        <f t="shared" si="23"/>
        <v>#DIV/0!</v>
      </c>
    </row>
    <row r="887" spans="1:9" ht="15" hidden="1">
      <c r="A887" s="108" t="s">
        <v>128</v>
      </c>
      <c r="B887" s="155"/>
      <c r="C887" s="155" t="s">
        <v>1</v>
      </c>
      <c r="D887" s="155" t="s">
        <v>627</v>
      </c>
      <c r="E887" s="159" t="s">
        <v>129</v>
      </c>
      <c r="F887" s="157"/>
      <c r="G887" s="30">
        <f>SUM(G888)</f>
        <v>0</v>
      </c>
      <c r="H887" s="20">
        <f>SUM(H888)</f>
        <v>79.5</v>
      </c>
      <c r="I887" s="20"/>
    </row>
    <row r="888" spans="1:9" ht="15" hidden="1">
      <c r="A888" s="106" t="s">
        <v>598</v>
      </c>
      <c r="B888" s="155"/>
      <c r="C888" s="155" t="s">
        <v>1</v>
      </c>
      <c r="D888" s="155" t="s">
        <v>627</v>
      </c>
      <c r="E888" s="159" t="s">
        <v>129</v>
      </c>
      <c r="F888" s="157" t="s">
        <v>599</v>
      </c>
      <c r="G888" s="30"/>
      <c r="H888" s="20">
        <v>79.5</v>
      </c>
      <c r="I888" s="20"/>
    </row>
    <row r="889" spans="1:9" ht="28.5" hidden="1">
      <c r="A889" s="106" t="s">
        <v>897</v>
      </c>
      <c r="B889" s="155"/>
      <c r="C889" s="155" t="s">
        <v>1</v>
      </c>
      <c r="D889" s="155" t="s">
        <v>627</v>
      </c>
      <c r="E889" s="175" t="s">
        <v>867</v>
      </c>
      <c r="F889" s="156"/>
      <c r="G889" s="30">
        <f>SUM(G890)</f>
        <v>0</v>
      </c>
      <c r="H889" s="20">
        <f>SUM(H890)</f>
        <v>1265</v>
      </c>
      <c r="I889" s="20" t="e">
        <f t="shared" si="23"/>
        <v>#DIV/0!</v>
      </c>
    </row>
    <row r="890" spans="1:9" ht="26.25" customHeight="1" hidden="1">
      <c r="A890" s="106" t="s">
        <v>90</v>
      </c>
      <c r="B890" s="155"/>
      <c r="C890" s="155" t="s">
        <v>1</v>
      </c>
      <c r="D890" s="155" t="s">
        <v>627</v>
      </c>
      <c r="E890" s="175" t="s">
        <v>868</v>
      </c>
      <c r="F890" s="156"/>
      <c r="G890" s="30">
        <f>SUM(G891)</f>
        <v>0</v>
      </c>
      <c r="H890" s="20">
        <f>SUM(H891)</f>
        <v>1265</v>
      </c>
      <c r="I890" s="20" t="e">
        <f t="shared" si="23"/>
        <v>#DIV/0!</v>
      </c>
    </row>
    <row r="891" spans="1:9" ht="15" customHeight="1" hidden="1">
      <c r="A891" s="106" t="s">
        <v>598</v>
      </c>
      <c r="B891" s="155"/>
      <c r="C891" s="155" t="s">
        <v>1</v>
      </c>
      <c r="D891" s="155" t="s">
        <v>627</v>
      </c>
      <c r="E891" s="175" t="s">
        <v>868</v>
      </c>
      <c r="F891" s="156" t="s">
        <v>599</v>
      </c>
      <c r="G891" s="30"/>
      <c r="H891" s="20">
        <v>1265</v>
      </c>
      <c r="I891" s="20" t="e">
        <f t="shared" si="23"/>
        <v>#DIV/0!</v>
      </c>
    </row>
    <row r="892" spans="1:9" ht="15" hidden="1">
      <c r="A892" s="108" t="s">
        <v>634</v>
      </c>
      <c r="B892" s="159"/>
      <c r="C892" s="155" t="s">
        <v>1</v>
      </c>
      <c r="D892" s="155" t="s">
        <v>627</v>
      </c>
      <c r="E892" s="159" t="s">
        <v>635</v>
      </c>
      <c r="F892" s="157"/>
      <c r="G892" s="30">
        <f>SUM(G893)</f>
        <v>0</v>
      </c>
      <c r="H892" s="20">
        <f>SUM(H893)</f>
        <v>0</v>
      </c>
      <c r="I892" s="20" t="e">
        <f t="shared" si="23"/>
        <v>#DIV/0!</v>
      </c>
    </row>
    <row r="893" spans="1:9" ht="15.75" customHeight="1" hidden="1">
      <c r="A893" s="106" t="s">
        <v>598</v>
      </c>
      <c r="B893" s="180"/>
      <c r="C893" s="155" t="s">
        <v>1</v>
      </c>
      <c r="D893" s="155" t="s">
        <v>627</v>
      </c>
      <c r="E893" s="180" t="s">
        <v>635</v>
      </c>
      <c r="F893" s="158" t="s">
        <v>599</v>
      </c>
      <c r="G893" s="30">
        <f>SUM(G894)</f>
        <v>0</v>
      </c>
      <c r="H893" s="20">
        <f>SUM(H894)</f>
        <v>0</v>
      </c>
      <c r="I893" s="20" t="e">
        <f t="shared" si="23"/>
        <v>#DIV/0!</v>
      </c>
    </row>
    <row r="894" spans="1:9" ht="28.5" customHeight="1" hidden="1">
      <c r="A894" s="106" t="s">
        <v>898</v>
      </c>
      <c r="B894" s="155"/>
      <c r="C894" s="155" t="s">
        <v>1</v>
      </c>
      <c r="D894" s="155" t="s">
        <v>627</v>
      </c>
      <c r="E894" s="180" t="s">
        <v>899</v>
      </c>
      <c r="F894" s="158" t="s">
        <v>599</v>
      </c>
      <c r="G894" s="30">
        <f>1738.6-1738.6</f>
        <v>0</v>
      </c>
      <c r="H894" s="20">
        <f>1738.6-1738.6</f>
        <v>0</v>
      </c>
      <c r="I894" s="20" t="e">
        <f t="shared" si="23"/>
        <v>#DIV/0!</v>
      </c>
    </row>
    <row r="895" spans="1:9" ht="19.5" customHeight="1">
      <c r="A895" s="106" t="s">
        <v>908</v>
      </c>
      <c r="B895" s="155"/>
      <c r="C895" s="159" t="s">
        <v>1</v>
      </c>
      <c r="D895" s="159" t="s">
        <v>1</v>
      </c>
      <c r="E895" s="159"/>
      <c r="F895" s="157"/>
      <c r="G895" s="30">
        <f>SUM(G896+G904+G911+G913+G909+G899+G901)</f>
        <v>57299.6</v>
      </c>
      <c r="H895" s="20">
        <f>SUM(H896+H904+H911+H913+H909)</f>
        <v>9403.5</v>
      </c>
      <c r="I895" s="20">
        <f t="shared" si="23"/>
        <v>16.41110932711572</v>
      </c>
    </row>
    <row r="896" spans="1:9" ht="47.25" customHeight="1" hidden="1">
      <c r="A896" s="131" t="s">
        <v>847</v>
      </c>
      <c r="B896" s="159"/>
      <c r="C896" s="159" t="s">
        <v>1</v>
      </c>
      <c r="D896" s="159" t="s">
        <v>1</v>
      </c>
      <c r="E896" s="159" t="s">
        <v>848</v>
      </c>
      <c r="F896" s="157"/>
      <c r="G896" s="30">
        <f>SUM(G897)</f>
        <v>0</v>
      </c>
      <c r="H896" s="20"/>
      <c r="I896" s="20"/>
    </row>
    <row r="897" spans="1:10" ht="18" customHeight="1" hidden="1">
      <c r="A897" s="108" t="s">
        <v>711</v>
      </c>
      <c r="B897" s="159"/>
      <c r="C897" s="159" t="s">
        <v>1</v>
      </c>
      <c r="D897" s="159" t="s">
        <v>1</v>
      </c>
      <c r="E897" s="159" t="s">
        <v>848</v>
      </c>
      <c r="F897" s="157" t="s">
        <v>566</v>
      </c>
      <c r="G897" s="30"/>
      <c r="H897" s="20"/>
      <c r="I897" s="20"/>
      <c r="J897" s="246">
        <f>SUM('ведомствен.2013'!G1610)</f>
        <v>0</v>
      </c>
    </row>
    <row r="898" spans="1:9" ht="21.75" customHeight="1" hidden="1">
      <c r="A898" s="106" t="s">
        <v>598</v>
      </c>
      <c r="B898" s="155"/>
      <c r="C898" s="159" t="s">
        <v>1</v>
      </c>
      <c r="D898" s="159" t="s">
        <v>1</v>
      </c>
      <c r="E898" s="155" t="s">
        <v>604</v>
      </c>
      <c r="F898" s="156" t="s">
        <v>599</v>
      </c>
      <c r="G898" s="30"/>
      <c r="H898" s="81"/>
      <c r="I898" s="20"/>
    </row>
    <row r="899" spans="1:9" ht="15" hidden="1">
      <c r="A899" s="108" t="s">
        <v>128</v>
      </c>
      <c r="B899" s="155"/>
      <c r="C899" s="159" t="s">
        <v>1</v>
      </c>
      <c r="D899" s="159" t="s">
        <v>1</v>
      </c>
      <c r="E899" s="159" t="s">
        <v>129</v>
      </c>
      <c r="F899" s="157"/>
      <c r="G899" s="30">
        <f>SUM(G900)</f>
        <v>0</v>
      </c>
      <c r="H899" s="20">
        <f>SUM(H900)</f>
        <v>79.5</v>
      </c>
      <c r="I899" s="20"/>
    </row>
    <row r="900" spans="1:9" ht="15" hidden="1">
      <c r="A900" s="106" t="s">
        <v>598</v>
      </c>
      <c r="B900" s="155"/>
      <c r="C900" s="159" t="s">
        <v>1</v>
      </c>
      <c r="D900" s="159" t="s">
        <v>1</v>
      </c>
      <c r="E900" s="159" t="s">
        <v>129</v>
      </c>
      <c r="F900" s="157" t="s">
        <v>599</v>
      </c>
      <c r="G900" s="30"/>
      <c r="H900" s="20">
        <v>79.5</v>
      </c>
      <c r="I900" s="20"/>
    </row>
    <row r="901" spans="1:9" ht="28.5" hidden="1">
      <c r="A901" s="133" t="s">
        <v>609</v>
      </c>
      <c r="B901" s="155"/>
      <c r="C901" s="159" t="s">
        <v>1</v>
      </c>
      <c r="D901" s="159" t="s">
        <v>1</v>
      </c>
      <c r="E901" s="155" t="s">
        <v>610</v>
      </c>
      <c r="F901" s="158"/>
      <c r="G901" s="30">
        <f>SUM(G903)</f>
        <v>0</v>
      </c>
      <c r="H901" s="20">
        <f>SUM(H903)</f>
        <v>186.6</v>
      </c>
      <c r="I901" s="20" t="e">
        <f>SUM(H901/G901*100)</f>
        <v>#DIV/0!</v>
      </c>
    </row>
    <row r="902" spans="1:9" ht="15.75" customHeight="1" hidden="1">
      <c r="A902" s="133" t="s">
        <v>611</v>
      </c>
      <c r="B902" s="155"/>
      <c r="C902" s="159" t="s">
        <v>1</v>
      </c>
      <c r="D902" s="159" t="s">
        <v>1</v>
      </c>
      <c r="E902" s="155" t="s">
        <v>936</v>
      </c>
      <c r="F902" s="158"/>
      <c r="G902" s="30">
        <f>SUM(G903)</f>
        <v>0</v>
      </c>
      <c r="H902" s="20">
        <f>SUM(H903)</f>
        <v>186.6</v>
      </c>
      <c r="I902" s="20" t="e">
        <f>SUM(H902/G902*100)</f>
        <v>#DIV/0!</v>
      </c>
    </row>
    <row r="903" spans="1:9" ht="17.25" customHeight="1" hidden="1">
      <c r="A903" s="106" t="s">
        <v>598</v>
      </c>
      <c r="B903" s="155"/>
      <c r="C903" s="159" t="s">
        <v>1</v>
      </c>
      <c r="D903" s="159" t="s">
        <v>1</v>
      </c>
      <c r="E903" s="155" t="s">
        <v>936</v>
      </c>
      <c r="F903" s="158" t="s">
        <v>599</v>
      </c>
      <c r="G903" s="30"/>
      <c r="H903" s="20">
        <v>186.6</v>
      </c>
      <c r="I903" s="20" t="e">
        <f>SUM(H903/G903*100)</f>
        <v>#DIV/0!</v>
      </c>
    </row>
    <row r="904" spans="1:9" ht="28.5">
      <c r="A904" s="131" t="s">
        <v>755</v>
      </c>
      <c r="B904" s="155"/>
      <c r="C904" s="159" t="s">
        <v>1</v>
      </c>
      <c r="D904" s="159" t="s">
        <v>1</v>
      </c>
      <c r="E904" s="159" t="s">
        <v>756</v>
      </c>
      <c r="F904" s="157"/>
      <c r="G904" s="30">
        <f>SUM(G905)</f>
        <v>12534.1</v>
      </c>
      <c r="H904" s="20">
        <f>SUM(H905)</f>
        <v>6864.8</v>
      </c>
      <c r="I904" s="20">
        <f aca="true" t="shared" si="24" ref="I904:I978">SUM(H904/G904*100)</f>
        <v>54.768990194748724</v>
      </c>
    </row>
    <row r="905" spans="1:9" ht="29.25" customHeight="1">
      <c r="A905" s="106" t="s">
        <v>482</v>
      </c>
      <c r="B905" s="155"/>
      <c r="C905" s="159" t="s">
        <v>1</v>
      </c>
      <c r="D905" s="159" t="s">
        <v>1</v>
      </c>
      <c r="E905" s="159" t="s">
        <v>757</v>
      </c>
      <c r="F905" s="157"/>
      <c r="G905" s="30">
        <f>SUM(G906:G907)</f>
        <v>12534.1</v>
      </c>
      <c r="H905" s="20">
        <f>SUM(H906:H907)</f>
        <v>6864.8</v>
      </c>
      <c r="I905" s="20">
        <f t="shared" si="24"/>
        <v>54.768990194748724</v>
      </c>
    </row>
    <row r="906" spans="1:10" ht="18.75" customHeight="1">
      <c r="A906" s="108" t="s">
        <v>483</v>
      </c>
      <c r="B906" s="155"/>
      <c r="C906" s="159" t="s">
        <v>1</v>
      </c>
      <c r="D906" s="159" t="s">
        <v>1</v>
      </c>
      <c r="E906" s="159" t="s">
        <v>757</v>
      </c>
      <c r="F906" s="157" t="s">
        <v>933</v>
      </c>
      <c r="G906" s="30">
        <v>12534.1</v>
      </c>
      <c r="H906" s="20">
        <v>6864.8</v>
      </c>
      <c r="I906" s="20">
        <f t="shared" si="24"/>
        <v>54.768990194748724</v>
      </c>
      <c r="J906" s="246">
        <f>SUM('ведомствен.2013'!G1613)+'ведомствен.2013'!G821</f>
        <v>12534.1</v>
      </c>
    </row>
    <row r="907" spans="1:9" ht="18" customHeight="1" hidden="1">
      <c r="A907" s="106" t="s">
        <v>418</v>
      </c>
      <c r="B907" s="155"/>
      <c r="C907" s="159" t="s">
        <v>1</v>
      </c>
      <c r="D907" s="159" t="s">
        <v>1</v>
      </c>
      <c r="E907" s="159" t="s">
        <v>757</v>
      </c>
      <c r="F907" s="157" t="s">
        <v>915</v>
      </c>
      <c r="G907" s="30"/>
      <c r="H907" s="20"/>
      <c r="I907" s="20" t="e">
        <f t="shared" si="24"/>
        <v>#DIV/0!</v>
      </c>
    </row>
    <row r="908" spans="1:9" ht="15" customHeight="1" hidden="1">
      <c r="A908" s="106" t="s">
        <v>340</v>
      </c>
      <c r="B908" s="155"/>
      <c r="C908" s="159" t="s">
        <v>1</v>
      </c>
      <c r="D908" s="159" t="s">
        <v>1</v>
      </c>
      <c r="E908" s="159" t="s">
        <v>341</v>
      </c>
      <c r="F908" s="157"/>
      <c r="G908" s="30">
        <f>SUM(G909+G911)</f>
        <v>0</v>
      </c>
      <c r="H908" s="20">
        <f>SUM(H909+H911)</f>
        <v>0</v>
      </c>
      <c r="I908" s="20" t="e">
        <f t="shared" si="24"/>
        <v>#DIV/0!</v>
      </c>
    </row>
    <row r="909" spans="1:9" ht="29.25" customHeight="1" hidden="1">
      <c r="A909" s="108" t="s">
        <v>420</v>
      </c>
      <c r="B909" s="120"/>
      <c r="C909" s="159" t="s">
        <v>1</v>
      </c>
      <c r="D909" s="159" t="s">
        <v>1</v>
      </c>
      <c r="E909" s="159" t="s">
        <v>1010</v>
      </c>
      <c r="F909" s="158"/>
      <c r="G909" s="30">
        <f>SUM(G910)</f>
        <v>0</v>
      </c>
      <c r="H909" s="20">
        <f>SUM(H910)</f>
        <v>0</v>
      </c>
      <c r="I909" s="20" t="e">
        <f t="shared" si="24"/>
        <v>#DIV/0!</v>
      </c>
    </row>
    <row r="910" spans="1:9" ht="29.25" customHeight="1" hidden="1">
      <c r="A910" s="106" t="s">
        <v>90</v>
      </c>
      <c r="B910" s="120"/>
      <c r="C910" s="159" t="s">
        <v>1</v>
      </c>
      <c r="D910" s="159" t="s">
        <v>1</v>
      </c>
      <c r="E910" s="159" t="s">
        <v>1010</v>
      </c>
      <c r="F910" s="158" t="s">
        <v>1009</v>
      </c>
      <c r="G910" s="30"/>
      <c r="H910" s="20"/>
      <c r="I910" s="20" t="e">
        <f t="shared" si="24"/>
        <v>#DIV/0!</v>
      </c>
    </row>
    <row r="911" spans="1:9" ht="31.5" customHeight="1" hidden="1">
      <c r="A911" s="106" t="s">
        <v>900</v>
      </c>
      <c r="B911" s="155"/>
      <c r="C911" s="159" t="s">
        <v>1</v>
      </c>
      <c r="D911" s="159" t="s">
        <v>1</v>
      </c>
      <c r="E911" s="159" t="s">
        <v>901</v>
      </c>
      <c r="F911" s="157"/>
      <c r="G911" s="30">
        <f>SUM(G912)</f>
        <v>0</v>
      </c>
      <c r="H911" s="20">
        <f>SUM(H912)</f>
        <v>0</v>
      </c>
      <c r="I911" s="20" t="e">
        <f t="shared" si="24"/>
        <v>#DIV/0!</v>
      </c>
    </row>
    <row r="912" spans="1:9" ht="28.5" customHeight="1" hidden="1">
      <c r="A912" s="106" t="s">
        <v>90</v>
      </c>
      <c r="B912" s="155"/>
      <c r="C912" s="159" t="s">
        <v>1</v>
      </c>
      <c r="D912" s="159" t="s">
        <v>1</v>
      </c>
      <c r="E912" s="159" t="s">
        <v>901</v>
      </c>
      <c r="F912" s="157" t="s">
        <v>1009</v>
      </c>
      <c r="G912" s="30"/>
      <c r="H912" s="20"/>
      <c r="I912" s="20" t="e">
        <f t="shared" si="24"/>
        <v>#DIV/0!</v>
      </c>
    </row>
    <row r="913" spans="1:9" ht="15.75" customHeight="1">
      <c r="A913" s="108" t="s">
        <v>634</v>
      </c>
      <c r="B913" s="159"/>
      <c r="C913" s="159" t="s">
        <v>1</v>
      </c>
      <c r="D913" s="159" t="s">
        <v>1</v>
      </c>
      <c r="E913" s="159" t="s">
        <v>635</v>
      </c>
      <c r="F913" s="157"/>
      <c r="G913" s="30">
        <f>SUM(G923+G925+G927)+G929</f>
        <v>44765.5</v>
      </c>
      <c r="H913" s="20">
        <f>SUM(H915+H930)+H924+H926+H935+H936</f>
        <v>2538.7</v>
      </c>
      <c r="I913" s="20">
        <f t="shared" si="24"/>
        <v>5.671108331192547</v>
      </c>
    </row>
    <row r="914" spans="1:9" ht="27" customHeight="1" hidden="1">
      <c r="A914" s="106" t="s">
        <v>90</v>
      </c>
      <c r="B914" s="159"/>
      <c r="C914" s="159" t="s">
        <v>1</v>
      </c>
      <c r="D914" s="159" t="s">
        <v>1</v>
      </c>
      <c r="E914" s="159" t="s">
        <v>635</v>
      </c>
      <c r="F914" s="157" t="s">
        <v>1009</v>
      </c>
      <c r="G914" s="30"/>
      <c r="H914" s="20"/>
      <c r="I914" s="20" t="e">
        <f t="shared" si="24"/>
        <v>#DIV/0!</v>
      </c>
    </row>
    <row r="915" spans="1:9" ht="15" customHeight="1" hidden="1">
      <c r="A915" s="106" t="s">
        <v>902</v>
      </c>
      <c r="B915" s="159"/>
      <c r="C915" s="159" t="s">
        <v>1</v>
      </c>
      <c r="D915" s="159" t="s">
        <v>1</v>
      </c>
      <c r="E915" s="159" t="s">
        <v>903</v>
      </c>
      <c r="F915" s="157"/>
      <c r="G915" s="30">
        <f>SUM(G916:G917)</f>
        <v>0</v>
      </c>
      <c r="H915" s="20">
        <f>SUM(H916:H917)</f>
        <v>0</v>
      </c>
      <c r="I915" s="20" t="e">
        <f t="shared" si="24"/>
        <v>#DIV/0!</v>
      </c>
    </row>
    <row r="916" spans="1:9" ht="15" customHeight="1" hidden="1">
      <c r="A916" s="105" t="s">
        <v>504</v>
      </c>
      <c r="B916" s="155"/>
      <c r="C916" s="159" t="s">
        <v>1</v>
      </c>
      <c r="D916" s="159" t="s">
        <v>1</v>
      </c>
      <c r="E916" s="159" t="s">
        <v>903</v>
      </c>
      <c r="F916" s="157" t="s">
        <v>642</v>
      </c>
      <c r="G916" s="30"/>
      <c r="H916" s="20"/>
      <c r="I916" s="20" t="e">
        <f t="shared" si="24"/>
        <v>#DIV/0!</v>
      </c>
    </row>
    <row r="917" spans="1:10" s="33" customFormat="1" ht="21.75" customHeight="1" hidden="1">
      <c r="A917" s="106" t="s">
        <v>90</v>
      </c>
      <c r="B917" s="195"/>
      <c r="C917" s="159" t="s">
        <v>1</v>
      </c>
      <c r="D917" s="159" t="s">
        <v>1</v>
      </c>
      <c r="E917" s="159" t="s">
        <v>903</v>
      </c>
      <c r="F917" s="157" t="s">
        <v>1009</v>
      </c>
      <c r="G917" s="225"/>
      <c r="H917" s="27"/>
      <c r="I917" s="20" t="e">
        <f t="shared" si="24"/>
        <v>#DIV/0!</v>
      </c>
      <c r="J917" s="257"/>
    </row>
    <row r="918" spans="1:9" ht="18.75" customHeight="1" hidden="1">
      <c r="A918" s="106" t="s">
        <v>598</v>
      </c>
      <c r="B918" s="180"/>
      <c r="C918" s="159" t="s">
        <v>1</v>
      </c>
      <c r="D918" s="159" t="s">
        <v>1</v>
      </c>
      <c r="E918" s="159" t="s">
        <v>903</v>
      </c>
      <c r="F918" s="158" t="s">
        <v>599</v>
      </c>
      <c r="G918" s="30"/>
      <c r="H918" s="20"/>
      <c r="I918" s="20" t="e">
        <f t="shared" si="24"/>
        <v>#DIV/0!</v>
      </c>
    </row>
    <row r="919" spans="1:9" ht="27.75" customHeight="1" hidden="1">
      <c r="A919" s="106" t="s">
        <v>90</v>
      </c>
      <c r="B919" s="180"/>
      <c r="C919" s="159" t="s">
        <v>1</v>
      </c>
      <c r="D919" s="159" t="s">
        <v>1</v>
      </c>
      <c r="E919" s="171" t="s">
        <v>635</v>
      </c>
      <c r="F919" s="161" t="s">
        <v>1009</v>
      </c>
      <c r="G919" s="30"/>
      <c r="H919" s="20">
        <f>SUM(H924,H926,H935)</f>
        <v>1496.4</v>
      </c>
      <c r="I919" s="20" t="e">
        <f t="shared" si="24"/>
        <v>#DIV/0!</v>
      </c>
    </row>
    <row r="920" spans="1:9" ht="26.25" customHeight="1" hidden="1">
      <c r="A920" s="106" t="s">
        <v>1036</v>
      </c>
      <c r="B920" s="195"/>
      <c r="C920" s="159" t="s">
        <v>1</v>
      </c>
      <c r="D920" s="159" t="s">
        <v>1</v>
      </c>
      <c r="E920" s="159" t="s">
        <v>1037</v>
      </c>
      <c r="F920" s="157"/>
      <c r="G920" s="225">
        <f>SUM(G921)</f>
        <v>0</v>
      </c>
      <c r="H920" s="27"/>
      <c r="I920" s="20"/>
    </row>
    <row r="921" spans="1:9" ht="23.25" customHeight="1" hidden="1">
      <c r="A921" s="106" t="s">
        <v>351</v>
      </c>
      <c r="B921" s="195"/>
      <c r="C921" s="159" t="s">
        <v>1</v>
      </c>
      <c r="D921" s="159" t="s">
        <v>1</v>
      </c>
      <c r="E921" s="159" t="s">
        <v>1037</v>
      </c>
      <c r="F921" s="157" t="s">
        <v>352</v>
      </c>
      <c r="G921" s="225"/>
      <c r="H921" s="27"/>
      <c r="I921" s="20"/>
    </row>
    <row r="922" spans="1:9" ht="36.75" customHeight="1" hidden="1">
      <c r="A922" s="106" t="s">
        <v>422</v>
      </c>
      <c r="B922" s="195"/>
      <c r="C922" s="159" t="s">
        <v>1</v>
      </c>
      <c r="D922" s="159" t="s">
        <v>1</v>
      </c>
      <c r="E922" s="159" t="s">
        <v>155</v>
      </c>
      <c r="F922" s="157"/>
      <c r="G922" s="225">
        <f>SUM(G923)</f>
        <v>0</v>
      </c>
      <c r="H922" s="27"/>
      <c r="I922" s="20"/>
    </row>
    <row r="923" spans="1:10" ht="28.5" customHeight="1" hidden="1">
      <c r="A923" s="108" t="s">
        <v>711</v>
      </c>
      <c r="B923" s="155"/>
      <c r="C923" s="159" t="s">
        <v>1</v>
      </c>
      <c r="D923" s="159" t="s">
        <v>1</v>
      </c>
      <c r="E923" s="159" t="s">
        <v>155</v>
      </c>
      <c r="F923" s="158" t="s">
        <v>566</v>
      </c>
      <c r="G923" s="30"/>
      <c r="H923" s="20">
        <v>340</v>
      </c>
      <c r="I923" s="20" t="e">
        <f>SUM(H923/G923*100)</f>
        <v>#DIV/0!</v>
      </c>
      <c r="J923" s="246">
        <f>SUM('ведомствен.2013'!G1626)</f>
        <v>0</v>
      </c>
    </row>
    <row r="924" spans="1:10" s="40" customFormat="1" ht="42.75">
      <c r="A924" s="128" t="s">
        <v>289</v>
      </c>
      <c r="B924" s="171"/>
      <c r="C924" s="171" t="s">
        <v>1</v>
      </c>
      <c r="D924" s="159" t="s">
        <v>1</v>
      </c>
      <c r="E924" s="171" t="s">
        <v>93</v>
      </c>
      <c r="F924" s="161"/>
      <c r="G924" s="225">
        <f>SUM(G925)</f>
        <v>636</v>
      </c>
      <c r="H924" s="27">
        <v>1424.2</v>
      </c>
      <c r="I924" s="20">
        <f t="shared" si="24"/>
        <v>223.93081761006292</v>
      </c>
      <c r="J924" s="260"/>
    </row>
    <row r="925" spans="1:10" s="40" customFormat="1" ht="28.5">
      <c r="A925" s="108" t="s">
        <v>711</v>
      </c>
      <c r="B925" s="171"/>
      <c r="C925" s="171" t="s">
        <v>1</v>
      </c>
      <c r="D925" s="159" t="s">
        <v>1</v>
      </c>
      <c r="E925" s="171" t="s">
        <v>93</v>
      </c>
      <c r="F925" s="158" t="s">
        <v>566</v>
      </c>
      <c r="G925" s="225">
        <v>636</v>
      </c>
      <c r="H925" s="27"/>
      <c r="I925" s="20"/>
      <c r="J925" s="260">
        <f>SUM('ведомствен.2013'!G1628)</f>
        <v>636</v>
      </c>
    </row>
    <row r="926" spans="1:10" s="40" customFormat="1" ht="45" customHeight="1">
      <c r="A926" s="128" t="s">
        <v>296</v>
      </c>
      <c r="B926" s="171"/>
      <c r="C926" s="171" t="s">
        <v>1</v>
      </c>
      <c r="D926" s="159" t="s">
        <v>1</v>
      </c>
      <c r="E926" s="171" t="s">
        <v>94</v>
      </c>
      <c r="F926" s="161"/>
      <c r="G926" s="225">
        <f>SUM(G927)</f>
        <v>497</v>
      </c>
      <c r="H926" s="27">
        <v>67.2</v>
      </c>
      <c r="I926" s="20">
        <f t="shared" si="24"/>
        <v>13.521126760563382</v>
      </c>
      <c r="J926" s="260"/>
    </row>
    <row r="927" spans="1:10" s="40" customFormat="1" ht="32.25" customHeight="1">
      <c r="A927" s="108" t="s">
        <v>711</v>
      </c>
      <c r="B927" s="171"/>
      <c r="C927" s="171" t="s">
        <v>1</v>
      </c>
      <c r="D927" s="159" t="s">
        <v>1</v>
      </c>
      <c r="E927" s="171" t="s">
        <v>94</v>
      </c>
      <c r="F927" s="158" t="s">
        <v>566</v>
      </c>
      <c r="G927" s="225">
        <v>497</v>
      </c>
      <c r="H927" s="27"/>
      <c r="I927" s="20"/>
      <c r="J927" s="260">
        <f>SUM('ведомствен.2013'!G1630)</f>
        <v>497</v>
      </c>
    </row>
    <row r="928" spans="1:9" ht="47.25" customHeight="1">
      <c r="A928" s="108" t="s">
        <v>297</v>
      </c>
      <c r="B928" s="171"/>
      <c r="C928" s="171" t="s">
        <v>1</v>
      </c>
      <c r="D928" s="159" t="s">
        <v>1</v>
      </c>
      <c r="E928" s="171" t="s">
        <v>692</v>
      </c>
      <c r="F928" s="158"/>
      <c r="G928" s="225">
        <f>SUM(G929)</f>
        <v>43632.5</v>
      </c>
      <c r="H928" s="27"/>
      <c r="I928" s="20"/>
    </row>
    <row r="929" spans="1:10" ht="29.25" customHeight="1">
      <c r="A929" s="108" t="s">
        <v>711</v>
      </c>
      <c r="B929" s="171"/>
      <c r="C929" s="171" t="s">
        <v>1</v>
      </c>
      <c r="D929" s="159" t="s">
        <v>1</v>
      </c>
      <c r="E929" s="171" t="s">
        <v>692</v>
      </c>
      <c r="F929" s="158" t="s">
        <v>566</v>
      </c>
      <c r="G929" s="225">
        <v>43632.5</v>
      </c>
      <c r="H929" s="27"/>
      <c r="I929" s="20"/>
      <c r="J929" s="246">
        <f>SUM('ведомствен.2013'!G1632)</f>
        <v>43632.5</v>
      </c>
    </row>
    <row r="930" spans="1:10" s="40" customFormat="1" ht="28.5" hidden="1">
      <c r="A930" s="128" t="s">
        <v>95</v>
      </c>
      <c r="B930" s="171"/>
      <c r="C930" s="159" t="s">
        <v>1</v>
      </c>
      <c r="D930" s="159" t="s">
        <v>1</v>
      </c>
      <c r="E930" s="171" t="s">
        <v>546</v>
      </c>
      <c r="F930" s="161" t="s">
        <v>1009</v>
      </c>
      <c r="G930" s="225"/>
      <c r="H930" s="27"/>
      <c r="I930" s="20" t="e">
        <f t="shared" si="24"/>
        <v>#DIV/0!</v>
      </c>
      <c r="J930" s="260"/>
    </row>
    <row r="931" spans="1:10" s="40" customFormat="1" ht="28.5" hidden="1">
      <c r="A931" s="128" t="s">
        <v>547</v>
      </c>
      <c r="B931" s="171"/>
      <c r="C931" s="159" t="s">
        <v>1</v>
      </c>
      <c r="D931" s="159" t="s">
        <v>1</v>
      </c>
      <c r="E931" s="171" t="s">
        <v>548</v>
      </c>
      <c r="F931" s="161" t="s">
        <v>1009</v>
      </c>
      <c r="G931" s="225"/>
      <c r="H931" s="27"/>
      <c r="I931" s="20" t="e">
        <f t="shared" si="24"/>
        <v>#DIV/0!</v>
      </c>
      <c r="J931" s="260"/>
    </row>
    <row r="932" spans="1:10" s="40" customFormat="1" ht="28.5" hidden="1">
      <c r="A932" s="106" t="s">
        <v>90</v>
      </c>
      <c r="B932" s="155"/>
      <c r="C932" s="159" t="s">
        <v>1</v>
      </c>
      <c r="D932" s="159" t="s">
        <v>1</v>
      </c>
      <c r="E932" s="159" t="s">
        <v>97</v>
      </c>
      <c r="F932" s="161" t="s">
        <v>1009</v>
      </c>
      <c r="G932" s="225"/>
      <c r="H932" s="27"/>
      <c r="I932" s="20" t="e">
        <f t="shared" si="24"/>
        <v>#DIV/0!</v>
      </c>
      <c r="J932" s="260"/>
    </row>
    <row r="933" spans="1:10" s="40" customFormat="1" ht="57" hidden="1">
      <c r="A933" s="109" t="s">
        <v>772</v>
      </c>
      <c r="B933" s="155"/>
      <c r="C933" s="159" t="s">
        <v>1</v>
      </c>
      <c r="D933" s="159" t="s">
        <v>1</v>
      </c>
      <c r="E933" s="159" t="s">
        <v>773</v>
      </c>
      <c r="F933" s="161" t="s">
        <v>1009</v>
      </c>
      <c r="G933" s="225">
        <f>SUM('[1]Ведомств.'!F701)</f>
        <v>0</v>
      </c>
      <c r="H933" s="27" t="e">
        <f>SUM('[1]Ведомств.'!G701)</f>
        <v>#REF!</v>
      </c>
      <c r="I933" s="20" t="e">
        <f t="shared" si="24"/>
        <v>#REF!</v>
      </c>
      <c r="J933" s="260"/>
    </row>
    <row r="934" spans="1:10" s="40" customFormat="1" ht="30.75" customHeight="1" hidden="1">
      <c r="A934" s="109" t="s">
        <v>774</v>
      </c>
      <c r="B934" s="155"/>
      <c r="C934" s="159" t="s">
        <v>1</v>
      </c>
      <c r="D934" s="159" t="s">
        <v>1</v>
      </c>
      <c r="E934" s="159" t="s">
        <v>903</v>
      </c>
      <c r="F934" s="161"/>
      <c r="G934" s="225">
        <f>SUM(G935)</f>
        <v>0</v>
      </c>
      <c r="H934" s="27">
        <f>SUM(H935)</f>
        <v>5</v>
      </c>
      <c r="I934" s="20" t="e">
        <f t="shared" si="24"/>
        <v>#DIV/0!</v>
      </c>
      <c r="J934" s="260"/>
    </row>
    <row r="935" spans="1:10" s="40" customFormat="1" ht="30.75" customHeight="1" hidden="1">
      <c r="A935" s="109" t="s">
        <v>90</v>
      </c>
      <c r="B935" s="155"/>
      <c r="C935" s="159" t="s">
        <v>1</v>
      </c>
      <c r="D935" s="159" t="s">
        <v>1</v>
      </c>
      <c r="E935" s="159" t="s">
        <v>903</v>
      </c>
      <c r="F935" s="161" t="s">
        <v>1009</v>
      </c>
      <c r="G935" s="225"/>
      <c r="H935" s="27">
        <v>5</v>
      </c>
      <c r="I935" s="20" t="e">
        <f t="shared" si="24"/>
        <v>#DIV/0!</v>
      </c>
      <c r="J935" s="260"/>
    </row>
    <row r="936" spans="1:10" s="40" customFormat="1" ht="30.75" customHeight="1" hidden="1">
      <c r="A936" s="109" t="s">
        <v>775</v>
      </c>
      <c r="B936" s="155"/>
      <c r="C936" s="159" t="s">
        <v>1</v>
      </c>
      <c r="D936" s="159" t="s">
        <v>1</v>
      </c>
      <c r="E936" s="159" t="s">
        <v>475</v>
      </c>
      <c r="F936" s="161"/>
      <c r="G936" s="225">
        <f>SUM(G937)</f>
        <v>0</v>
      </c>
      <c r="H936" s="27">
        <f>SUM(H937)</f>
        <v>1042.3</v>
      </c>
      <c r="I936" s="20" t="e">
        <f t="shared" si="24"/>
        <v>#DIV/0!</v>
      </c>
      <c r="J936" s="260"/>
    </row>
    <row r="937" spans="1:10" s="40" customFormat="1" ht="21.75" customHeight="1" hidden="1">
      <c r="A937" s="109" t="s">
        <v>641</v>
      </c>
      <c r="B937" s="155"/>
      <c r="C937" s="159" t="s">
        <v>1</v>
      </c>
      <c r="D937" s="159" t="s">
        <v>1</v>
      </c>
      <c r="E937" s="159" t="s">
        <v>475</v>
      </c>
      <c r="F937" s="161" t="s">
        <v>642</v>
      </c>
      <c r="G937" s="225"/>
      <c r="H937" s="27">
        <v>1042.3</v>
      </c>
      <c r="I937" s="20" t="e">
        <f t="shared" si="24"/>
        <v>#DIV/0!</v>
      </c>
      <c r="J937" s="260"/>
    </row>
    <row r="938" spans="1:12" s="42" customFormat="1" ht="21.75" customHeight="1">
      <c r="A938" s="134" t="s">
        <v>776</v>
      </c>
      <c r="B938" s="189"/>
      <c r="C938" s="189" t="s">
        <v>348</v>
      </c>
      <c r="D938" s="189" t="s">
        <v>777</v>
      </c>
      <c r="E938" s="189"/>
      <c r="F938" s="216"/>
      <c r="G938" s="224">
        <f>SUM(G939+G943+G954+G1091+G1109)</f>
        <v>775939.8999999999</v>
      </c>
      <c r="H938" s="26" t="e">
        <f>SUM(H939+H943+H954+H1091+H1109)</f>
        <v>#REF!</v>
      </c>
      <c r="I938" s="26" t="e">
        <f t="shared" si="24"/>
        <v>#REF!</v>
      </c>
      <c r="J938" s="263"/>
      <c r="K938" s="42">
        <f>SUM(J939:J1136)</f>
        <v>775939.8999999998</v>
      </c>
      <c r="L938" s="42">
        <f>SUM('ведомствен.2013'!G627+'ведомствен.2013'!G696+'ведомствен.2013'!G822+'ведомствен.2013'!G1424)</f>
        <v>775939.9</v>
      </c>
    </row>
    <row r="939" spans="1:12" s="25" customFormat="1" ht="15">
      <c r="A939" s="128" t="s">
        <v>778</v>
      </c>
      <c r="B939" s="155"/>
      <c r="C939" s="183" t="s">
        <v>348</v>
      </c>
      <c r="D939" s="183" t="s">
        <v>237</v>
      </c>
      <c r="E939" s="183"/>
      <c r="F939" s="184"/>
      <c r="G939" s="225">
        <f aca="true" t="shared" si="25" ref="G939:H941">SUM(G940)</f>
        <v>3794.9</v>
      </c>
      <c r="H939" s="27">
        <f t="shared" si="25"/>
        <v>1203.5</v>
      </c>
      <c r="I939" s="20">
        <f t="shared" si="24"/>
        <v>31.7136156420459</v>
      </c>
      <c r="J939" s="250"/>
      <c r="L939" s="25">
        <f>SUM(K938-L938)</f>
        <v>-2.3283064365386963E-10</v>
      </c>
    </row>
    <row r="940" spans="1:13" s="25" customFormat="1" ht="28.5">
      <c r="A940" s="127" t="s">
        <v>779</v>
      </c>
      <c r="B940" s="155"/>
      <c r="C940" s="155" t="s">
        <v>348</v>
      </c>
      <c r="D940" s="155" t="s">
        <v>237</v>
      </c>
      <c r="E940" s="155" t="s">
        <v>780</v>
      </c>
      <c r="F940" s="184"/>
      <c r="G940" s="30">
        <f t="shared" si="25"/>
        <v>3794.9</v>
      </c>
      <c r="H940" s="20">
        <f t="shared" si="25"/>
        <v>1203.5</v>
      </c>
      <c r="I940" s="20">
        <f t="shared" si="24"/>
        <v>31.7136156420459</v>
      </c>
      <c r="J940" s="250"/>
      <c r="M940" s="125">
        <f>SUM(G938-K938)</f>
        <v>1.1641532182693481E-10</v>
      </c>
    </row>
    <row r="941" spans="1:10" s="25" customFormat="1" ht="28.5">
      <c r="A941" s="127" t="s">
        <v>781</v>
      </c>
      <c r="B941" s="167"/>
      <c r="C941" s="155" t="s">
        <v>348</v>
      </c>
      <c r="D941" s="155" t="s">
        <v>237</v>
      </c>
      <c r="E941" s="155" t="s">
        <v>782</v>
      </c>
      <c r="F941" s="184"/>
      <c r="G941" s="30">
        <f t="shared" si="25"/>
        <v>3794.9</v>
      </c>
      <c r="H941" s="20">
        <f t="shared" si="25"/>
        <v>1203.5</v>
      </c>
      <c r="I941" s="20">
        <f t="shared" si="24"/>
        <v>31.7136156420459</v>
      </c>
      <c r="J941" s="250"/>
    </row>
    <row r="942" spans="1:10" s="25" customFormat="1" ht="15">
      <c r="A942" s="106" t="s">
        <v>1032</v>
      </c>
      <c r="B942" s="155"/>
      <c r="C942" s="155" t="s">
        <v>348</v>
      </c>
      <c r="D942" s="155" t="s">
        <v>237</v>
      </c>
      <c r="E942" s="155" t="s">
        <v>782</v>
      </c>
      <c r="F942" s="184" t="s">
        <v>1033</v>
      </c>
      <c r="G942" s="30">
        <v>3794.9</v>
      </c>
      <c r="H942" s="20">
        <v>1203.5</v>
      </c>
      <c r="I942" s="20">
        <f t="shared" si="24"/>
        <v>31.7136156420459</v>
      </c>
      <c r="J942" s="250">
        <f>SUM('ведомствен.2013'!G826)</f>
        <v>3794.9</v>
      </c>
    </row>
    <row r="943" spans="1:10" s="25" customFormat="1" ht="15">
      <c r="A943" s="106" t="s">
        <v>783</v>
      </c>
      <c r="B943" s="155"/>
      <c r="C943" s="171" t="s">
        <v>348</v>
      </c>
      <c r="D943" s="171" t="s">
        <v>239</v>
      </c>
      <c r="E943" s="155"/>
      <c r="F943" s="184"/>
      <c r="G943" s="225">
        <f>SUM(G944+G949)</f>
        <v>34862.7</v>
      </c>
      <c r="H943" s="27">
        <f>SUM(H944+H949)</f>
        <v>16618.3</v>
      </c>
      <c r="I943" s="20">
        <f t="shared" si="24"/>
        <v>47.667851313868404</v>
      </c>
      <c r="J943" s="250"/>
    </row>
    <row r="944" spans="1:10" s="25" customFormat="1" ht="15" customHeight="1" hidden="1">
      <c r="A944" s="110" t="s">
        <v>549</v>
      </c>
      <c r="B944" s="155"/>
      <c r="C944" s="171" t="s">
        <v>348</v>
      </c>
      <c r="D944" s="171" t="s">
        <v>239</v>
      </c>
      <c r="E944" s="171" t="s">
        <v>550</v>
      </c>
      <c r="F944" s="161"/>
      <c r="G944" s="225">
        <f>SUM(G945)+G947</f>
        <v>0</v>
      </c>
      <c r="H944" s="27">
        <f>SUM(H945)+H947</f>
        <v>0</v>
      </c>
      <c r="I944" s="20" t="e">
        <f t="shared" si="24"/>
        <v>#DIV/0!</v>
      </c>
      <c r="J944" s="250"/>
    </row>
    <row r="945" spans="1:10" s="25" customFormat="1" ht="42.75" customHeight="1" hidden="1">
      <c r="A945" s="110" t="s">
        <v>364</v>
      </c>
      <c r="B945" s="155"/>
      <c r="C945" s="159" t="s">
        <v>348</v>
      </c>
      <c r="D945" s="159" t="s">
        <v>239</v>
      </c>
      <c r="E945" s="159" t="s">
        <v>365</v>
      </c>
      <c r="F945" s="157"/>
      <c r="G945" s="30">
        <f>SUM(G946)</f>
        <v>0</v>
      </c>
      <c r="H945" s="20">
        <f>SUM(H946)</f>
        <v>0</v>
      </c>
      <c r="I945" s="20" t="e">
        <f t="shared" si="24"/>
        <v>#DIV/0!</v>
      </c>
      <c r="J945" s="250"/>
    </row>
    <row r="946" spans="1:10" s="25" customFormat="1" ht="17.25" customHeight="1" hidden="1">
      <c r="A946" s="105" t="s">
        <v>932</v>
      </c>
      <c r="B946" s="155"/>
      <c r="C946" s="159" t="s">
        <v>348</v>
      </c>
      <c r="D946" s="159" t="s">
        <v>239</v>
      </c>
      <c r="E946" s="159" t="s">
        <v>365</v>
      </c>
      <c r="F946" s="161" t="s">
        <v>933</v>
      </c>
      <c r="G946" s="30"/>
      <c r="H946" s="20"/>
      <c r="I946" s="20" t="e">
        <f t="shared" si="24"/>
        <v>#DIV/0!</v>
      </c>
      <c r="J946" s="250"/>
    </row>
    <row r="947" spans="1:10" s="25" customFormat="1" ht="31.5" customHeight="1" hidden="1">
      <c r="A947" s="110" t="s">
        <v>366</v>
      </c>
      <c r="B947" s="155"/>
      <c r="C947" s="159" t="s">
        <v>348</v>
      </c>
      <c r="D947" s="159" t="s">
        <v>239</v>
      </c>
      <c r="E947" s="159" t="s">
        <v>367</v>
      </c>
      <c r="F947" s="157"/>
      <c r="G947" s="30">
        <f>SUM(G948)</f>
        <v>0</v>
      </c>
      <c r="H947" s="20">
        <f>SUM(H948)</f>
        <v>0</v>
      </c>
      <c r="I947" s="20" t="e">
        <f t="shared" si="24"/>
        <v>#DIV/0!</v>
      </c>
      <c r="J947" s="250"/>
    </row>
    <row r="948" spans="1:10" s="25" customFormat="1" ht="18.75" customHeight="1" hidden="1">
      <c r="A948" s="105" t="s">
        <v>932</v>
      </c>
      <c r="B948" s="155"/>
      <c r="C948" s="159" t="s">
        <v>348</v>
      </c>
      <c r="D948" s="159" t="s">
        <v>239</v>
      </c>
      <c r="E948" s="159" t="s">
        <v>367</v>
      </c>
      <c r="F948" s="161" t="s">
        <v>933</v>
      </c>
      <c r="G948" s="30"/>
      <c r="H948" s="20"/>
      <c r="I948" s="20" t="e">
        <f t="shared" si="24"/>
        <v>#DIV/0!</v>
      </c>
      <c r="J948" s="250"/>
    </row>
    <row r="949" spans="1:10" s="25" customFormat="1" ht="18.75" customHeight="1">
      <c r="A949" s="110" t="s">
        <v>549</v>
      </c>
      <c r="B949" s="155"/>
      <c r="C949" s="171" t="s">
        <v>348</v>
      </c>
      <c r="D949" s="171" t="s">
        <v>239</v>
      </c>
      <c r="E949" s="171" t="s">
        <v>368</v>
      </c>
      <c r="F949" s="161"/>
      <c r="G949" s="30">
        <f>SUM(G950)</f>
        <v>34862.7</v>
      </c>
      <c r="H949" s="20">
        <f>SUM(H950+H952)</f>
        <v>16618.3</v>
      </c>
      <c r="I949" s="20">
        <f t="shared" si="24"/>
        <v>47.667851313868404</v>
      </c>
      <c r="J949" s="250"/>
    </row>
    <row r="950" spans="1:10" s="25" customFormat="1" ht="28.5">
      <c r="A950" s="106" t="s">
        <v>482</v>
      </c>
      <c r="B950" s="155"/>
      <c r="C950" s="159" t="s">
        <v>348</v>
      </c>
      <c r="D950" s="159" t="s">
        <v>239</v>
      </c>
      <c r="E950" s="159" t="s">
        <v>369</v>
      </c>
      <c r="F950" s="161"/>
      <c r="G950" s="30">
        <f>SUM(G951,G953)</f>
        <v>34862.7</v>
      </c>
      <c r="H950" s="20">
        <f>SUM(H951)</f>
        <v>0</v>
      </c>
      <c r="I950" s="20">
        <f t="shared" si="24"/>
        <v>0</v>
      </c>
      <c r="J950" s="250"/>
    </row>
    <row r="951" spans="1:10" s="25" customFormat="1" ht="15">
      <c r="A951" s="105" t="s">
        <v>483</v>
      </c>
      <c r="B951" s="155"/>
      <c r="C951" s="159" t="s">
        <v>348</v>
      </c>
      <c r="D951" s="159" t="s">
        <v>239</v>
      </c>
      <c r="E951" s="159" t="s">
        <v>369</v>
      </c>
      <c r="F951" s="161" t="s">
        <v>933</v>
      </c>
      <c r="G951" s="30">
        <v>1692</v>
      </c>
      <c r="H951" s="20"/>
      <c r="I951" s="20">
        <f t="shared" si="24"/>
        <v>0</v>
      </c>
      <c r="J951" s="250">
        <f>SUM('ведомствен.2013'!G835)</f>
        <v>1692</v>
      </c>
    </row>
    <row r="952" spans="1:10" s="25" customFormat="1" ht="42.75" customHeight="1">
      <c r="A952" s="105" t="s">
        <v>370</v>
      </c>
      <c r="B952" s="155"/>
      <c r="C952" s="159" t="s">
        <v>348</v>
      </c>
      <c r="D952" s="159" t="s">
        <v>239</v>
      </c>
      <c r="E952" s="159" t="s">
        <v>371</v>
      </c>
      <c r="F952" s="161"/>
      <c r="G952" s="30">
        <v>17</v>
      </c>
      <c r="H952" s="20">
        <f>SUM(H953)</f>
        <v>16618.3</v>
      </c>
      <c r="I952" s="20">
        <f t="shared" si="24"/>
        <v>97754.70588235294</v>
      </c>
      <c r="J952" s="250"/>
    </row>
    <row r="953" spans="1:10" s="25" customFormat="1" ht="15" customHeight="1">
      <c r="A953" s="105" t="s">
        <v>569</v>
      </c>
      <c r="B953" s="155"/>
      <c r="C953" s="159" t="s">
        <v>348</v>
      </c>
      <c r="D953" s="159" t="s">
        <v>239</v>
      </c>
      <c r="E953" s="159" t="s">
        <v>371</v>
      </c>
      <c r="F953" s="161" t="s">
        <v>933</v>
      </c>
      <c r="G953" s="30">
        <v>33170.7</v>
      </c>
      <c r="H953" s="20">
        <v>16618.3</v>
      </c>
      <c r="I953" s="20">
        <f t="shared" si="24"/>
        <v>50.09933465377577</v>
      </c>
      <c r="J953" s="250">
        <f>SUM('ведомствен.2013'!G837)</f>
        <v>33170.7</v>
      </c>
    </row>
    <row r="954" spans="1:10" s="25" customFormat="1" ht="18.75" customHeight="1">
      <c r="A954" s="128" t="s">
        <v>372</v>
      </c>
      <c r="B954" s="155"/>
      <c r="C954" s="183" t="s">
        <v>348</v>
      </c>
      <c r="D954" s="183" t="s">
        <v>601</v>
      </c>
      <c r="E954" s="183"/>
      <c r="F954" s="184"/>
      <c r="G954" s="225">
        <f>SUM(G965+G1065+G1075)+G958+G955+G1068</f>
        <v>642597.2</v>
      </c>
      <c r="H954" s="27">
        <f>SUM(H965+H1065+H1068+H1075+H955)</f>
        <v>454278.8</v>
      </c>
      <c r="I954" s="20">
        <f t="shared" si="24"/>
        <v>70.69417669420284</v>
      </c>
      <c r="J954" s="250"/>
    </row>
    <row r="955" spans="1:10" s="25" customFormat="1" ht="14.25" customHeight="1" hidden="1">
      <c r="A955" s="106" t="s">
        <v>148</v>
      </c>
      <c r="B955" s="155"/>
      <c r="C955" s="183" t="s">
        <v>348</v>
      </c>
      <c r="D955" s="183" t="s">
        <v>601</v>
      </c>
      <c r="E955" s="155" t="s">
        <v>150</v>
      </c>
      <c r="F955" s="156"/>
      <c r="G955" s="30">
        <f>SUM(G957)</f>
        <v>0</v>
      </c>
      <c r="H955" s="20">
        <f>SUM(H957)</f>
        <v>200</v>
      </c>
      <c r="I955" s="20" t="e">
        <f t="shared" si="24"/>
        <v>#DIV/0!</v>
      </c>
      <c r="J955" s="250"/>
    </row>
    <row r="956" spans="1:10" s="25" customFormat="1" ht="14.25" customHeight="1" hidden="1">
      <c r="A956" s="106" t="s">
        <v>128</v>
      </c>
      <c r="B956" s="155"/>
      <c r="C956" s="183" t="s">
        <v>348</v>
      </c>
      <c r="D956" s="183" t="s">
        <v>601</v>
      </c>
      <c r="E956" s="155" t="s">
        <v>129</v>
      </c>
      <c r="F956" s="156"/>
      <c r="G956" s="30">
        <f>SUM(G957)</f>
        <v>0</v>
      </c>
      <c r="H956" s="20">
        <f>SUM(H957)</f>
        <v>200</v>
      </c>
      <c r="I956" s="20" t="e">
        <f t="shared" si="24"/>
        <v>#DIV/0!</v>
      </c>
      <c r="J956" s="250"/>
    </row>
    <row r="957" spans="1:10" s="25" customFormat="1" ht="14.25" customHeight="1" hidden="1">
      <c r="A957" s="106" t="s">
        <v>1032</v>
      </c>
      <c r="B957" s="159"/>
      <c r="C957" s="183" t="s">
        <v>348</v>
      </c>
      <c r="D957" s="183" t="s">
        <v>601</v>
      </c>
      <c r="E957" s="155" t="s">
        <v>129</v>
      </c>
      <c r="F957" s="157" t="s">
        <v>1033</v>
      </c>
      <c r="G957" s="30"/>
      <c r="H957" s="20">
        <v>200</v>
      </c>
      <c r="I957" s="20" t="e">
        <f t="shared" si="24"/>
        <v>#DIV/0!</v>
      </c>
      <c r="J957" s="250">
        <f>SUM('ведомствен.2013'!G841)</f>
        <v>0</v>
      </c>
    </row>
    <row r="958" spans="1:10" s="25" customFormat="1" ht="14.25" customHeight="1">
      <c r="A958" s="128" t="s">
        <v>689</v>
      </c>
      <c r="B958" s="155"/>
      <c r="C958" s="155" t="s">
        <v>348</v>
      </c>
      <c r="D958" s="159" t="s">
        <v>601</v>
      </c>
      <c r="E958" s="155" t="s">
        <v>690</v>
      </c>
      <c r="F958" s="184"/>
      <c r="G958" s="225">
        <f>SUM(G959)</f>
        <v>241.9</v>
      </c>
      <c r="H958" s="20"/>
      <c r="I958" s="20"/>
      <c r="J958" s="250"/>
    </row>
    <row r="959" spans="1:9" ht="30" customHeight="1">
      <c r="A959" s="133" t="s">
        <v>686</v>
      </c>
      <c r="B959" s="155"/>
      <c r="C959" s="155" t="s">
        <v>348</v>
      </c>
      <c r="D959" s="159" t="s">
        <v>601</v>
      </c>
      <c r="E959" s="155" t="s">
        <v>687</v>
      </c>
      <c r="F959" s="156"/>
      <c r="G959" s="225">
        <f>SUM(G962)+G960</f>
        <v>241.9</v>
      </c>
      <c r="H959" s="20">
        <f>SUM(H962)</f>
        <v>0</v>
      </c>
      <c r="I959" s="20">
        <f>SUM(H959/G959*100)</f>
        <v>0</v>
      </c>
    </row>
    <row r="960" spans="1:9" ht="31.5" customHeight="1" hidden="1">
      <c r="A960" s="133" t="s">
        <v>849</v>
      </c>
      <c r="B960" s="155"/>
      <c r="C960" s="155" t="s">
        <v>348</v>
      </c>
      <c r="D960" s="159" t="s">
        <v>601</v>
      </c>
      <c r="E960" s="155" t="s">
        <v>837</v>
      </c>
      <c r="F960" s="156"/>
      <c r="G960" s="225">
        <f>SUM(G961)</f>
        <v>0</v>
      </c>
      <c r="H960" s="20"/>
      <c r="I960" s="20"/>
    </row>
    <row r="961" spans="1:10" ht="21" customHeight="1" hidden="1">
      <c r="A961" s="106" t="s">
        <v>1032</v>
      </c>
      <c r="B961" s="155"/>
      <c r="C961" s="155" t="s">
        <v>348</v>
      </c>
      <c r="D961" s="159" t="s">
        <v>601</v>
      </c>
      <c r="E961" s="155" t="s">
        <v>837</v>
      </c>
      <c r="F961" s="156" t="s">
        <v>1033</v>
      </c>
      <c r="G961" s="225"/>
      <c r="H961" s="20"/>
      <c r="I961" s="20"/>
      <c r="J961" s="246">
        <f>SUM('ведомствен.2013'!G1049)</f>
        <v>0</v>
      </c>
    </row>
    <row r="962" spans="1:9" ht="18.75" customHeight="1">
      <c r="A962" s="133" t="s">
        <v>794</v>
      </c>
      <c r="B962" s="155"/>
      <c r="C962" s="159" t="s">
        <v>348</v>
      </c>
      <c r="D962" s="159" t="s">
        <v>601</v>
      </c>
      <c r="E962" s="155" t="s">
        <v>688</v>
      </c>
      <c r="F962" s="157"/>
      <c r="G962" s="225">
        <f>SUM(G963:G964)</f>
        <v>241.9</v>
      </c>
      <c r="H962" s="20">
        <f>SUM(H964)</f>
        <v>0</v>
      </c>
      <c r="I962" s="20">
        <f>SUM(H962/G962*100)</f>
        <v>0</v>
      </c>
    </row>
    <row r="963" spans="1:10" ht="18" customHeight="1">
      <c r="A963" s="241" t="s">
        <v>387</v>
      </c>
      <c r="B963" s="242"/>
      <c r="C963" s="243" t="s">
        <v>348</v>
      </c>
      <c r="D963" s="243" t="s">
        <v>601</v>
      </c>
      <c r="E963" s="244" t="s">
        <v>688</v>
      </c>
      <c r="F963" s="245" t="s">
        <v>388</v>
      </c>
      <c r="G963" s="27">
        <v>241.9</v>
      </c>
      <c r="H963" s="20"/>
      <c r="I963" s="20"/>
      <c r="J963" s="246">
        <f>SUM('ведомствен.2013'!G633)</f>
        <v>241.9</v>
      </c>
    </row>
    <row r="964" spans="1:10" ht="23.25" customHeight="1" hidden="1">
      <c r="A964" s="133" t="s">
        <v>938</v>
      </c>
      <c r="B964" s="155"/>
      <c r="C964" s="159" t="s">
        <v>348</v>
      </c>
      <c r="D964" s="159" t="s">
        <v>601</v>
      </c>
      <c r="E964" s="155" t="s">
        <v>688</v>
      </c>
      <c r="F964" s="157" t="s">
        <v>940</v>
      </c>
      <c r="G964" s="225"/>
      <c r="H964" s="20"/>
      <c r="I964" s="20" t="e">
        <f>SUM(H964/G964*100)</f>
        <v>#DIV/0!</v>
      </c>
      <c r="J964" s="246">
        <f>SUM('ведомствен.2013'!G634)</f>
        <v>0</v>
      </c>
    </row>
    <row r="965" spans="1:9" ht="18" customHeight="1">
      <c r="A965" s="106" t="s">
        <v>373</v>
      </c>
      <c r="B965" s="155"/>
      <c r="C965" s="155" t="s">
        <v>348</v>
      </c>
      <c r="D965" s="155" t="s">
        <v>601</v>
      </c>
      <c r="E965" s="155" t="s">
        <v>374</v>
      </c>
      <c r="F965" s="156"/>
      <c r="G965" s="30">
        <f>SUM(G966+G968+G970+G983+G985+G1005+G1010+G1015+G1018+G1020+G1044)+G1063+G989+G991+G998+G1001+G1008+G1013+G980+G996+G993+G1003+G975+G978+G972+G987</f>
        <v>638077.2</v>
      </c>
      <c r="H965" s="20">
        <f>SUM(H966+H968+H970+H983+H985+H1005+H1010+H1015+H1018+H1020+H1044)+H1063+H989+H991+H998+H1001+H1008+H1013+H982+H996+H993+H1003+H975+H978+H972</f>
        <v>446896.3</v>
      </c>
      <c r="I965" s="20">
        <f t="shared" si="24"/>
        <v>70.03796719268452</v>
      </c>
    </row>
    <row r="966" spans="1:9" ht="55.5" customHeight="1" hidden="1">
      <c r="A966" s="142" t="s">
        <v>375</v>
      </c>
      <c r="B966" s="155"/>
      <c r="C966" s="155" t="s">
        <v>348</v>
      </c>
      <c r="D966" s="155" t="s">
        <v>601</v>
      </c>
      <c r="E966" s="155" t="s">
        <v>376</v>
      </c>
      <c r="F966" s="156"/>
      <c r="G966" s="30">
        <f>SUM(G967:G967)</f>
        <v>0</v>
      </c>
      <c r="H966" s="20">
        <f>SUM(H967:H967)</f>
        <v>0</v>
      </c>
      <c r="I966" s="20" t="e">
        <f t="shared" si="24"/>
        <v>#DIV/0!</v>
      </c>
    </row>
    <row r="967" spans="1:9" ht="20.25" customHeight="1" hidden="1">
      <c r="A967" s="106" t="s">
        <v>1032</v>
      </c>
      <c r="B967" s="155"/>
      <c r="C967" s="155" t="s">
        <v>348</v>
      </c>
      <c r="D967" s="155" t="s">
        <v>601</v>
      </c>
      <c r="E967" s="155" t="s">
        <v>376</v>
      </c>
      <c r="F967" s="156" t="s">
        <v>1033</v>
      </c>
      <c r="G967" s="30"/>
      <c r="H967" s="20"/>
      <c r="I967" s="20" t="e">
        <f t="shared" si="24"/>
        <v>#DIV/0!</v>
      </c>
    </row>
    <row r="968" spans="1:10" s="25" customFormat="1" ht="42.75" customHeight="1" hidden="1">
      <c r="A968" s="106" t="s">
        <v>377</v>
      </c>
      <c r="B968" s="155"/>
      <c r="C968" s="155" t="s">
        <v>348</v>
      </c>
      <c r="D968" s="155" t="s">
        <v>601</v>
      </c>
      <c r="E968" s="155" t="s">
        <v>378</v>
      </c>
      <c r="F968" s="156"/>
      <c r="G968" s="30">
        <f>SUM(G969:G969)</f>
        <v>0</v>
      </c>
      <c r="H968" s="20">
        <f>SUM(H969:H969)</f>
        <v>0</v>
      </c>
      <c r="I968" s="20" t="e">
        <f t="shared" si="24"/>
        <v>#DIV/0!</v>
      </c>
      <c r="J968" s="250"/>
    </row>
    <row r="969" spans="1:10" s="25" customFormat="1" ht="15" customHeight="1" hidden="1">
      <c r="A969" s="106" t="s">
        <v>1032</v>
      </c>
      <c r="B969" s="155"/>
      <c r="C969" s="155" t="s">
        <v>348</v>
      </c>
      <c r="D969" s="155" t="s">
        <v>601</v>
      </c>
      <c r="E969" s="155" t="s">
        <v>378</v>
      </c>
      <c r="F969" s="156" t="s">
        <v>1033</v>
      </c>
      <c r="G969" s="30"/>
      <c r="H969" s="20"/>
      <c r="I969" s="20" t="e">
        <f t="shared" si="24"/>
        <v>#DIV/0!</v>
      </c>
      <c r="J969" s="250"/>
    </row>
    <row r="970" spans="1:10" s="25" customFormat="1" ht="42.75" customHeight="1" hidden="1">
      <c r="A970" s="106" t="s">
        <v>379</v>
      </c>
      <c r="B970" s="155"/>
      <c r="C970" s="159" t="s">
        <v>348</v>
      </c>
      <c r="D970" s="155" t="s">
        <v>601</v>
      </c>
      <c r="E970" s="155" t="s">
        <v>380</v>
      </c>
      <c r="F970" s="156"/>
      <c r="G970" s="30">
        <f>SUM(G971)</f>
        <v>0</v>
      </c>
      <c r="H970" s="20">
        <f>SUM(H971)</f>
        <v>0</v>
      </c>
      <c r="I970" s="20" t="e">
        <f t="shared" si="24"/>
        <v>#DIV/0!</v>
      </c>
      <c r="J970" s="250"/>
    </row>
    <row r="971" spans="1:10" s="25" customFormat="1" ht="23.25" customHeight="1" hidden="1">
      <c r="A971" s="106" t="s">
        <v>1032</v>
      </c>
      <c r="B971" s="155"/>
      <c r="C971" s="159" t="s">
        <v>348</v>
      </c>
      <c r="D971" s="155" t="s">
        <v>601</v>
      </c>
      <c r="E971" s="155" t="s">
        <v>380</v>
      </c>
      <c r="F971" s="156" t="s">
        <v>1033</v>
      </c>
      <c r="G971" s="30"/>
      <c r="H971" s="20"/>
      <c r="I971" s="20" t="e">
        <f t="shared" si="24"/>
        <v>#DIV/0!</v>
      </c>
      <c r="J971" s="250"/>
    </row>
    <row r="972" spans="1:10" s="25" customFormat="1" ht="60" customHeight="1" hidden="1">
      <c r="A972" s="108" t="s">
        <v>381</v>
      </c>
      <c r="B972" s="155"/>
      <c r="C972" s="155" t="s">
        <v>348</v>
      </c>
      <c r="D972" s="159" t="s">
        <v>601</v>
      </c>
      <c r="E972" s="155" t="s">
        <v>382</v>
      </c>
      <c r="F972" s="156"/>
      <c r="G972" s="30">
        <f>SUM(G973)</f>
        <v>0</v>
      </c>
      <c r="H972" s="20">
        <f>SUM(H973)</f>
        <v>361.8</v>
      </c>
      <c r="I972" s="20" t="e">
        <f t="shared" si="24"/>
        <v>#DIV/0!</v>
      </c>
      <c r="J972" s="250"/>
    </row>
    <row r="973" spans="1:10" s="25" customFormat="1" ht="19.5" customHeight="1" hidden="1">
      <c r="A973" s="106" t="s">
        <v>1032</v>
      </c>
      <c r="B973" s="155"/>
      <c r="C973" s="159" t="s">
        <v>348</v>
      </c>
      <c r="D973" s="155" t="s">
        <v>601</v>
      </c>
      <c r="E973" s="155" t="s">
        <v>382</v>
      </c>
      <c r="F973" s="156" t="s">
        <v>1033</v>
      </c>
      <c r="G973" s="30"/>
      <c r="H973" s="20">
        <v>361.8</v>
      </c>
      <c r="I973" s="20" t="e">
        <f t="shared" si="24"/>
        <v>#DIV/0!</v>
      </c>
      <c r="J973" s="250"/>
    </row>
    <row r="974" spans="1:10" s="25" customFormat="1" ht="60" customHeight="1" hidden="1">
      <c r="A974" s="108" t="s">
        <v>381</v>
      </c>
      <c r="B974" s="155"/>
      <c r="C974" s="155" t="s">
        <v>348</v>
      </c>
      <c r="D974" s="159" t="s">
        <v>601</v>
      </c>
      <c r="E974" s="155" t="s">
        <v>382</v>
      </c>
      <c r="F974" s="156"/>
      <c r="G974" s="30"/>
      <c r="H974" s="20"/>
      <c r="I974" s="20" t="e">
        <f t="shared" si="24"/>
        <v>#DIV/0!</v>
      </c>
      <c r="J974" s="250"/>
    </row>
    <row r="975" spans="1:10" s="25" customFormat="1" ht="104.25" customHeight="1" hidden="1">
      <c r="A975" s="106" t="s">
        <v>383</v>
      </c>
      <c r="B975" s="155"/>
      <c r="C975" s="159" t="s">
        <v>348</v>
      </c>
      <c r="D975" s="155" t="s">
        <v>601</v>
      </c>
      <c r="E975" s="155" t="s">
        <v>384</v>
      </c>
      <c r="F975" s="156"/>
      <c r="G975" s="30">
        <f>SUM(G976:G977)</f>
        <v>0</v>
      </c>
      <c r="H975" s="20">
        <f>SUM(H976)</f>
        <v>634.3</v>
      </c>
      <c r="I975" s="20" t="e">
        <f t="shared" si="24"/>
        <v>#DIV/0!</v>
      </c>
      <c r="J975" s="250"/>
    </row>
    <row r="976" spans="1:10" s="25" customFormat="1" ht="16.5" customHeight="1" hidden="1">
      <c r="A976" s="106" t="s">
        <v>1032</v>
      </c>
      <c r="B976" s="155"/>
      <c r="C976" s="159" t="s">
        <v>348</v>
      </c>
      <c r="D976" s="155" t="s">
        <v>601</v>
      </c>
      <c r="E976" s="155" t="s">
        <v>384</v>
      </c>
      <c r="F976" s="156" t="s">
        <v>1033</v>
      </c>
      <c r="G976" s="30"/>
      <c r="H976" s="20">
        <v>634.3</v>
      </c>
      <c r="I976" s="20" t="e">
        <f t="shared" si="24"/>
        <v>#DIV/0!</v>
      </c>
      <c r="J976" s="250">
        <f>SUM('ведомствен.2013'!G850)</f>
        <v>0</v>
      </c>
    </row>
    <row r="977" spans="1:10" s="25" customFormat="1" ht="16.5" customHeight="1" hidden="1">
      <c r="A977" s="128" t="s">
        <v>598</v>
      </c>
      <c r="B977" s="155"/>
      <c r="C977" s="159" t="s">
        <v>348</v>
      </c>
      <c r="D977" s="155" t="s">
        <v>601</v>
      </c>
      <c r="E977" s="155" t="s">
        <v>384</v>
      </c>
      <c r="F977" s="156" t="s">
        <v>599</v>
      </c>
      <c r="G977" s="30"/>
      <c r="H977" s="20"/>
      <c r="I977" s="20"/>
      <c r="J977" s="250">
        <f>SUM('ведомствен.2013'!G851)</f>
        <v>0</v>
      </c>
    </row>
    <row r="978" spans="1:10" s="25" customFormat="1" ht="60" customHeight="1" hidden="1">
      <c r="A978" s="106" t="s">
        <v>496</v>
      </c>
      <c r="B978" s="155"/>
      <c r="C978" s="159" t="s">
        <v>348</v>
      </c>
      <c r="D978" s="155" t="s">
        <v>601</v>
      </c>
      <c r="E978" s="155" t="s">
        <v>497</v>
      </c>
      <c r="F978" s="156"/>
      <c r="G978" s="30">
        <f>SUM(G979)</f>
        <v>0</v>
      </c>
      <c r="H978" s="20">
        <f>SUM(H979)</f>
        <v>542.8</v>
      </c>
      <c r="I978" s="20" t="e">
        <f t="shared" si="24"/>
        <v>#DIV/0!</v>
      </c>
      <c r="J978" s="250"/>
    </row>
    <row r="979" spans="1:10" s="25" customFormat="1" ht="22.5" customHeight="1" hidden="1">
      <c r="A979" s="106" t="s">
        <v>1032</v>
      </c>
      <c r="B979" s="155"/>
      <c r="C979" s="159" t="s">
        <v>348</v>
      </c>
      <c r="D979" s="155" t="s">
        <v>601</v>
      </c>
      <c r="E979" s="155" t="s">
        <v>497</v>
      </c>
      <c r="F979" s="156" t="s">
        <v>1033</v>
      </c>
      <c r="G979" s="30"/>
      <c r="H979" s="20">
        <v>542.8</v>
      </c>
      <c r="I979" s="20" t="e">
        <f aca="true" t="shared" si="26" ref="I979:I1066">SUM(H979/G979*100)</f>
        <v>#DIV/0!</v>
      </c>
      <c r="J979" s="250">
        <f>SUM('ведомствен.2013'!G853)</f>
        <v>0</v>
      </c>
    </row>
    <row r="980" spans="1:10" s="25" customFormat="1" ht="45.75" customHeight="1" hidden="1">
      <c r="A980" s="106" t="s">
        <v>245</v>
      </c>
      <c r="B980" s="155"/>
      <c r="C980" s="159" t="s">
        <v>348</v>
      </c>
      <c r="D980" s="155" t="s">
        <v>601</v>
      </c>
      <c r="E980" s="155" t="s">
        <v>246</v>
      </c>
      <c r="F980" s="156"/>
      <c r="G980" s="30">
        <f>SUM(G981)</f>
        <v>0</v>
      </c>
      <c r="H980" s="27"/>
      <c r="I980" s="20"/>
      <c r="J980" s="250"/>
    </row>
    <row r="981" spans="1:10" s="25" customFormat="1" ht="21" customHeight="1" hidden="1">
      <c r="A981" s="106" t="s">
        <v>1032</v>
      </c>
      <c r="B981" s="155"/>
      <c r="C981" s="159" t="s">
        <v>348</v>
      </c>
      <c r="D981" s="155" t="s">
        <v>601</v>
      </c>
      <c r="E981" s="155" t="s">
        <v>246</v>
      </c>
      <c r="F981" s="156" t="s">
        <v>1033</v>
      </c>
      <c r="G981" s="30"/>
      <c r="H981" s="27"/>
      <c r="I981" s="20"/>
      <c r="J981" s="250">
        <f>SUM('ведомствен.2013'!G855)</f>
        <v>0</v>
      </c>
    </row>
    <row r="982" spans="1:10" s="25" customFormat="1" ht="0.75" customHeight="1" hidden="1">
      <c r="A982" s="106" t="s">
        <v>1032</v>
      </c>
      <c r="B982" s="160"/>
      <c r="C982" s="159" t="s">
        <v>348</v>
      </c>
      <c r="D982" s="159" t="s">
        <v>601</v>
      </c>
      <c r="E982" s="155" t="s">
        <v>557</v>
      </c>
      <c r="F982" s="161" t="s">
        <v>1033</v>
      </c>
      <c r="G982" s="225"/>
      <c r="H982" s="27"/>
      <c r="I982" s="20"/>
      <c r="J982" s="250">
        <f>SUM('ведомствен.2013'!G1055)</f>
        <v>0</v>
      </c>
    </row>
    <row r="983" spans="1:10" s="25" customFormat="1" ht="71.25" hidden="1">
      <c r="A983" s="133" t="s">
        <v>797</v>
      </c>
      <c r="B983" s="155"/>
      <c r="C983" s="159" t="s">
        <v>348</v>
      </c>
      <c r="D983" s="155" t="s">
        <v>601</v>
      </c>
      <c r="E983" s="155" t="s">
        <v>798</v>
      </c>
      <c r="F983" s="156"/>
      <c r="G983" s="30">
        <f>SUM(G984)</f>
        <v>0</v>
      </c>
      <c r="H983" s="20">
        <f>SUM(H984)</f>
        <v>1313.1</v>
      </c>
      <c r="I983" s="20" t="e">
        <f t="shared" si="26"/>
        <v>#DIV/0!</v>
      </c>
      <c r="J983" s="250"/>
    </row>
    <row r="984" spans="1:10" s="25" customFormat="1" ht="15" hidden="1">
      <c r="A984" s="106" t="s">
        <v>1032</v>
      </c>
      <c r="B984" s="155"/>
      <c r="C984" s="159" t="s">
        <v>348</v>
      </c>
      <c r="D984" s="155" t="s">
        <v>601</v>
      </c>
      <c r="E984" s="155" t="s">
        <v>798</v>
      </c>
      <c r="F984" s="156" t="s">
        <v>1033</v>
      </c>
      <c r="G984" s="30"/>
      <c r="H984" s="20">
        <v>1313.1</v>
      </c>
      <c r="I984" s="20" t="e">
        <f t="shared" si="26"/>
        <v>#DIV/0!</v>
      </c>
      <c r="J984" s="250">
        <f>SUM('ведомствен.2013'!G857)</f>
        <v>0</v>
      </c>
    </row>
    <row r="985" spans="1:10" s="25" customFormat="1" ht="42.75">
      <c r="A985" s="127" t="s">
        <v>799</v>
      </c>
      <c r="B985" s="155"/>
      <c r="C985" s="159" t="s">
        <v>348</v>
      </c>
      <c r="D985" s="155" t="s">
        <v>601</v>
      </c>
      <c r="E985" s="155" t="s">
        <v>800</v>
      </c>
      <c r="F985" s="156"/>
      <c r="G985" s="30">
        <f>SUM(G986)</f>
        <v>10988.5</v>
      </c>
      <c r="H985" s="20">
        <f>SUM(H986)</f>
        <v>6301</v>
      </c>
      <c r="I985" s="20">
        <f t="shared" si="26"/>
        <v>57.34176639213724</v>
      </c>
      <c r="J985" s="250"/>
    </row>
    <row r="986" spans="1:10" s="25" customFormat="1" ht="15">
      <c r="A986" s="106" t="s">
        <v>1032</v>
      </c>
      <c r="B986" s="155"/>
      <c r="C986" s="159" t="s">
        <v>348</v>
      </c>
      <c r="D986" s="155" t="s">
        <v>601</v>
      </c>
      <c r="E986" s="155" t="s">
        <v>800</v>
      </c>
      <c r="F986" s="156" t="s">
        <v>1033</v>
      </c>
      <c r="G986" s="30">
        <v>10988.5</v>
      </c>
      <c r="H986" s="20">
        <v>6301</v>
      </c>
      <c r="I986" s="20">
        <f t="shared" si="26"/>
        <v>57.34176639213724</v>
      </c>
      <c r="J986" s="250">
        <f>SUM('ведомствен.2013'!G859)</f>
        <v>10988.5</v>
      </c>
    </row>
    <row r="987" spans="1:10" s="25" customFormat="1" ht="28.5" hidden="1">
      <c r="A987" s="106" t="s">
        <v>247</v>
      </c>
      <c r="B987" s="155"/>
      <c r="C987" s="159" t="s">
        <v>348</v>
      </c>
      <c r="D987" s="155" t="s">
        <v>601</v>
      </c>
      <c r="E987" s="155" t="s">
        <v>248</v>
      </c>
      <c r="F987" s="156"/>
      <c r="G987" s="30">
        <f>SUM(G988)</f>
        <v>0</v>
      </c>
      <c r="H987" s="20"/>
      <c r="I987" s="20"/>
      <c r="J987" s="250"/>
    </row>
    <row r="988" spans="1:10" s="25" customFormat="1" ht="15" hidden="1">
      <c r="A988" s="106" t="s">
        <v>1032</v>
      </c>
      <c r="B988" s="155"/>
      <c r="C988" s="159" t="s">
        <v>348</v>
      </c>
      <c r="D988" s="155" t="s">
        <v>601</v>
      </c>
      <c r="E988" s="155" t="s">
        <v>248</v>
      </c>
      <c r="F988" s="156" t="s">
        <v>1033</v>
      </c>
      <c r="G988" s="30"/>
      <c r="H988" s="20"/>
      <c r="I988" s="20"/>
      <c r="J988" s="250">
        <f>SUM('ведомствен.2013'!G861)</f>
        <v>0</v>
      </c>
    </row>
    <row r="989" spans="1:10" s="25" customFormat="1" ht="57" customHeight="1" hidden="1">
      <c r="A989" s="106" t="s">
        <v>428</v>
      </c>
      <c r="B989" s="155"/>
      <c r="C989" s="159" t="s">
        <v>348</v>
      </c>
      <c r="D989" s="155" t="s">
        <v>601</v>
      </c>
      <c r="E989" s="155" t="s">
        <v>801</v>
      </c>
      <c r="F989" s="156"/>
      <c r="G989" s="30">
        <f>SUM(G990)</f>
        <v>0</v>
      </c>
      <c r="H989" s="20">
        <f>SUM(H990)</f>
        <v>18786.9</v>
      </c>
      <c r="I989" s="20" t="e">
        <f t="shared" si="26"/>
        <v>#DIV/0!</v>
      </c>
      <c r="J989" s="250"/>
    </row>
    <row r="990" spans="1:10" s="25" customFormat="1" ht="18.75" customHeight="1" hidden="1">
      <c r="A990" s="106" t="s">
        <v>1032</v>
      </c>
      <c r="B990" s="155"/>
      <c r="C990" s="159" t="s">
        <v>348</v>
      </c>
      <c r="D990" s="155" t="s">
        <v>601</v>
      </c>
      <c r="E990" s="155" t="s">
        <v>801</v>
      </c>
      <c r="F990" s="156" t="s">
        <v>1033</v>
      </c>
      <c r="G990" s="30"/>
      <c r="H990" s="20">
        <v>18786.9</v>
      </c>
      <c r="I990" s="20" t="e">
        <f t="shared" si="26"/>
        <v>#DIV/0!</v>
      </c>
      <c r="J990" s="250">
        <f>SUM('ведомствен.2013'!G862)</f>
        <v>0</v>
      </c>
    </row>
    <row r="991" spans="1:10" s="25" customFormat="1" ht="72" customHeight="1" hidden="1">
      <c r="A991" s="106" t="s">
        <v>956</v>
      </c>
      <c r="B991" s="155"/>
      <c r="C991" s="159" t="s">
        <v>348</v>
      </c>
      <c r="D991" s="155" t="s">
        <v>601</v>
      </c>
      <c r="E991" s="155" t="s">
        <v>802</v>
      </c>
      <c r="F991" s="156"/>
      <c r="G991" s="30">
        <f>SUM(G992)</f>
        <v>0</v>
      </c>
      <c r="H991" s="20">
        <f>SUM(H992)</f>
        <v>15760.4</v>
      </c>
      <c r="I991" s="20" t="e">
        <f t="shared" si="26"/>
        <v>#DIV/0!</v>
      </c>
      <c r="J991" s="250"/>
    </row>
    <row r="992" spans="1:10" s="25" customFormat="1" ht="20.25" customHeight="1" hidden="1">
      <c r="A992" s="106" t="s">
        <v>1032</v>
      </c>
      <c r="B992" s="155"/>
      <c r="C992" s="159" t="s">
        <v>348</v>
      </c>
      <c r="D992" s="155" t="s">
        <v>601</v>
      </c>
      <c r="E992" s="155" t="s">
        <v>802</v>
      </c>
      <c r="F992" s="156" t="s">
        <v>1033</v>
      </c>
      <c r="G992" s="30"/>
      <c r="H992" s="20">
        <v>15760.4</v>
      </c>
      <c r="I992" s="20" t="e">
        <f t="shared" si="26"/>
        <v>#DIV/0!</v>
      </c>
      <c r="J992" s="250">
        <f>SUM('ведомствен.2013'!G864)</f>
        <v>0</v>
      </c>
    </row>
    <row r="993" spans="1:10" s="36" customFormat="1" ht="75.75" customHeight="1" hidden="1">
      <c r="A993" s="106" t="s">
        <v>853</v>
      </c>
      <c r="B993" s="155"/>
      <c r="C993" s="159" t="s">
        <v>348</v>
      </c>
      <c r="D993" s="155" t="s">
        <v>601</v>
      </c>
      <c r="E993" s="155" t="s">
        <v>854</v>
      </c>
      <c r="F993" s="156"/>
      <c r="G993" s="30">
        <f>SUM(G994:G995)</f>
        <v>0</v>
      </c>
      <c r="H993" s="20">
        <f>SUM(H994)</f>
        <v>40636.1</v>
      </c>
      <c r="I993" s="20" t="e">
        <f t="shared" si="26"/>
        <v>#DIV/0!</v>
      </c>
      <c r="J993" s="258"/>
    </row>
    <row r="994" spans="1:10" s="36" customFormat="1" ht="21.75" customHeight="1" hidden="1">
      <c r="A994" s="106" t="s">
        <v>1032</v>
      </c>
      <c r="B994" s="155"/>
      <c r="C994" s="159" t="s">
        <v>348</v>
      </c>
      <c r="D994" s="155" t="s">
        <v>601</v>
      </c>
      <c r="E994" s="155" t="s">
        <v>854</v>
      </c>
      <c r="F994" s="156" t="s">
        <v>1033</v>
      </c>
      <c r="G994" s="30"/>
      <c r="H994" s="20">
        <v>40636.1</v>
      </c>
      <c r="I994" s="20" t="e">
        <f t="shared" si="26"/>
        <v>#DIV/0!</v>
      </c>
      <c r="J994" s="250">
        <f>SUM('ведомствен.2013'!G867)</f>
        <v>0</v>
      </c>
    </row>
    <row r="995" spans="1:10" s="36" customFormat="1" ht="21.75" customHeight="1" hidden="1">
      <c r="A995" s="128" t="s">
        <v>598</v>
      </c>
      <c r="B995" s="155"/>
      <c r="C995" s="159" t="s">
        <v>348</v>
      </c>
      <c r="D995" s="155" t="s">
        <v>601</v>
      </c>
      <c r="E995" s="155" t="s">
        <v>854</v>
      </c>
      <c r="F995" s="156" t="s">
        <v>599</v>
      </c>
      <c r="G995" s="30"/>
      <c r="H995" s="20"/>
      <c r="I995" s="20"/>
      <c r="J995" s="250">
        <f>SUM('ведомствен.2013'!G868)</f>
        <v>0</v>
      </c>
    </row>
    <row r="996" spans="1:10" s="25" customFormat="1" ht="44.25" customHeight="1" hidden="1">
      <c r="A996" s="106" t="s">
        <v>855</v>
      </c>
      <c r="B996" s="155"/>
      <c r="C996" s="159" t="s">
        <v>348</v>
      </c>
      <c r="D996" s="155" t="s">
        <v>601</v>
      </c>
      <c r="E996" s="155" t="s">
        <v>856</v>
      </c>
      <c r="F996" s="156"/>
      <c r="G996" s="30">
        <f>SUM(G997)</f>
        <v>0</v>
      </c>
      <c r="H996" s="20">
        <f>SUM(H997)</f>
        <v>191.3</v>
      </c>
      <c r="I996" s="20" t="e">
        <f t="shared" si="26"/>
        <v>#DIV/0!</v>
      </c>
      <c r="J996" s="250"/>
    </row>
    <row r="997" spans="1:10" s="25" customFormat="1" ht="20.25" customHeight="1" hidden="1">
      <c r="A997" s="106" t="s">
        <v>1032</v>
      </c>
      <c r="B997" s="155"/>
      <c r="C997" s="159" t="s">
        <v>348</v>
      </c>
      <c r="D997" s="155" t="s">
        <v>601</v>
      </c>
      <c r="E997" s="155" t="s">
        <v>856</v>
      </c>
      <c r="F997" s="156" t="s">
        <v>1033</v>
      </c>
      <c r="G997" s="30"/>
      <c r="H997" s="20">
        <v>191.3</v>
      </c>
      <c r="I997" s="20" t="e">
        <f t="shared" si="26"/>
        <v>#DIV/0!</v>
      </c>
      <c r="J997" s="250">
        <f>SUM('ведомствен.2013'!G869)</f>
        <v>0</v>
      </c>
    </row>
    <row r="998" spans="1:10" s="25" customFormat="1" ht="60.75" customHeight="1" hidden="1">
      <c r="A998" s="106" t="s">
        <v>857</v>
      </c>
      <c r="B998" s="155"/>
      <c r="C998" s="159" t="s">
        <v>348</v>
      </c>
      <c r="D998" s="155" t="s">
        <v>601</v>
      </c>
      <c r="E998" s="155" t="s">
        <v>858</v>
      </c>
      <c r="F998" s="156"/>
      <c r="G998" s="30">
        <f>SUM(G999:G1000)</f>
        <v>0</v>
      </c>
      <c r="H998" s="20">
        <f>SUM(H1000)</f>
        <v>4180.7</v>
      </c>
      <c r="I998" s="20" t="e">
        <f t="shared" si="26"/>
        <v>#DIV/0!</v>
      </c>
      <c r="J998" s="250"/>
    </row>
    <row r="999" spans="1:10" s="25" customFormat="1" ht="21.75" customHeight="1" hidden="1">
      <c r="A999" s="106" t="s">
        <v>1032</v>
      </c>
      <c r="B999" s="155"/>
      <c r="C999" s="159" t="s">
        <v>348</v>
      </c>
      <c r="D999" s="155" t="s">
        <v>601</v>
      </c>
      <c r="E999" s="155" t="s">
        <v>858</v>
      </c>
      <c r="F999" s="156" t="s">
        <v>1033</v>
      </c>
      <c r="G999" s="30"/>
      <c r="H999" s="20"/>
      <c r="I999" s="20"/>
      <c r="J999" s="250">
        <f>SUM('ведомствен.2013'!G872)</f>
        <v>0</v>
      </c>
    </row>
    <row r="1000" spans="1:10" s="25" customFormat="1" ht="17.25" customHeight="1" hidden="1">
      <c r="A1000" s="128" t="s">
        <v>598</v>
      </c>
      <c r="B1000" s="155"/>
      <c r="C1000" s="159" t="s">
        <v>348</v>
      </c>
      <c r="D1000" s="155" t="s">
        <v>601</v>
      </c>
      <c r="E1000" s="155" t="s">
        <v>858</v>
      </c>
      <c r="F1000" s="156" t="s">
        <v>599</v>
      </c>
      <c r="G1000" s="30"/>
      <c r="H1000" s="20">
        <v>4180.7</v>
      </c>
      <c r="I1000" s="20" t="e">
        <f t="shared" si="26"/>
        <v>#DIV/0!</v>
      </c>
      <c r="J1000" s="250">
        <f>SUM('ведомствен.2013'!G873)</f>
        <v>0</v>
      </c>
    </row>
    <row r="1001" spans="1:10" s="25" customFormat="1" ht="44.25" customHeight="1" hidden="1">
      <c r="A1001" s="106" t="s">
        <v>377</v>
      </c>
      <c r="B1001" s="155"/>
      <c r="C1001" s="159" t="s">
        <v>348</v>
      </c>
      <c r="D1001" s="155" t="s">
        <v>601</v>
      </c>
      <c r="E1001" s="155" t="s">
        <v>859</v>
      </c>
      <c r="F1001" s="156"/>
      <c r="G1001" s="30">
        <f>SUM(G1002)</f>
        <v>0</v>
      </c>
      <c r="H1001" s="20">
        <f>SUM(H1002)</f>
        <v>0</v>
      </c>
      <c r="I1001" s="20" t="e">
        <f t="shared" si="26"/>
        <v>#DIV/0!</v>
      </c>
      <c r="J1001" s="250"/>
    </row>
    <row r="1002" spans="1:10" s="25" customFormat="1" ht="15" hidden="1">
      <c r="A1002" s="106" t="s">
        <v>1032</v>
      </c>
      <c r="B1002" s="155"/>
      <c r="C1002" s="159" t="s">
        <v>348</v>
      </c>
      <c r="D1002" s="155" t="s">
        <v>601</v>
      </c>
      <c r="E1002" s="155" t="s">
        <v>859</v>
      </c>
      <c r="F1002" s="156" t="s">
        <v>1033</v>
      </c>
      <c r="G1002" s="30"/>
      <c r="H1002" s="20"/>
      <c r="I1002" s="20" t="e">
        <f t="shared" si="26"/>
        <v>#DIV/0!</v>
      </c>
      <c r="J1002" s="250"/>
    </row>
    <row r="1003" spans="1:10" s="36" customFormat="1" ht="109.5" customHeight="1" hidden="1">
      <c r="A1003" s="106" t="s">
        <v>860</v>
      </c>
      <c r="B1003" s="155"/>
      <c r="C1003" s="159" t="s">
        <v>348</v>
      </c>
      <c r="D1003" s="155" t="s">
        <v>601</v>
      </c>
      <c r="E1003" s="155" t="s">
        <v>861</v>
      </c>
      <c r="F1003" s="156"/>
      <c r="G1003" s="30">
        <f>SUM(G1004)</f>
        <v>0</v>
      </c>
      <c r="H1003" s="20">
        <f>SUM(H1004)</f>
        <v>0</v>
      </c>
      <c r="I1003" s="20" t="e">
        <f t="shared" si="26"/>
        <v>#DIV/0!</v>
      </c>
      <c r="J1003" s="258"/>
    </row>
    <row r="1004" spans="1:10" s="36" customFormat="1" ht="19.5" customHeight="1" hidden="1">
      <c r="A1004" s="106" t="s">
        <v>1032</v>
      </c>
      <c r="B1004" s="155"/>
      <c r="C1004" s="159" t="s">
        <v>348</v>
      </c>
      <c r="D1004" s="155" t="s">
        <v>601</v>
      </c>
      <c r="E1004" s="155" t="s">
        <v>861</v>
      </c>
      <c r="F1004" s="156" t="s">
        <v>1033</v>
      </c>
      <c r="G1004" s="30"/>
      <c r="H1004" s="20"/>
      <c r="I1004" s="20" t="e">
        <f t="shared" si="26"/>
        <v>#DIV/0!</v>
      </c>
      <c r="J1004" s="258"/>
    </row>
    <row r="1005" spans="1:10" s="25" customFormat="1" ht="15">
      <c r="A1005" s="142" t="s">
        <v>862</v>
      </c>
      <c r="B1005" s="180"/>
      <c r="C1005" s="180" t="s">
        <v>348</v>
      </c>
      <c r="D1005" s="180" t="s">
        <v>601</v>
      </c>
      <c r="E1005" s="180" t="s">
        <v>863</v>
      </c>
      <c r="F1005" s="158"/>
      <c r="G1005" s="30">
        <f>SUM(G1006:G1007)</f>
        <v>13187.1</v>
      </c>
      <c r="H1005" s="20">
        <f>SUM(H1006)</f>
        <v>16724.6</v>
      </c>
      <c r="I1005" s="20">
        <f t="shared" si="26"/>
        <v>126.82545821295052</v>
      </c>
      <c r="J1005" s="250"/>
    </row>
    <row r="1006" spans="1:10" s="25" customFormat="1" ht="13.5" customHeight="1">
      <c r="A1006" s="106" t="s">
        <v>1032</v>
      </c>
      <c r="B1006" s="180"/>
      <c r="C1006" s="180" t="s">
        <v>348</v>
      </c>
      <c r="D1006" s="180" t="s">
        <v>601</v>
      </c>
      <c r="E1006" s="180" t="s">
        <v>863</v>
      </c>
      <c r="F1006" s="158" t="s">
        <v>1033</v>
      </c>
      <c r="G1006" s="30">
        <v>10304.6</v>
      </c>
      <c r="H1006" s="20">
        <v>16724.6</v>
      </c>
      <c r="I1006" s="20">
        <f t="shared" si="26"/>
        <v>162.30227277138363</v>
      </c>
      <c r="J1006" s="250">
        <f>SUM('ведомствен.2013'!G879)</f>
        <v>10304.6</v>
      </c>
    </row>
    <row r="1007" spans="1:10" s="25" customFormat="1" ht="18.75" customHeight="1">
      <c r="A1007" s="106" t="s">
        <v>598</v>
      </c>
      <c r="B1007" s="180"/>
      <c r="C1007" s="180" t="s">
        <v>348</v>
      </c>
      <c r="D1007" s="180" t="s">
        <v>601</v>
      </c>
      <c r="E1007" s="180" t="s">
        <v>863</v>
      </c>
      <c r="F1007" s="158" t="s">
        <v>599</v>
      </c>
      <c r="G1007" s="91">
        <v>2882.5</v>
      </c>
      <c r="H1007" s="20"/>
      <c r="I1007" s="20"/>
      <c r="J1007" s="250">
        <f>SUM('ведомствен.2013'!G880)</f>
        <v>2882.5</v>
      </c>
    </row>
    <row r="1008" spans="1:10" s="25" customFormat="1" ht="33" customHeight="1" hidden="1">
      <c r="A1008" s="106" t="s">
        <v>864</v>
      </c>
      <c r="B1008" s="180"/>
      <c r="C1008" s="180" t="s">
        <v>348</v>
      </c>
      <c r="D1008" s="180" t="s">
        <v>601</v>
      </c>
      <c r="E1008" s="180" t="s">
        <v>865</v>
      </c>
      <c r="F1008" s="158"/>
      <c r="G1008" s="30">
        <f>SUM(G1009)</f>
        <v>0</v>
      </c>
      <c r="H1008" s="20">
        <f>SUM(H1009)</f>
        <v>4118.3</v>
      </c>
      <c r="I1008" s="20" t="e">
        <f t="shared" si="26"/>
        <v>#DIV/0!</v>
      </c>
      <c r="J1008" s="250"/>
    </row>
    <row r="1009" spans="1:10" s="25" customFormat="1" ht="15" hidden="1">
      <c r="A1009" s="106" t="s">
        <v>1032</v>
      </c>
      <c r="B1009" s="180"/>
      <c r="C1009" s="180" t="s">
        <v>348</v>
      </c>
      <c r="D1009" s="180" t="s">
        <v>601</v>
      </c>
      <c r="E1009" s="180" t="s">
        <v>865</v>
      </c>
      <c r="F1009" s="158" t="s">
        <v>1033</v>
      </c>
      <c r="G1009" s="30"/>
      <c r="H1009" s="20">
        <v>4118.3</v>
      </c>
      <c r="I1009" s="20" t="e">
        <f t="shared" si="26"/>
        <v>#DIV/0!</v>
      </c>
      <c r="J1009" s="250">
        <f>SUM('ведомствен.2013'!G881)</f>
        <v>0</v>
      </c>
    </row>
    <row r="1010" spans="1:10" s="25" customFormat="1" ht="57" hidden="1">
      <c r="A1010" s="106" t="s">
        <v>949</v>
      </c>
      <c r="B1010" s="155"/>
      <c r="C1010" s="159" t="s">
        <v>348</v>
      </c>
      <c r="D1010" s="159" t="s">
        <v>601</v>
      </c>
      <c r="E1010" s="155" t="s">
        <v>985</v>
      </c>
      <c r="F1010" s="156"/>
      <c r="G1010" s="30">
        <f>SUM(G1011)</f>
        <v>0</v>
      </c>
      <c r="H1010" s="20">
        <f>SUM(H1011)</f>
        <v>5628.5</v>
      </c>
      <c r="I1010" s="20" t="e">
        <f t="shared" si="26"/>
        <v>#DIV/0!</v>
      </c>
      <c r="J1010" s="250"/>
    </row>
    <row r="1011" spans="1:10" s="25" customFormat="1" ht="57" hidden="1">
      <c r="A1011" s="133" t="s">
        <v>986</v>
      </c>
      <c r="B1011" s="155"/>
      <c r="C1011" s="159" t="s">
        <v>348</v>
      </c>
      <c r="D1011" s="159" t="s">
        <v>601</v>
      </c>
      <c r="E1011" s="155" t="s">
        <v>987</v>
      </c>
      <c r="F1011" s="157"/>
      <c r="G1011" s="30">
        <f>SUM(G1012)</f>
        <v>0</v>
      </c>
      <c r="H1011" s="20">
        <f>SUM(H1012)</f>
        <v>5628.5</v>
      </c>
      <c r="I1011" s="20" t="e">
        <f t="shared" si="26"/>
        <v>#DIV/0!</v>
      </c>
      <c r="J1011" s="250"/>
    </row>
    <row r="1012" spans="1:10" s="25" customFormat="1" ht="15" hidden="1">
      <c r="A1012" s="106" t="s">
        <v>1032</v>
      </c>
      <c r="B1012" s="160"/>
      <c r="C1012" s="159" t="s">
        <v>348</v>
      </c>
      <c r="D1012" s="159" t="s">
        <v>601</v>
      </c>
      <c r="E1012" s="155" t="s">
        <v>987</v>
      </c>
      <c r="F1012" s="161" t="s">
        <v>1033</v>
      </c>
      <c r="G1012" s="225"/>
      <c r="H1012" s="27">
        <v>5628.5</v>
      </c>
      <c r="I1012" s="20" t="e">
        <f t="shared" si="26"/>
        <v>#DIV/0!</v>
      </c>
      <c r="J1012" s="250"/>
    </row>
    <row r="1013" spans="1:10" s="25" customFormat="1" ht="48" customHeight="1">
      <c r="A1013" s="133" t="s">
        <v>988</v>
      </c>
      <c r="B1013" s="155"/>
      <c r="C1013" s="159" t="s">
        <v>348</v>
      </c>
      <c r="D1013" s="159" t="s">
        <v>601</v>
      </c>
      <c r="E1013" s="159" t="s">
        <v>989</v>
      </c>
      <c r="F1013" s="157"/>
      <c r="G1013" s="30">
        <f>SUM(G1014)</f>
        <v>77.1</v>
      </c>
      <c r="H1013" s="20">
        <f>SUM(H1014)</f>
        <v>12.8</v>
      </c>
      <c r="I1013" s="20">
        <f t="shared" si="26"/>
        <v>16.60181582360571</v>
      </c>
      <c r="J1013" s="250"/>
    </row>
    <row r="1014" spans="1:10" s="25" customFormat="1" ht="23.25" customHeight="1">
      <c r="A1014" s="106" t="s">
        <v>1032</v>
      </c>
      <c r="B1014" s="155"/>
      <c r="C1014" s="159" t="s">
        <v>348</v>
      </c>
      <c r="D1014" s="159" t="s">
        <v>601</v>
      </c>
      <c r="E1014" s="159" t="s">
        <v>989</v>
      </c>
      <c r="F1014" s="157" t="s">
        <v>1033</v>
      </c>
      <c r="G1014" s="30">
        <v>77.1</v>
      </c>
      <c r="H1014" s="20">
        <v>12.8</v>
      </c>
      <c r="I1014" s="20">
        <f t="shared" si="26"/>
        <v>16.60181582360571</v>
      </c>
      <c r="J1014" s="250">
        <f>SUM('ведомствен.2013'!G884)</f>
        <v>77.1</v>
      </c>
    </row>
    <row r="1015" spans="1:10" s="25" customFormat="1" ht="28.5">
      <c r="A1015" s="127" t="s">
        <v>990</v>
      </c>
      <c r="B1015" s="155"/>
      <c r="C1015" s="159" t="s">
        <v>348</v>
      </c>
      <c r="D1015" s="159" t="s">
        <v>601</v>
      </c>
      <c r="E1015" s="159" t="s">
        <v>991</v>
      </c>
      <c r="F1015" s="157"/>
      <c r="G1015" s="30">
        <f>SUM(G1016:G1017)</f>
        <v>132188.8</v>
      </c>
      <c r="H1015" s="20">
        <f>SUM(H1016)</f>
        <v>90050.4</v>
      </c>
      <c r="I1015" s="20">
        <f t="shared" si="26"/>
        <v>68.12256409014985</v>
      </c>
      <c r="J1015" s="250"/>
    </row>
    <row r="1016" spans="1:10" s="25" customFormat="1" ht="14.25" customHeight="1">
      <c r="A1016" s="106" t="s">
        <v>1032</v>
      </c>
      <c r="B1016" s="159"/>
      <c r="C1016" s="159" t="s">
        <v>348</v>
      </c>
      <c r="D1016" s="159" t="s">
        <v>601</v>
      </c>
      <c r="E1016" s="159" t="s">
        <v>991</v>
      </c>
      <c r="F1016" s="157" t="s">
        <v>1033</v>
      </c>
      <c r="G1016" s="30">
        <v>132188.8</v>
      </c>
      <c r="H1016" s="20">
        <v>90050.4</v>
      </c>
      <c r="I1016" s="20">
        <f t="shared" si="26"/>
        <v>68.12256409014985</v>
      </c>
      <c r="J1016" s="250">
        <f>SUM('ведомствен.2013'!G886)</f>
        <v>132188.8</v>
      </c>
    </row>
    <row r="1017" spans="1:10" s="25" customFormat="1" ht="15" hidden="1">
      <c r="A1017" s="128" t="s">
        <v>598</v>
      </c>
      <c r="B1017" s="159"/>
      <c r="C1017" s="159" t="s">
        <v>348</v>
      </c>
      <c r="D1017" s="159" t="s">
        <v>601</v>
      </c>
      <c r="E1017" s="159" t="s">
        <v>991</v>
      </c>
      <c r="F1017" s="157" t="s">
        <v>599</v>
      </c>
      <c r="G1017" s="30"/>
      <c r="H1017" s="20"/>
      <c r="I1017" s="20"/>
      <c r="J1017" s="250">
        <f>SUM('ведомствен.2013'!G887)</f>
        <v>0</v>
      </c>
    </row>
    <row r="1018" spans="1:10" s="25" customFormat="1" ht="42.75">
      <c r="A1018" s="106" t="s">
        <v>992</v>
      </c>
      <c r="B1018" s="155"/>
      <c r="C1018" s="159" t="s">
        <v>348</v>
      </c>
      <c r="D1018" s="159" t="s">
        <v>601</v>
      </c>
      <c r="E1018" s="159" t="s">
        <v>993</v>
      </c>
      <c r="F1018" s="157"/>
      <c r="G1018" s="30">
        <f>SUM(G1019)</f>
        <v>70777.8</v>
      </c>
      <c r="H1018" s="20">
        <f>SUM(H1019)</f>
        <v>56493.7</v>
      </c>
      <c r="I1018" s="20">
        <f t="shared" si="26"/>
        <v>79.81838938198135</v>
      </c>
      <c r="J1018" s="250"/>
    </row>
    <row r="1019" spans="1:10" s="25" customFormat="1" ht="15">
      <c r="A1019" s="106" t="s">
        <v>1032</v>
      </c>
      <c r="B1019" s="155"/>
      <c r="C1019" s="159" t="s">
        <v>348</v>
      </c>
      <c r="D1019" s="159" t="s">
        <v>601</v>
      </c>
      <c r="E1019" s="159" t="s">
        <v>993</v>
      </c>
      <c r="F1019" s="157" t="s">
        <v>1033</v>
      </c>
      <c r="G1019" s="30">
        <v>70777.8</v>
      </c>
      <c r="H1019" s="20">
        <v>56493.7</v>
      </c>
      <c r="I1019" s="20">
        <f t="shared" si="26"/>
        <v>79.81838938198135</v>
      </c>
      <c r="J1019" s="250">
        <f>SUM('ведомствен.2013'!G889)</f>
        <v>70777.8</v>
      </c>
    </row>
    <row r="1020" spans="1:10" s="25" customFormat="1" ht="28.5">
      <c r="A1020" s="106" t="s">
        <v>996</v>
      </c>
      <c r="B1020" s="155"/>
      <c r="C1020" s="159" t="s">
        <v>348</v>
      </c>
      <c r="D1020" s="159" t="s">
        <v>601</v>
      </c>
      <c r="E1020" s="159" t="s">
        <v>997</v>
      </c>
      <c r="F1020" s="157"/>
      <c r="G1020" s="30">
        <f>SUM(G1021+G1025+G1027+G1040+G1042+G1035+G1046)+G1023+G1038+G1049+G1051+G1053+G1055+G1057+G1059+G1061</f>
        <v>405817.89999999997</v>
      </c>
      <c r="H1020" s="20">
        <f>SUM(H1021+H1025+H1027+H1040+H1042+H1035+H1046)</f>
        <v>182903.19999999998</v>
      </c>
      <c r="I1020" s="20">
        <f t="shared" si="26"/>
        <v>45.07026427370503</v>
      </c>
      <c r="J1020" s="250"/>
    </row>
    <row r="1021" spans="1:10" s="25" customFormat="1" ht="28.5">
      <c r="A1021" s="133" t="s">
        <v>266</v>
      </c>
      <c r="B1021" s="155"/>
      <c r="C1021" s="159" t="s">
        <v>348</v>
      </c>
      <c r="D1021" s="159" t="s">
        <v>601</v>
      </c>
      <c r="E1021" s="159" t="s">
        <v>169</v>
      </c>
      <c r="F1021" s="157"/>
      <c r="G1021" s="30">
        <f>SUM(G1022)</f>
        <v>51950</v>
      </c>
      <c r="H1021" s="20">
        <f>SUM(H1022)</f>
        <v>37224.7</v>
      </c>
      <c r="I1021" s="20">
        <f t="shared" si="26"/>
        <v>71.6548604427334</v>
      </c>
      <c r="J1021" s="250"/>
    </row>
    <row r="1022" spans="1:10" s="25" customFormat="1" ht="15">
      <c r="A1022" s="106" t="s">
        <v>1032</v>
      </c>
      <c r="B1022" s="155"/>
      <c r="C1022" s="159" t="s">
        <v>348</v>
      </c>
      <c r="D1022" s="159" t="s">
        <v>601</v>
      </c>
      <c r="E1022" s="159" t="s">
        <v>169</v>
      </c>
      <c r="F1022" s="157" t="s">
        <v>1033</v>
      </c>
      <c r="G1022" s="30">
        <v>51950</v>
      </c>
      <c r="H1022" s="20">
        <v>37224.7</v>
      </c>
      <c r="I1022" s="20">
        <f t="shared" si="26"/>
        <v>71.6548604427334</v>
      </c>
      <c r="J1022" s="250">
        <f>SUM('ведомствен.2013'!G894)</f>
        <v>51950</v>
      </c>
    </row>
    <row r="1023" spans="1:10" s="25" customFormat="1" ht="87" customHeight="1">
      <c r="A1023" s="106" t="s">
        <v>267</v>
      </c>
      <c r="B1023" s="155"/>
      <c r="C1023" s="159" t="s">
        <v>348</v>
      </c>
      <c r="D1023" s="155" t="s">
        <v>601</v>
      </c>
      <c r="E1023" s="159" t="s">
        <v>249</v>
      </c>
      <c r="F1023" s="156"/>
      <c r="G1023" s="30">
        <f>SUM(G1024)</f>
        <v>35270.5</v>
      </c>
      <c r="H1023" s="20">
        <f>SUM(H1024)</f>
        <v>0</v>
      </c>
      <c r="I1023" s="20">
        <f t="shared" si="26"/>
        <v>0</v>
      </c>
      <c r="J1023" s="250"/>
    </row>
    <row r="1024" spans="1:10" s="25" customFormat="1" ht="27" customHeight="1">
      <c r="A1024" s="106" t="s">
        <v>1032</v>
      </c>
      <c r="B1024" s="155"/>
      <c r="C1024" s="159" t="s">
        <v>348</v>
      </c>
      <c r="D1024" s="155" t="s">
        <v>601</v>
      </c>
      <c r="E1024" s="159" t="s">
        <v>249</v>
      </c>
      <c r="F1024" s="156" t="s">
        <v>1033</v>
      </c>
      <c r="G1024" s="30">
        <v>35270.5</v>
      </c>
      <c r="H1024" s="20"/>
      <c r="I1024" s="20">
        <f t="shared" si="26"/>
        <v>0</v>
      </c>
      <c r="J1024" s="250">
        <f>SUM('ведомствен.2013'!G896)</f>
        <v>35270.5</v>
      </c>
    </row>
    <row r="1025" spans="1:10" s="25" customFormat="1" ht="72.75" customHeight="1" hidden="1">
      <c r="A1025" s="130" t="s">
        <v>805</v>
      </c>
      <c r="B1025" s="155"/>
      <c r="C1025" s="159" t="s">
        <v>348</v>
      </c>
      <c r="D1025" s="155" t="s">
        <v>601</v>
      </c>
      <c r="E1025" s="159" t="s">
        <v>170</v>
      </c>
      <c r="F1025" s="156"/>
      <c r="G1025" s="30">
        <f>SUM(G1026)</f>
        <v>0</v>
      </c>
      <c r="H1025" s="20">
        <f>SUM(H1026)</f>
        <v>29554</v>
      </c>
      <c r="I1025" s="20" t="e">
        <f t="shared" si="26"/>
        <v>#DIV/0!</v>
      </c>
      <c r="J1025" s="250"/>
    </row>
    <row r="1026" spans="1:10" s="25" customFormat="1" ht="15" hidden="1">
      <c r="A1026" s="106" t="s">
        <v>1032</v>
      </c>
      <c r="B1026" s="155"/>
      <c r="C1026" s="159" t="s">
        <v>348</v>
      </c>
      <c r="D1026" s="155" t="s">
        <v>601</v>
      </c>
      <c r="E1026" s="159" t="s">
        <v>170</v>
      </c>
      <c r="F1026" s="156" t="s">
        <v>1033</v>
      </c>
      <c r="G1026" s="30"/>
      <c r="H1026" s="20">
        <v>29554</v>
      </c>
      <c r="I1026" s="20" t="e">
        <f t="shared" si="26"/>
        <v>#DIV/0!</v>
      </c>
      <c r="J1026" s="250">
        <f>SUM('ведомствен.2013'!G898)</f>
        <v>0</v>
      </c>
    </row>
    <row r="1027" spans="1:10" s="25" customFormat="1" ht="87.75" customHeight="1" hidden="1">
      <c r="A1027" s="130" t="s">
        <v>413</v>
      </c>
      <c r="B1027" s="155"/>
      <c r="C1027" s="159" t="s">
        <v>348</v>
      </c>
      <c r="D1027" s="155" t="s">
        <v>601</v>
      </c>
      <c r="E1027" s="159" t="s">
        <v>171</v>
      </c>
      <c r="F1027" s="156"/>
      <c r="G1027" s="30">
        <f>SUM(G1028)</f>
        <v>0</v>
      </c>
      <c r="H1027" s="20">
        <f>SUM(H1028)</f>
        <v>37911</v>
      </c>
      <c r="I1027" s="20" t="e">
        <f t="shared" si="26"/>
        <v>#DIV/0!</v>
      </c>
      <c r="J1027" s="250"/>
    </row>
    <row r="1028" spans="1:10" s="25" customFormat="1" ht="15" hidden="1">
      <c r="A1028" s="106" t="s">
        <v>1032</v>
      </c>
      <c r="B1028" s="155"/>
      <c r="C1028" s="159" t="s">
        <v>348</v>
      </c>
      <c r="D1028" s="155" t="s">
        <v>601</v>
      </c>
      <c r="E1028" s="159" t="s">
        <v>171</v>
      </c>
      <c r="F1028" s="156" t="s">
        <v>1033</v>
      </c>
      <c r="G1028" s="30"/>
      <c r="H1028" s="20">
        <v>37911</v>
      </c>
      <c r="I1028" s="20" t="e">
        <f t="shared" si="26"/>
        <v>#DIV/0!</v>
      </c>
      <c r="J1028" s="250">
        <f>SUM('ведомствен.2013'!G900)</f>
        <v>0</v>
      </c>
    </row>
    <row r="1029" spans="1:10" s="25" customFormat="1" ht="71.25" customHeight="1" hidden="1">
      <c r="A1029" s="106" t="s">
        <v>414</v>
      </c>
      <c r="B1029" s="155"/>
      <c r="C1029" s="159" t="s">
        <v>348</v>
      </c>
      <c r="D1029" s="155" t="s">
        <v>601</v>
      </c>
      <c r="E1029" s="159" t="s">
        <v>170</v>
      </c>
      <c r="F1029" s="156"/>
      <c r="G1029" s="30">
        <f>SUM(G1030)</f>
        <v>0</v>
      </c>
      <c r="H1029" s="20">
        <f>SUM(H1030)</f>
        <v>0</v>
      </c>
      <c r="I1029" s="20" t="e">
        <f t="shared" si="26"/>
        <v>#DIV/0!</v>
      </c>
      <c r="J1029" s="250"/>
    </row>
    <row r="1030" spans="1:10" s="25" customFormat="1" ht="15" customHeight="1" hidden="1">
      <c r="A1030" s="106" t="s">
        <v>1032</v>
      </c>
      <c r="B1030" s="155"/>
      <c r="C1030" s="159" t="s">
        <v>348</v>
      </c>
      <c r="D1030" s="155" t="s">
        <v>601</v>
      </c>
      <c r="E1030" s="159" t="s">
        <v>170</v>
      </c>
      <c r="F1030" s="156" t="s">
        <v>1033</v>
      </c>
      <c r="G1030" s="30"/>
      <c r="H1030" s="20"/>
      <c r="I1030" s="20" t="e">
        <f t="shared" si="26"/>
        <v>#DIV/0!</v>
      </c>
      <c r="J1030" s="250"/>
    </row>
    <row r="1031" spans="1:10" s="25" customFormat="1" ht="85.5" customHeight="1" hidden="1">
      <c r="A1031" s="106" t="s">
        <v>415</v>
      </c>
      <c r="B1031" s="155"/>
      <c r="C1031" s="159" t="s">
        <v>348</v>
      </c>
      <c r="D1031" s="155" t="s">
        <v>601</v>
      </c>
      <c r="E1031" s="159" t="s">
        <v>171</v>
      </c>
      <c r="F1031" s="156"/>
      <c r="G1031" s="30">
        <f>SUM(G1032)</f>
        <v>0</v>
      </c>
      <c r="H1031" s="20">
        <f>SUM(H1032)</f>
        <v>0</v>
      </c>
      <c r="I1031" s="20" t="e">
        <f t="shared" si="26"/>
        <v>#DIV/0!</v>
      </c>
      <c r="J1031" s="250"/>
    </row>
    <row r="1032" spans="1:10" s="25" customFormat="1" ht="15" customHeight="1" hidden="1">
      <c r="A1032" s="106" t="s">
        <v>1032</v>
      </c>
      <c r="B1032" s="155"/>
      <c r="C1032" s="159" t="s">
        <v>348</v>
      </c>
      <c r="D1032" s="155" t="s">
        <v>601</v>
      </c>
      <c r="E1032" s="159" t="s">
        <v>171</v>
      </c>
      <c r="F1032" s="156" t="s">
        <v>1033</v>
      </c>
      <c r="G1032" s="30"/>
      <c r="H1032" s="20"/>
      <c r="I1032" s="20" t="e">
        <f t="shared" si="26"/>
        <v>#DIV/0!</v>
      </c>
      <c r="J1032" s="250"/>
    </row>
    <row r="1033" spans="1:10" s="25" customFormat="1" ht="57" customHeight="1" hidden="1">
      <c r="A1033" s="133" t="s">
        <v>172</v>
      </c>
      <c r="B1033" s="155"/>
      <c r="C1033" s="159" t="s">
        <v>348</v>
      </c>
      <c r="D1033" s="159" t="s">
        <v>601</v>
      </c>
      <c r="E1033" s="159" t="s">
        <v>173</v>
      </c>
      <c r="F1033" s="157"/>
      <c r="G1033" s="30">
        <f>SUM(G1034)</f>
        <v>0</v>
      </c>
      <c r="H1033" s="20">
        <f>SUM(H1034)</f>
        <v>0</v>
      </c>
      <c r="I1033" s="20" t="e">
        <f t="shared" si="26"/>
        <v>#DIV/0!</v>
      </c>
      <c r="J1033" s="250"/>
    </row>
    <row r="1034" spans="1:10" s="25" customFormat="1" ht="15" customHeight="1" hidden="1">
      <c r="A1034" s="106" t="s">
        <v>1032</v>
      </c>
      <c r="B1034" s="155"/>
      <c r="C1034" s="159" t="s">
        <v>348</v>
      </c>
      <c r="D1034" s="159" t="s">
        <v>601</v>
      </c>
      <c r="E1034" s="159" t="s">
        <v>173</v>
      </c>
      <c r="F1034" s="157" t="s">
        <v>1033</v>
      </c>
      <c r="G1034" s="30"/>
      <c r="H1034" s="20"/>
      <c r="I1034" s="20" t="e">
        <f t="shared" si="26"/>
        <v>#DIV/0!</v>
      </c>
      <c r="J1034" s="250"/>
    </row>
    <row r="1035" spans="1:9" ht="93" customHeight="1">
      <c r="A1035" s="106" t="s">
        <v>288</v>
      </c>
      <c r="B1035" s="155"/>
      <c r="C1035" s="159" t="s">
        <v>348</v>
      </c>
      <c r="D1035" s="159" t="s">
        <v>601</v>
      </c>
      <c r="E1035" s="159" t="s">
        <v>177</v>
      </c>
      <c r="F1035" s="157"/>
      <c r="G1035" s="30">
        <f>SUM(G1036:G1037)</f>
        <v>163216.8</v>
      </c>
      <c r="H1035" s="20">
        <f>SUM(H1036)</f>
        <v>70381.4</v>
      </c>
      <c r="I1035" s="20">
        <f t="shared" si="26"/>
        <v>43.12141887354733</v>
      </c>
    </row>
    <row r="1036" spans="1:10" ht="15">
      <c r="A1036" s="106" t="s">
        <v>1032</v>
      </c>
      <c r="B1036" s="155"/>
      <c r="C1036" s="159" t="s">
        <v>348</v>
      </c>
      <c r="D1036" s="155" t="s">
        <v>601</v>
      </c>
      <c r="E1036" s="159" t="s">
        <v>177</v>
      </c>
      <c r="F1036" s="156" t="s">
        <v>1033</v>
      </c>
      <c r="G1036" s="30">
        <v>163216.8</v>
      </c>
      <c r="H1036" s="20">
        <v>70381.4</v>
      </c>
      <c r="I1036" s="20">
        <f t="shared" si="26"/>
        <v>43.12141887354733</v>
      </c>
      <c r="J1036" s="250">
        <f>SUM('ведомствен.2013'!G908)</f>
        <v>163216.8</v>
      </c>
    </row>
    <row r="1037" spans="1:10" ht="15" hidden="1">
      <c r="A1037" s="128" t="s">
        <v>598</v>
      </c>
      <c r="B1037" s="155"/>
      <c r="C1037" s="159" t="s">
        <v>348</v>
      </c>
      <c r="D1037" s="155" t="s">
        <v>601</v>
      </c>
      <c r="E1037" s="159" t="s">
        <v>177</v>
      </c>
      <c r="F1037" s="156" t="s">
        <v>599</v>
      </c>
      <c r="G1037" s="30"/>
      <c r="H1037" s="20"/>
      <c r="I1037" s="20"/>
      <c r="J1037" s="250">
        <f>SUM('ведомствен.2013'!G909)</f>
        <v>0</v>
      </c>
    </row>
    <row r="1038" spans="1:10" ht="99.75">
      <c r="A1038" s="128" t="s">
        <v>268</v>
      </c>
      <c r="B1038" s="155"/>
      <c r="C1038" s="159" t="s">
        <v>348</v>
      </c>
      <c r="D1038" s="159" t="s">
        <v>601</v>
      </c>
      <c r="E1038" s="159" t="s">
        <v>250</v>
      </c>
      <c r="F1038" s="156"/>
      <c r="G1038" s="30">
        <f>SUM(G1039)</f>
        <v>1190.3</v>
      </c>
      <c r="H1038" s="20"/>
      <c r="I1038" s="20"/>
      <c r="J1038" s="250"/>
    </row>
    <row r="1039" spans="1:10" ht="15">
      <c r="A1039" s="106" t="s">
        <v>1032</v>
      </c>
      <c r="B1039" s="155"/>
      <c r="C1039" s="159" t="s">
        <v>348</v>
      </c>
      <c r="D1039" s="159" t="s">
        <v>601</v>
      </c>
      <c r="E1039" s="159" t="s">
        <v>250</v>
      </c>
      <c r="F1039" s="156" t="s">
        <v>1033</v>
      </c>
      <c r="G1039" s="30">
        <v>1190.3</v>
      </c>
      <c r="H1039" s="20"/>
      <c r="I1039" s="20"/>
      <c r="J1039" s="250">
        <f>SUM('ведомствен.2013'!G910)</f>
        <v>1190.3</v>
      </c>
    </row>
    <row r="1040" spans="1:10" s="25" customFormat="1" ht="85.5" hidden="1">
      <c r="A1040" s="133" t="s">
        <v>1013</v>
      </c>
      <c r="B1040" s="155"/>
      <c r="C1040" s="159" t="s">
        <v>348</v>
      </c>
      <c r="D1040" s="159" t="s">
        <v>601</v>
      </c>
      <c r="E1040" s="159" t="s">
        <v>178</v>
      </c>
      <c r="F1040" s="157"/>
      <c r="G1040" s="30">
        <f>SUM(G1041)</f>
        <v>0</v>
      </c>
      <c r="H1040" s="20">
        <f>SUM(H1041)</f>
        <v>1365.8</v>
      </c>
      <c r="I1040" s="20" t="e">
        <f t="shared" si="26"/>
        <v>#DIV/0!</v>
      </c>
      <c r="J1040" s="250"/>
    </row>
    <row r="1041" spans="1:10" s="25" customFormat="1" ht="15" hidden="1">
      <c r="A1041" s="106" t="s">
        <v>1032</v>
      </c>
      <c r="B1041" s="155"/>
      <c r="C1041" s="159" t="s">
        <v>348</v>
      </c>
      <c r="D1041" s="159" t="s">
        <v>601</v>
      </c>
      <c r="E1041" s="159" t="s">
        <v>178</v>
      </c>
      <c r="F1041" s="157" t="s">
        <v>1033</v>
      </c>
      <c r="G1041" s="30"/>
      <c r="H1041" s="20">
        <v>1365.8</v>
      </c>
      <c r="I1041" s="20" t="e">
        <f t="shared" si="26"/>
        <v>#DIV/0!</v>
      </c>
      <c r="J1041" s="250">
        <f>SUM('ведомствен.2013'!G913)</f>
        <v>0</v>
      </c>
    </row>
    <row r="1042" spans="1:10" s="25" customFormat="1" ht="87.75" customHeight="1" hidden="1">
      <c r="A1042" s="133" t="s">
        <v>1013</v>
      </c>
      <c r="B1042" s="155"/>
      <c r="C1042" s="159" t="s">
        <v>348</v>
      </c>
      <c r="D1042" s="159" t="s">
        <v>601</v>
      </c>
      <c r="E1042" s="159" t="s">
        <v>179</v>
      </c>
      <c r="F1042" s="157"/>
      <c r="G1042" s="30">
        <f>SUM(G1043)</f>
        <v>0</v>
      </c>
      <c r="H1042" s="20">
        <f>SUM(H1043)</f>
        <v>1324.9</v>
      </c>
      <c r="I1042" s="20" t="e">
        <f t="shared" si="26"/>
        <v>#DIV/0!</v>
      </c>
      <c r="J1042" s="250"/>
    </row>
    <row r="1043" spans="1:10" s="25" customFormat="1" ht="13.5" customHeight="1" hidden="1">
      <c r="A1043" s="106" t="s">
        <v>1032</v>
      </c>
      <c r="B1043" s="155"/>
      <c r="C1043" s="159" t="s">
        <v>348</v>
      </c>
      <c r="D1043" s="159" t="s">
        <v>601</v>
      </c>
      <c r="E1043" s="159" t="s">
        <v>179</v>
      </c>
      <c r="F1043" s="157" t="s">
        <v>1033</v>
      </c>
      <c r="G1043" s="30"/>
      <c r="H1043" s="20">
        <v>1324.9</v>
      </c>
      <c r="I1043" s="20" t="e">
        <f t="shared" si="26"/>
        <v>#DIV/0!</v>
      </c>
      <c r="J1043" s="250">
        <f>SUM('ведомствен.2013'!G915)</f>
        <v>0</v>
      </c>
    </row>
    <row r="1044" spans="1:10" s="25" customFormat="1" ht="24" customHeight="1" hidden="1">
      <c r="A1044" s="105" t="s">
        <v>864</v>
      </c>
      <c r="B1044" s="159"/>
      <c r="C1044" s="159" t="s">
        <v>348</v>
      </c>
      <c r="D1044" s="159" t="s">
        <v>601</v>
      </c>
      <c r="E1044" s="159" t="s">
        <v>180</v>
      </c>
      <c r="F1044" s="157"/>
      <c r="G1044" s="30">
        <f>SUM(G1045)</f>
        <v>0</v>
      </c>
      <c r="H1044" s="20">
        <f>SUM(H1045)</f>
        <v>0</v>
      </c>
      <c r="I1044" s="20" t="e">
        <f t="shared" si="26"/>
        <v>#DIV/0!</v>
      </c>
      <c r="J1044" s="250"/>
    </row>
    <row r="1045" spans="1:10" s="25" customFormat="1" ht="30.75" customHeight="1" hidden="1">
      <c r="A1045" s="105" t="s">
        <v>1032</v>
      </c>
      <c r="B1045" s="159"/>
      <c r="C1045" s="159" t="s">
        <v>348</v>
      </c>
      <c r="D1045" s="159" t="s">
        <v>601</v>
      </c>
      <c r="E1045" s="159" t="s">
        <v>180</v>
      </c>
      <c r="F1045" s="157" t="s">
        <v>1033</v>
      </c>
      <c r="G1045" s="30"/>
      <c r="H1045" s="20"/>
      <c r="I1045" s="20" t="e">
        <f t="shared" si="26"/>
        <v>#DIV/0!</v>
      </c>
      <c r="J1045" s="250"/>
    </row>
    <row r="1046" spans="1:9" ht="114" customHeight="1">
      <c r="A1046" s="105" t="s">
        <v>269</v>
      </c>
      <c r="B1046" s="159"/>
      <c r="C1046" s="159" t="s">
        <v>348</v>
      </c>
      <c r="D1046" s="159" t="s">
        <v>601</v>
      </c>
      <c r="E1046" s="159" t="s">
        <v>762</v>
      </c>
      <c r="F1046" s="157"/>
      <c r="G1046" s="30">
        <f>SUM(G1047:G1048)</f>
        <v>9000.5</v>
      </c>
      <c r="H1046" s="20">
        <f>SUM(H1047)</f>
        <v>5141.4</v>
      </c>
      <c r="I1046" s="20">
        <f t="shared" si="26"/>
        <v>57.12349313927003</v>
      </c>
    </row>
    <row r="1047" spans="1:10" ht="18" customHeight="1">
      <c r="A1047" s="106" t="s">
        <v>1032</v>
      </c>
      <c r="B1047" s="155"/>
      <c r="C1047" s="159" t="s">
        <v>348</v>
      </c>
      <c r="D1047" s="155" t="s">
        <v>601</v>
      </c>
      <c r="E1047" s="159" t="s">
        <v>762</v>
      </c>
      <c r="F1047" s="156" t="s">
        <v>1033</v>
      </c>
      <c r="G1047" s="30">
        <v>9000.5</v>
      </c>
      <c r="H1047" s="20">
        <v>5141.4</v>
      </c>
      <c r="I1047" s="20">
        <f t="shared" si="26"/>
        <v>57.12349313927003</v>
      </c>
      <c r="J1047" s="250">
        <f>SUM('ведомствен.2013'!G919)</f>
        <v>9000.5</v>
      </c>
    </row>
    <row r="1048" spans="1:10" ht="18" customHeight="1" hidden="1">
      <c r="A1048" s="128" t="s">
        <v>598</v>
      </c>
      <c r="B1048" s="155"/>
      <c r="C1048" s="159" t="s">
        <v>348</v>
      </c>
      <c r="D1048" s="155" t="s">
        <v>601</v>
      </c>
      <c r="E1048" s="159" t="s">
        <v>762</v>
      </c>
      <c r="F1048" s="156" t="s">
        <v>599</v>
      </c>
      <c r="G1048" s="30"/>
      <c r="H1048" s="20"/>
      <c r="I1048" s="20"/>
      <c r="J1048" s="250">
        <f>SUM('ведомствен.2013'!G920)</f>
        <v>0</v>
      </c>
    </row>
    <row r="1049" spans="1:10" ht="66" customHeight="1">
      <c r="A1049" s="108" t="s">
        <v>270</v>
      </c>
      <c r="B1049" s="180"/>
      <c r="C1049" s="180" t="s">
        <v>348</v>
      </c>
      <c r="D1049" s="180" t="s">
        <v>601</v>
      </c>
      <c r="E1049" s="180" t="s">
        <v>271</v>
      </c>
      <c r="F1049" s="158"/>
      <c r="G1049" s="230">
        <f>SUM(G1050)</f>
        <v>126473.1</v>
      </c>
      <c r="H1049" s="20"/>
      <c r="I1049" s="20"/>
      <c r="J1049" s="250"/>
    </row>
    <row r="1050" spans="1:10" ht="18" customHeight="1">
      <c r="A1050" s="108" t="s">
        <v>1032</v>
      </c>
      <c r="B1050" s="180"/>
      <c r="C1050" s="180" t="s">
        <v>348</v>
      </c>
      <c r="D1050" s="180" t="s">
        <v>601</v>
      </c>
      <c r="E1050" s="180" t="s">
        <v>271</v>
      </c>
      <c r="F1050" s="158" t="s">
        <v>1033</v>
      </c>
      <c r="G1050" s="230">
        <v>126473.1</v>
      </c>
      <c r="H1050" s="20"/>
      <c r="I1050" s="20"/>
      <c r="J1050" s="250">
        <f>SUM('ведомствен.2013'!G922)</f>
        <v>126473.1</v>
      </c>
    </row>
    <row r="1051" spans="1:10" ht="93.75" customHeight="1">
      <c r="A1051" s="108" t="s">
        <v>272</v>
      </c>
      <c r="B1051" s="180"/>
      <c r="C1051" s="180" t="s">
        <v>348</v>
      </c>
      <c r="D1051" s="180" t="s">
        <v>601</v>
      </c>
      <c r="E1051" s="180" t="s">
        <v>273</v>
      </c>
      <c r="F1051" s="158"/>
      <c r="G1051" s="230">
        <f>SUM(G1052)</f>
        <v>690.8</v>
      </c>
      <c r="H1051" s="20"/>
      <c r="I1051" s="20"/>
      <c r="J1051" s="250"/>
    </row>
    <row r="1052" spans="1:10" ht="18" customHeight="1">
      <c r="A1052" s="108" t="s">
        <v>1032</v>
      </c>
      <c r="B1052" s="180"/>
      <c r="C1052" s="180" t="s">
        <v>348</v>
      </c>
      <c r="D1052" s="180" t="s">
        <v>601</v>
      </c>
      <c r="E1052" s="180" t="s">
        <v>273</v>
      </c>
      <c r="F1052" s="158" t="s">
        <v>1033</v>
      </c>
      <c r="G1052" s="230">
        <v>690.8</v>
      </c>
      <c r="H1052" s="20"/>
      <c r="I1052" s="20"/>
      <c r="J1052" s="250">
        <f>SUM('ведомствен.2013'!G924)</f>
        <v>690.8</v>
      </c>
    </row>
    <row r="1053" spans="1:10" ht="79.5" customHeight="1">
      <c r="A1053" s="108" t="s">
        <v>274</v>
      </c>
      <c r="B1053" s="180"/>
      <c r="C1053" s="180" t="s">
        <v>348</v>
      </c>
      <c r="D1053" s="180" t="s">
        <v>601</v>
      </c>
      <c r="E1053" s="180" t="s">
        <v>275</v>
      </c>
      <c r="F1053" s="158"/>
      <c r="G1053" s="230">
        <f>SUM(G1054)</f>
        <v>452.7</v>
      </c>
      <c r="H1053" s="20"/>
      <c r="I1053" s="20"/>
      <c r="J1053" s="250"/>
    </row>
    <row r="1054" spans="1:10" ht="18" customHeight="1">
      <c r="A1054" s="108" t="s">
        <v>1032</v>
      </c>
      <c r="B1054" s="180"/>
      <c r="C1054" s="180" t="s">
        <v>348</v>
      </c>
      <c r="D1054" s="180" t="s">
        <v>601</v>
      </c>
      <c r="E1054" s="180" t="s">
        <v>275</v>
      </c>
      <c r="F1054" s="158" t="s">
        <v>1033</v>
      </c>
      <c r="G1054" s="230">
        <v>452.7</v>
      </c>
      <c r="H1054" s="20"/>
      <c r="I1054" s="20"/>
      <c r="J1054" s="250">
        <f>SUM('ведомствен.2013'!G926)</f>
        <v>452.7</v>
      </c>
    </row>
    <row r="1055" spans="1:10" ht="68.25" customHeight="1">
      <c r="A1055" s="108" t="s">
        <v>276</v>
      </c>
      <c r="B1055" s="180"/>
      <c r="C1055" s="180" t="s">
        <v>348</v>
      </c>
      <c r="D1055" s="180" t="s">
        <v>601</v>
      </c>
      <c r="E1055" s="180" t="s">
        <v>277</v>
      </c>
      <c r="F1055" s="158"/>
      <c r="G1055" s="230">
        <f>SUM(G1056)</f>
        <v>5746</v>
      </c>
      <c r="H1055" s="20"/>
      <c r="I1055" s="20"/>
      <c r="J1055" s="250"/>
    </row>
    <row r="1056" spans="1:10" ht="18" customHeight="1">
      <c r="A1056" s="108" t="s">
        <v>1032</v>
      </c>
      <c r="B1056" s="180"/>
      <c r="C1056" s="180" t="s">
        <v>348</v>
      </c>
      <c r="D1056" s="180" t="s">
        <v>601</v>
      </c>
      <c r="E1056" s="180" t="s">
        <v>277</v>
      </c>
      <c r="F1056" s="158" t="s">
        <v>1033</v>
      </c>
      <c r="G1056" s="230">
        <v>5746</v>
      </c>
      <c r="H1056" s="20"/>
      <c r="I1056" s="20"/>
      <c r="J1056" s="250">
        <f>SUM('ведомствен.2013'!G928)</f>
        <v>5746</v>
      </c>
    </row>
    <row r="1057" spans="1:10" ht="41.25" customHeight="1">
      <c r="A1057" s="108" t="s">
        <v>278</v>
      </c>
      <c r="B1057" s="180"/>
      <c r="C1057" s="180" t="s">
        <v>348</v>
      </c>
      <c r="D1057" s="180" t="s">
        <v>601</v>
      </c>
      <c r="E1057" s="180" t="s">
        <v>279</v>
      </c>
      <c r="F1057" s="158"/>
      <c r="G1057" s="230">
        <f>SUM(G1058)</f>
        <v>5357.2</v>
      </c>
      <c r="H1057" s="20"/>
      <c r="I1057" s="20"/>
      <c r="J1057" s="250"/>
    </row>
    <row r="1058" spans="1:10" ht="18" customHeight="1">
      <c r="A1058" s="108" t="s">
        <v>1032</v>
      </c>
      <c r="B1058" s="180"/>
      <c r="C1058" s="180" t="s">
        <v>348</v>
      </c>
      <c r="D1058" s="180" t="s">
        <v>601</v>
      </c>
      <c r="E1058" s="180" t="s">
        <v>279</v>
      </c>
      <c r="F1058" s="158" t="s">
        <v>1033</v>
      </c>
      <c r="G1058" s="230">
        <v>5357.2</v>
      </c>
      <c r="H1058" s="20"/>
      <c r="I1058" s="20"/>
      <c r="J1058" s="250">
        <f>SUM('ведомствен.2013'!G930)</f>
        <v>5357.2</v>
      </c>
    </row>
    <row r="1059" spans="1:10" ht="57" customHeight="1">
      <c r="A1059" s="190" t="s">
        <v>280</v>
      </c>
      <c r="B1059" s="180"/>
      <c r="C1059" s="180" t="s">
        <v>348</v>
      </c>
      <c r="D1059" s="180" t="s">
        <v>601</v>
      </c>
      <c r="E1059" s="180" t="s">
        <v>281</v>
      </c>
      <c r="F1059" s="158"/>
      <c r="G1059" s="230">
        <f>SUM(G1060)</f>
        <v>2046.2</v>
      </c>
      <c r="H1059" s="20"/>
      <c r="I1059" s="20"/>
      <c r="J1059" s="250"/>
    </row>
    <row r="1060" spans="1:10" ht="18" customHeight="1">
      <c r="A1060" s="108" t="s">
        <v>1032</v>
      </c>
      <c r="B1060" s="180"/>
      <c r="C1060" s="180" t="s">
        <v>348</v>
      </c>
      <c r="D1060" s="180" t="s">
        <v>601</v>
      </c>
      <c r="E1060" s="180" t="s">
        <v>281</v>
      </c>
      <c r="F1060" s="158" t="s">
        <v>1033</v>
      </c>
      <c r="G1060" s="230">
        <v>2046.2</v>
      </c>
      <c r="H1060" s="20"/>
      <c r="I1060" s="20"/>
      <c r="J1060" s="250">
        <f>SUM('ведомствен.2013'!G932)</f>
        <v>2046.2</v>
      </c>
    </row>
    <row r="1061" spans="1:9" ht="45" customHeight="1">
      <c r="A1061" s="108" t="s">
        <v>282</v>
      </c>
      <c r="B1061" s="180"/>
      <c r="C1061" s="180" t="s">
        <v>348</v>
      </c>
      <c r="D1061" s="180" t="s">
        <v>601</v>
      </c>
      <c r="E1061" s="180" t="s">
        <v>283</v>
      </c>
      <c r="F1061" s="158"/>
      <c r="G1061" s="230">
        <f>SUM(G1062)</f>
        <v>4423.8</v>
      </c>
      <c r="H1061" s="20"/>
      <c r="I1061" s="20"/>
    </row>
    <row r="1062" spans="1:10" ht="18" customHeight="1">
      <c r="A1062" s="108" t="s">
        <v>1032</v>
      </c>
      <c r="B1062" s="180"/>
      <c r="C1062" s="180" t="s">
        <v>348</v>
      </c>
      <c r="D1062" s="180" t="s">
        <v>601</v>
      </c>
      <c r="E1062" s="180" t="s">
        <v>283</v>
      </c>
      <c r="F1062" s="158" t="s">
        <v>1033</v>
      </c>
      <c r="G1062" s="230">
        <v>4423.8</v>
      </c>
      <c r="H1062" s="20"/>
      <c r="I1062" s="20"/>
      <c r="J1062" s="250">
        <f>SUM('ведомствен.2013'!G934)</f>
        <v>4423.8</v>
      </c>
    </row>
    <row r="1063" spans="1:9" ht="18" customHeight="1">
      <c r="A1063" s="106" t="s">
        <v>763</v>
      </c>
      <c r="B1063" s="155"/>
      <c r="C1063" s="159" t="s">
        <v>348</v>
      </c>
      <c r="D1063" s="159" t="s">
        <v>601</v>
      </c>
      <c r="E1063" s="159" t="s">
        <v>764</v>
      </c>
      <c r="F1063" s="157"/>
      <c r="G1063" s="30">
        <f>SUM(G1064)</f>
        <v>5040</v>
      </c>
      <c r="H1063" s="20">
        <f>SUM(H1064)</f>
        <v>2256.4</v>
      </c>
      <c r="I1063" s="20">
        <f t="shared" si="26"/>
        <v>44.76984126984127</v>
      </c>
    </row>
    <row r="1064" spans="1:10" ht="18" customHeight="1">
      <c r="A1064" s="106" t="s">
        <v>1032</v>
      </c>
      <c r="B1064" s="155"/>
      <c r="C1064" s="159" t="s">
        <v>348</v>
      </c>
      <c r="D1064" s="159" t="s">
        <v>601</v>
      </c>
      <c r="E1064" s="159" t="s">
        <v>764</v>
      </c>
      <c r="F1064" s="157" t="s">
        <v>1033</v>
      </c>
      <c r="G1064" s="30">
        <v>5040</v>
      </c>
      <c r="H1064" s="20">
        <v>2256.4</v>
      </c>
      <c r="I1064" s="20">
        <f t="shared" si="26"/>
        <v>44.76984126984127</v>
      </c>
      <c r="J1064" s="250">
        <f>SUM('ведомствен.2013'!G1428)</f>
        <v>5040</v>
      </c>
    </row>
    <row r="1065" spans="1:9" ht="30.75" customHeight="1">
      <c r="A1065" s="106" t="s">
        <v>765</v>
      </c>
      <c r="B1065" s="155"/>
      <c r="C1065" s="159" t="s">
        <v>348</v>
      </c>
      <c r="D1065" s="155" t="s">
        <v>601</v>
      </c>
      <c r="E1065" s="155" t="s">
        <v>766</v>
      </c>
      <c r="F1065" s="157"/>
      <c r="G1065" s="30">
        <f>SUM(G1066)</f>
        <v>2073.4</v>
      </c>
      <c r="H1065" s="20">
        <f>SUM(H1066)</f>
        <v>927.6</v>
      </c>
      <c r="I1065" s="20">
        <f t="shared" si="26"/>
        <v>44.73811131474872</v>
      </c>
    </row>
    <row r="1066" spans="1:9" ht="15">
      <c r="A1066" s="105" t="s">
        <v>767</v>
      </c>
      <c r="B1066" s="155"/>
      <c r="C1066" s="159" t="s">
        <v>348</v>
      </c>
      <c r="D1066" s="155" t="s">
        <v>601</v>
      </c>
      <c r="E1066" s="155" t="s">
        <v>768</v>
      </c>
      <c r="F1066" s="157"/>
      <c r="G1066" s="30">
        <f>SUM(G1067:G1067)</f>
        <v>2073.4</v>
      </c>
      <c r="H1066" s="20">
        <f>SUM(H1067:H1067)</f>
        <v>927.6</v>
      </c>
      <c r="I1066" s="20">
        <f t="shared" si="26"/>
        <v>44.73811131474872</v>
      </c>
    </row>
    <row r="1067" spans="1:10" ht="13.5" customHeight="1">
      <c r="A1067" s="106" t="s">
        <v>1032</v>
      </c>
      <c r="B1067" s="155"/>
      <c r="C1067" s="159" t="s">
        <v>348</v>
      </c>
      <c r="D1067" s="155" t="s">
        <v>601</v>
      </c>
      <c r="E1067" s="155" t="s">
        <v>768</v>
      </c>
      <c r="F1067" s="157" t="s">
        <v>1033</v>
      </c>
      <c r="G1067" s="30">
        <v>2073.4</v>
      </c>
      <c r="H1067" s="20">
        <v>927.6</v>
      </c>
      <c r="I1067" s="20">
        <f aca="true" t="shared" si="27" ref="I1067:I1122">SUM(H1067/G1067*100)</f>
        <v>44.73811131474872</v>
      </c>
      <c r="J1067" s="250">
        <f>SUM('ведомствен.2013'!G937)</f>
        <v>2073.4</v>
      </c>
    </row>
    <row r="1068" spans="1:10" s="33" customFormat="1" ht="15">
      <c r="A1068" s="106" t="s">
        <v>340</v>
      </c>
      <c r="B1068" s="120"/>
      <c r="C1068" s="159" t="s">
        <v>348</v>
      </c>
      <c r="D1068" s="159" t="s">
        <v>601</v>
      </c>
      <c r="E1068" s="159" t="s">
        <v>341</v>
      </c>
      <c r="F1068" s="161"/>
      <c r="G1068" s="225">
        <f>SUM(G1069)</f>
        <v>437.7</v>
      </c>
      <c r="H1068" s="27">
        <f>SUM(H1069)</f>
        <v>1957.2</v>
      </c>
      <c r="I1068" s="20">
        <f t="shared" si="27"/>
        <v>447.15558601782044</v>
      </c>
      <c r="J1068" s="257"/>
    </row>
    <row r="1069" spans="1:10" s="33" customFormat="1" ht="57">
      <c r="A1069" s="106" t="s">
        <v>769</v>
      </c>
      <c r="B1069" s="160"/>
      <c r="C1069" s="159" t="s">
        <v>348</v>
      </c>
      <c r="D1069" s="159" t="s">
        <v>601</v>
      </c>
      <c r="E1069" s="159" t="s">
        <v>226</v>
      </c>
      <c r="F1069" s="161"/>
      <c r="G1069" s="225">
        <f>SUM(G1070)+G1073</f>
        <v>437.7</v>
      </c>
      <c r="H1069" s="27">
        <f>SUM(H1070)+H1073</f>
        <v>1957.2</v>
      </c>
      <c r="I1069" s="20">
        <f t="shared" si="27"/>
        <v>447.15558601782044</v>
      </c>
      <c r="J1069" s="257"/>
    </row>
    <row r="1070" spans="1:10" s="33" customFormat="1" ht="31.5" customHeight="1">
      <c r="A1070" s="106" t="s">
        <v>770</v>
      </c>
      <c r="B1070" s="160"/>
      <c r="C1070" s="159" t="s">
        <v>348</v>
      </c>
      <c r="D1070" s="159" t="s">
        <v>601</v>
      </c>
      <c r="E1070" s="159" t="s">
        <v>771</v>
      </c>
      <c r="F1070" s="161"/>
      <c r="G1070" s="225">
        <f>SUM(G1071:G1072)</f>
        <v>437.7</v>
      </c>
      <c r="H1070" s="27">
        <f>SUM(H1071:H1072)</f>
        <v>0</v>
      </c>
      <c r="I1070" s="20">
        <f t="shared" si="27"/>
        <v>0</v>
      </c>
      <c r="J1070" s="257"/>
    </row>
    <row r="1071" spans="1:10" s="33" customFormat="1" ht="21.75" customHeight="1">
      <c r="A1071" s="241" t="s">
        <v>387</v>
      </c>
      <c r="B1071" s="160"/>
      <c r="C1071" s="159" t="s">
        <v>348</v>
      </c>
      <c r="D1071" s="159" t="s">
        <v>601</v>
      </c>
      <c r="E1071" s="159" t="s">
        <v>771</v>
      </c>
      <c r="F1071" s="161" t="s">
        <v>388</v>
      </c>
      <c r="G1071" s="92">
        <v>437.7</v>
      </c>
      <c r="H1071" s="27"/>
      <c r="I1071" s="20">
        <f t="shared" si="27"/>
        <v>0</v>
      </c>
      <c r="J1071" s="257">
        <f>SUM('ведомствен.2013'!G648)</f>
        <v>437.7</v>
      </c>
    </row>
    <row r="1072" spans="1:10" s="33" customFormat="1" ht="21" customHeight="1" hidden="1">
      <c r="A1072" s="106" t="s">
        <v>938</v>
      </c>
      <c r="B1072" s="160"/>
      <c r="C1072" s="159" t="s">
        <v>348</v>
      </c>
      <c r="D1072" s="159" t="s">
        <v>601</v>
      </c>
      <c r="E1072" s="159" t="s">
        <v>771</v>
      </c>
      <c r="F1072" s="161" t="s">
        <v>940</v>
      </c>
      <c r="G1072" s="225"/>
      <c r="H1072" s="27"/>
      <c r="I1072" s="20" t="e">
        <f t="shared" si="27"/>
        <v>#DIV/0!</v>
      </c>
      <c r="J1072" s="257">
        <f>SUM('ведомствен.2013'!G649)</f>
        <v>0</v>
      </c>
    </row>
    <row r="1073" spans="1:10" s="33" customFormat="1" ht="42.75" hidden="1">
      <c r="A1073" s="106" t="s">
        <v>941</v>
      </c>
      <c r="B1073" s="160"/>
      <c r="C1073" s="159" t="s">
        <v>348</v>
      </c>
      <c r="D1073" s="159" t="s">
        <v>601</v>
      </c>
      <c r="E1073" s="159" t="s">
        <v>939</v>
      </c>
      <c r="F1073" s="161"/>
      <c r="G1073" s="225">
        <f>SUM(G1074)</f>
        <v>0</v>
      </c>
      <c r="H1073" s="27">
        <f>SUM(H1074)</f>
        <v>1957.2</v>
      </c>
      <c r="I1073" s="20" t="e">
        <f t="shared" si="27"/>
        <v>#DIV/0!</v>
      </c>
      <c r="J1073" s="257"/>
    </row>
    <row r="1074" spans="1:10" s="33" customFormat="1" ht="15" hidden="1">
      <c r="A1074" s="106" t="s">
        <v>938</v>
      </c>
      <c r="B1074" s="160"/>
      <c r="C1074" s="159" t="s">
        <v>348</v>
      </c>
      <c r="D1074" s="159" t="s">
        <v>601</v>
      </c>
      <c r="E1074" s="159" t="s">
        <v>939</v>
      </c>
      <c r="F1074" s="161" t="s">
        <v>940</v>
      </c>
      <c r="G1074" s="225"/>
      <c r="H1074" s="27">
        <v>1957.2</v>
      </c>
      <c r="I1074" s="20" t="e">
        <f t="shared" si="27"/>
        <v>#DIV/0!</v>
      </c>
      <c r="J1074" s="257"/>
    </row>
    <row r="1075" spans="1:9" ht="18" customHeight="1">
      <c r="A1075" s="108" t="s">
        <v>634</v>
      </c>
      <c r="B1075" s="155"/>
      <c r="C1075" s="159" t="s">
        <v>348</v>
      </c>
      <c r="D1075" s="159" t="s">
        <v>601</v>
      </c>
      <c r="E1075" s="159" t="s">
        <v>635</v>
      </c>
      <c r="F1075" s="157"/>
      <c r="G1075" s="30">
        <f>SUM(G1078+G1076+G1082)+G1086+G1084</f>
        <v>1767</v>
      </c>
      <c r="H1075" s="20">
        <f>SUM(H1078+H1076)</f>
        <v>4297.7</v>
      </c>
      <c r="I1075" s="20">
        <f t="shared" si="27"/>
        <v>243.22014714204866</v>
      </c>
    </row>
    <row r="1076" spans="1:9" ht="44.25" customHeight="1" hidden="1">
      <c r="A1076" s="108" t="s">
        <v>761</v>
      </c>
      <c r="B1076" s="155"/>
      <c r="C1076" s="159" t="s">
        <v>348</v>
      </c>
      <c r="D1076" s="159" t="s">
        <v>601</v>
      </c>
      <c r="E1076" s="159" t="s">
        <v>942</v>
      </c>
      <c r="F1076" s="157"/>
      <c r="G1076" s="30">
        <f>SUM(G1077)</f>
        <v>0</v>
      </c>
      <c r="H1076" s="20">
        <f>SUM(H1077)</f>
        <v>3319.1</v>
      </c>
      <c r="I1076" s="20" t="e">
        <f t="shared" si="27"/>
        <v>#DIV/0!</v>
      </c>
    </row>
    <row r="1077" spans="1:10" ht="19.5" customHeight="1" hidden="1">
      <c r="A1077" s="106" t="s">
        <v>767</v>
      </c>
      <c r="B1077" s="120"/>
      <c r="C1077" s="159" t="s">
        <v>348</v>
      </c>
      <c r="D1077" s="159" t="s">
        <v>601</v>
      </c>
      <c r="E1077" s="159" t="s">
        <v>942</v>
      </c>
      <c r="F1077" s="158" t="s">
        <v>943</v>
      </c>
      <c r="G1077" s="30"/>
      <c r="H1077" s="20">
        <v>3319.1</v>
      </c>
      <c r="I1077" s="20" t="e">
        <f t="shared" si="27"/>
        <v>#DIV/0!</v>
      </c>
      <c r="J1077" s="246">
        <f>SUM('ведомствен.2013'!G940)</f>
        <v>0</v>
      </c>
    </row>
    <row r="1078" spans="1:9" ht="17.25" customHeight="1" hidden="1">
      <c r="A1078" s="128" t="s">
        <v>598</v>
      </c>
      <c r="B1078" s="155"/>
      <c r="C1078" s="159" t="s">
        <v>348</v>
      </c>
      <c r="D1078" s="159" t="s">
        <v>601</v>
      </c>
      <c r="E1078" s="159" t="s">
        <v>635</v>
      </c>
      <c r="F1078" s="157" t="s">
        <v>599</v>
      </c>
      <c r="G1078" s="30">
        <f>SUM(G1079:G1079)</f>
        <v>0</v>
      </c>
      <c r="H1078" s="20">
        <f>SUM(H1079:H1079)</f>
        <v>978.6</v>
      </c>
      <c r="I1078" s="20" t="e">
        <f t="shared" si="27"/>
        <v>#DIV/0!</v>
      </c>
    </row>
    <row r="1079" spans="1:9" ht="13.5" customHeight="1" hidden="1">
      <c r="A1079" s="128" t="s">
        <v>461</v>
      </c>
      <c r="B1079" s="155"/>
      <c r="C1079" s="159" t="s">
        <v>348</v>
      </c>
      <c r="D1079" s="159" t="s">
        <v>601</v>
      </c>
      <c r="E1079" s="171" t="s">
        <v>462</v>
      </c>
      <c r="F1079" s="156" t="s">
        <v>599</v>
      </c>
      <c r="G1079" s="30">
        <f>SUM(G1080:G1081)</f>
        <v>0</v>
      </c>
      <c r="H1079" s="20">
        <f>SUM(H1080:H1081)</f>
        <v>978.6</v>
      </c>
      <c r="I1079" s="20" t="e">
        <f t="shared" si="27"/>
        <v>#DIV/0!</v>
      </c>
    </row>
    <row r="1080" spans="1:10" s="29" customFormat="1" ht="15.75" customHeight="1" hidden="1">
      <c r="A1080" s="106" t="s">
        <v>770</v>
      </c>
      <c r="B1080" s="159"/>
      <c r="C1080" s="159" t="s">
        <v>348</v>
      </c>
      <c r="D1080" s="159" t="s">
        <v>601</v>
      </c>
      <c r="E1080" s="171" t="s">
        <v>944</v>
      </c>
      <c r="F1080" s="156" t="s">
        <v>599</v>
      </c>
      <c r="G1080" s="225"/>
      <c r="H1080" s="27"/>
      <c r="I1080" s="20" t="e">
        <f t="shared" si="27"/>
        <v>#DIV/0!</v>
      </c>
      <c r="J1080" s="255"/>
    </row>
    <row r="1081" spans="1:10" s="29" customFormat="1" ht="13.5" customHeight="1" hidden="1">
      <c r="A1081" s="106" t="s">
        <v>712</v>
      </c>
      <c r="B1081" s="159"/>
      <c r="C1081" s="159" t="s">
        <v>348</v>
      </c>
      <c r="D1081" s="159" t="s">
        <v>601</v>
      </c>
      <c r="E1081" s="171" t="s">
        <v>713</v>
      </c>
      <c r="F1081" s="156" t="s">
        <v>599</v>
      </c>
      <c r="G1081" s="225"/>
      <c r="H1081" s="27">
        <v>978.6</v>
      </c>
      <c r="I1081" s="20" t="e">
        <f t="shared" si="27"/>
        <v>#DIV/0!</v>
      </c>
      <c r="J1081" s="255"/>
    </row>
    <row r="1082" spans="1:9" ht="42" customHeight="1" hidden="1">
      <c r="A1082" s="128" t="s">
        <v>7</v>
      </c>
      <c r="B1082" s="155"/>
      <c r="C1082" s="159" t="s">
        <v>348</v>
      </c>
      <c r="D1082" s="159" t="s">
        <v>601</v>
      </c>
      <c r="E1082" s="159" t="s">
        <v>8</v>
      </c>
      <c r="F1082" s="157"/>
      <c r="G1082" s="30">
        <f>SUM(G1083)</f>
        <v>0</v>
      </c>
      <c r="H1082" s="20"/>
      <c r="I1082" s="20"/>
    </row>
    <row r="1083" spans="1:10" ht="22.5" customHeight="1" hidden="1">
      <c r="A1083" s="128" t="s">
        <v>598</v>
      </c>
      <c r="B1083" s="155"/>
      <c r="C1083" s="159" t="s">
        <v>348</v>
      </c>
      <c r="D1083" s="159" t="s">
        <v>601</v>
      </c>
      <c r="E1083" s="159" t="s">
        <v>8</v>
      </c>
      <c r="F1083" s="157" t="s">
        <v>599</v>
      </c>
      <c r="G1083" s="30"/>
      <c r="H1083" s="20"/>
      <c r="I1083" s="20"/>
      <c r="J1083" s="246">
        <f>SUM('ведомствен.2013'!G1064)</f>
        <v>0</v>
      </c>
    </row>
    <row r="1084" spans="1:10" s="25" customFormat="1" ht="57" hidden="1">
      <c r="A1084" s="105" t="s">
        <v>707</v>
      </c>
      <c r="B1084" s="159"/>
      <c r="C1084" s="159" t="s">
        <v>348</v>
      </c>
      <c r="D1084" s="159" t="s">
        <v>601</v>
      </c>
      <c r="E1084" s="159" t="s">
        <v>706</v>
      </c>
      <c r="F1084" s="157"/>
      <c r="G1084" s="30">
        <f>SUM(G1085)</f>
        <v>0</v>
      </c>
      <c r="H1084" s="20">
        <f>SUM(H1085)</f>
        <v>3319.1</v>
      </c>
      <c r="I1084" s="20" t="e">
        <f>SUM(H1084/G1084*100)</f>
        <v>#DIV/0!</v>
      </c>
      <c r="J1084" s="250">
        <f>SUM('ведомствен.2013'!G941)</f>
        <v>0</v>
      </c>
    </row>
    <row r="1085" spans="1:10" s="25" customFormat="1" ht="18" customHeight="1" hidden="1">
      <c r="A1085" s="105" t="s">
        <v>767</v>
      </c>
      <c r="B1085" s="163"/>
      <c r="C1085" s="159" t="s">
        <v>348</v>
      </c>
      <c r="D1085" s="159" t="s">
        <v>601</v>
      </c>
      <c r="E1085" s="159" t="s">
        <v>706</v>
      </c>
      <c r="F1085" s="157" t="s">
        <v>943</v>
      </c>
      <c r="G1085" s="30"/>
      <c r="H1085" s="20">
        <v>3319.1</v>
      </c>
      <c r="I1085" s="20" t="e">
        <f>SUM(H1085/G1085*100)</f>
        <v>#DIV/0!</v>
      </c>
      <c r="J1085" s="250"/>
    </row>
    <row r="1086" spans="1:9" ht="32.25" customHeight="1">
      <c r="A1086" s="128" t="s">
        <v>316</v>
      </c>
      <c r="B1086" s="155"/>
      <c r="C1086" s="159" t="s">
        <v>348</v>
      </c>
      <c r="D1086" s="159" t="s">
        <v>601</v>
      </c>
      <c r="E1086" s="171" t="s">
        <v>462</v>
      </c>
      <c r="F1086" s="156"/>
      <c r="G1086" s="30">
        <f>SUM(G1089)</f>
        <v>1767</v>
      </c>
      <c r="H1086" s="20"/>
      <c r="I1086" s="20"/>
    </row>
    <row r="1087" spans="1:9" ht="23.25" customHeight="1" hidden="1">
      <c r="A1087" s="128" t="s">
        <v>304</v>
      </c>
      <c r="B1087" s="155"/>
      <c r="C1087" s="159" t="s">
        <v>348</v>
      </c>
      <c r="D1087" s="159" t="s">
        <v>601</v>
      </c>
      <c r="E1087" s="171" t="s">
        <v>305</v>
      </c>
      <c r="F1087" s="156"/>
      <c r="G1087" s="91"/>
      <c r="H1087" s="20"/>
      <c r="I1087" s="20"/>
    </row>
    <row r="1088" spans="1:10" ht="24" customHeight="1">
      <c r="A1088" s="241" t="s">
        <v>387</v>
      </c>
      <c r="B1088" s="160"/>
      <c r="C1088" s="159" t="s">
        <v>348</v>
      </c>
      <c r="D1088" s="159" t="s">
        <v>601</v>
      </c>
      <c r="E1088" s="171" t="s">
        <v>944</v>
      </c>
      <c r="F1088" s="161" t="s">
        <v>388</v>
      </c>
      <c r="G1088" s="92">
        <v>1767</v>
      </c>
      <c r="H1088" s="20"/>
      <c r="I1088" s="20"/>
      <c r="J1088" s="246">
        <f>SUM('ведомствен.2013'!G657)</f>
        <v>1767</v>
      </c>
    </row>
    <row r="1089" spans="1:10" ht="29.25" customHeight="1" hidden="1">
      <c r="A1089" s="106" t="s">
        <v>770</v>
      </c>
      <c r="B1089" s="159"/>
      <c r="C1089" s="159" t="s">
        <v>348</v>
      </c>
      <c r="D1089" s="159" t="s">
        <v>601</v>
      </c>
      <c r="E1089" s="171" t="s">
        <v>944</v>
      </c>
      <c r="F1089" s="156" t="s">
        <v>599</v>
      </c>
      <c r="G1089" s="225">
        <v>1767</v>
      </c>
      <c r="H1089" s="20"/>
      <c r="I1089" s="20"/>
      <c r="J1089" s="246">
        <f>SUM('ведомствен.2013'!G658)</f>
        <v>0</v>
      </c>
    </row>
    <row r="1090" spans="1:9" ht="18.75" customHeight="1" hidden="1">
      <c r="A1090" s="106" t="s">
        <v>828</v>
      </c>
      <c r="B1090" s="159"/>
      <c r="C1090" s="159" t="s">
        <v>348</v>
      </c>
      <c r="D1090" s="159" t="s">
        <v>601</v>
      </c>
      <c r="E1090" s="171" t="s">
        <v>713</v>
      </c>
      <c r="F1090" s="156" t="s">
        <v>599</v>
      </c>
      <c r="G1090" s="225"/>
      <c r="H1090" s="20"/>
      <c r="I1090" s="20"/>
    </row>
    <row r="1091" spans="1:9" ht="18.75" customHeight="1">
      <c r="A1091" s="133" t="s">
        <v>714</v>
      </c>
      <c r="B1091" s="155"/>
      <c r="C1091" s="171" t="s">
        <v>348</v>
      </c>
      <c r="D1091" s="183" t="s">
        <v>625</v>
      </c>
      <c r="E1091" s="183"/>
      <c r="F1091" s="184"/>
      <c r="G1091" s="225">
        <f>SUM(G1092+G1096)</f>
        <v>53273.9</v>
      </c>
      <c r="H1091" s="27">
        <f>SUM(H1092+H1096)</f>
        <v>28575.699999999997</v>
      </c>
      <c r="I1091" s="20">
        <f t="shared" si="27"/>
        <v>53.63921169653432</v>
      </c>
    </row>
    <row r="1092" spans="1:9" ht="15" customHeight="1">
      <c r="A1092" s="133" t="s">
        <v>373</v>
      </c>
      <c r="B1092" s="155"/>
      <c r="C1092" s="171" t="s">
        <v>348</v>
      </c>
      <c r="D1092" s="183" t="s">
        <v>625</v>
      </c>
      <c r="E1092" s="183" t="s">
        <v>374</v>
      </c>
      <c r="F1092" s="184"/>
      <c r="G1092" s="30">
        <f>SUM(G1093)</f>
        <v>5636.4</v>
      </c>
      <c r="H1092" s="20">
        <f>SUM(H1093)</f>
        <v>0</v>
      </c>
      <c r="I1092" s="20">
        <f t="shared" si="27"/>
        <v>0</v>
      </c>
    </row>
    <row r="1093" spans="1:10" s="25" customFormat="1" ht="61.5" customHeight="1">
      <c r="A1093" s="106" t="s">
        <v>815</v>
      </c>
      <c r="B1093" s="155"/>
      <c r="C1093" s="171" t="s">
        <v>348</v>
      </c>
      <c r="D1093" s="183" t="s">
        <v>625</v>
      </c>
      <c r="E1093" s="155" t="s">
        <v>816</v>
      </c>
      <c r="F1093" s="156"/>
      <c r="G1093" s="30">
        <f>SUM(G1094)</f>
        <v>5636.4</v>
      </c>
      <c r="H1093" s="27"/>
      <c r="I1093" s="20"/>
      <c r="J1093" s="250"/>
    </row>
    <row r="1094" spans="1:10" s="25" customFormat="1" ht="60.75" customHeight="1">
      <c r="A1094" s="133" t="s">
        <v>262</v>
      </c>
      <c r="B1094" s="155"/>
      <c r="C1094" s="171" t="s">
        <v>348</v>
      </c>
      <c r="D1094" s="183" t="s">
        <v>625</v>
      </c>
      <c r="E1094" s="155" t="s">
        <v>261</v>
      </c>
      <c r="F1094" s="157"/>
      <c r="G1094" s="30">
        <f>SUM(G1095)</f>
        <v>5636.4</v>
      </c>
      <c r="H1094" s="27"/>
      <c r="I1094" s="20"/>
      <c r="J1094" s="250"/>
    </row>
    <row r="1095" spans="1:10" s="25" customFormat="1" ht="16.5" customHeight="1">
      <c r="A1095" s="106" t="s">
        <v>1032</v>
      </c>
      <c r="B1095" s="160"/>
      <c r="C1095" s="171" t="s">
        <v>348</v>
      </c>
      <c r="D1095" s="183" t="s">
        <v>625</v>
      </c>
      <c r="E1095" s="155" t="s">
        <v>261</v>
      </c>
      <c r="F1095" s="161" t="s">
        <v>1033</v>
      </c>
      <c r="G1095" s="225">
        <v>5636.4</v>
      </c>
      <c r="H1095" s="27"/>
      <c r="I1095" s="20"/>
      <c r="J1095" s="250">
        <f>SUM('ведомствен.2013'!G663)</f>
        <v>5636.4</v>
      </c>
    </row>
    <row r="1096" spans="1:9" ht="21" customHeight="1">
      <c r="A1096" s="108" t="s">
        <v>716</v>
      </c>
      <c r="B1096" s="155"/>
      <c r="C1096" s="171" t="s">
        <v>348</v>
      </c>
      <c r="D1096" s="183" t="s">
        <v>625</v>
      </c>
      <c r="E1096" s="183" t="s">
        <v>870</v>
      </c>
      <c r="F1096" s="157"/>
      <c r="G1096" s="30">
        <f>SUM(G1099+G1097)</f>
        <v>47637.5</v>
      </c>
      <c r="H1096" s="20">
        <f>SUM(H1099+H1097)</f>
        <v>28575.699999999997</v>
      </c>
      <c r="I1096" s="20">
        <f t="shared" si="27"/>
        <v>59.98572553135659</v>
      </c>
    </row>
    <row r="1097" spans="1:9" ht="59.25" customHeight="1">
      <c r="A1097" s="109" t="s">
        <v>717</v>
      </c>
      <c r="B1097" s="155"/>
      <c r="C1097" s="171" t="s">
        <v>348</v>
      </c>
      <c r="D1097" s="183" t="s">
        <v>625</v>
      </c>
      <c r="E1097" s="159" t="s">
        <v>718</v>
      </c>
      <c r="F1097" s="158"/>
      <c r="G1097" s="225">
        <f>SUM(G1098)</f>
        <v>17667.1</v>
      </c>
      <c r="H1097" s="27">
        <f>SUM(H1098)</f>
        <v>11370.3</v>
      </c>
      <c r="I1097" s="20">
        <f t="shared" si="27"/>
        <v>64.35861007182842</v>
      </c>
    </row>
    <row r="1098" spans="1:10" ht="21" customHeight="1">
      <c r="A1098" s="109" t="s">
        <v>1032</v>
      </c>
      <c r="B1098" s="155"/>
      <c r="C1098" s="171" t="s">
        <v>348</v>
      </c>
      <c r="D1098" s="183" t="s">
        <v>625</v>
      </c>
      <c r="E1098" s="159" t="s">
        <v>718</v>
      </c>
      <c r="F1098" s="158" t="s">
        <v>1033</v>
      </c>
      <c r="G1098" s="225">
        <v>17667.1</v>
      </c>
      <c r="H1098" s="27">
        <v>11370.3</v>
      </c>
      <c r="I1098" s="20">
        <f t="shared" si="27"/>
        <v>64.35861007182842</v>
      </c>
      <c r="J1098" s="246">
        <f>SUM('ведомствен.2013'!G1432)</f>
        <v>17667.1</v>
      </c>
    </row>
    <row r="1099" spans="1:9" ht="28.5">
      <c r="A1099" s="108" t="s">
        <v>719</v>
      </c>
      <c r="B1099" s="155"/>
      <c r="C1099" s="171" t="s">
        <v>348</v>
      </c>
      <c r="D1099" s="183" t="s">
        <v>625</v>
      </c>
      <c r="E1099" s="183" t="s">
        <v>720</v>
      </c>
      <c r="F1099" s="184"/>
      <c r="G1099" s="30">
        <f>SUM(G1100)</f>
        <v>29970.399999999998</v>
      </c>
      <c r="H1099" s="20">
        <f>SUM(H1100)</f>
        <v>17205.399999999998</v>
      </c>
      <c r="I1099" s="20">
        <f t="shared" si="27"/>
        <v>57.4079758695246</v>
      </c>
    </row>
    <row r="1100" spans="1:9" ht="33.75" customHeight="1">
      <c r="A1100" s="108" t="s">
        <v>284</v>
      </c>
      <c r="B1100" s="155"/>
      <c r="C1100" s="171" t="s">
        <v>348</v>
      </c>
      <c r="D1100" s="183" t="s">
        <v>625</v>
      </c>
      <c r="E1100" s="186" t="s">
        <v>720</v>
      </c>
      <c r="F1100" s="184"/>
      <c r="G1100" s="30">
        <f>SUM(G1105)+G1101+G1103</f>
        <v>29970.399999999998</v>
      </c>
      <c r="H1100" s="20">
        <f>SUM(H1105+H1107+H1101+H1103)</f>
        <v>17205.399999999998</v>
      </c>
      <c r="I1100" s="20">
        <f t="shared" si="27"/>
        <v>57.4079758695246</v>
      </c>
    </row>
    <row r="1101" spans="1:9" ht="26.25" customHeight="1">
      <c r="A1101" s="108" t="s">
        <v>721</v>
      </c>
      <c r="B1101" s="155"/>
      <c r="C1101" s="171" t="s">
        <v>348</v>
      </c>
      <c r="D1101" s="171" t="s">
        <v>625</v>
      </c>
      <c r="E1101" s="186" t="s">
        <v>722</v>
      </c>
      <c r="F1101" s="161"/>
      <c r="G1101" s="30">
        <f>SUM(G1102)</f>
        <v>2397.6</v>
      </c>
      <c r="H1101" s="20">
        <f>SUM(H1102)</f>
        <v>241.8</v>
      </c>
      <c r="I1101" s="20">
        <f t="shared" si="27"/>
        <v>10.085085085085085</v>
      </c>
    </row>
    <row r="1102" spans="1:10" ht="30" customHeight="1">
      <c r="A1102" s="108" t="s">
        <v>723</v>
      </c>
      <c r="B1102" s="155"/>
      <c r="C1102" s="171" t="s">
        <v>348</v>
      </c>
      <c r="D1102" s="171" t="s">
        <v>625</v>
      </c>
      <c r="E1102" s="186" t="s">
        <v>722</v>
      </c>
      <c r="F1102" s="161" t="s">
        <v>724</v>
      </c>
      <c r="G1102" s="30">
        <v>2397.6</v>
      </c>
      <c r="H1102" s="20">
        <v>241.8</v>
      </c>
      <c r="I1102" s="20">
        <f t="shared" si="27"/>
        <v>10.085085085085085</v>
      </c>
      <c r="J1102" s="246">
        <f>SUM('ведомствен.2013'!G950)</f>
        <v>2397.6</v>
      </c>
    </row>
    <row r="1103" spans="1:9" ht="26.25" customHeight="1">
      <c r="A1103" s="108" t="s">
        <v>285</v>
      </c>
      <c r="B1103" s="155"/>
      <c r="C1103" s="171" t="s">
        <v>348</v>
      </c>
      <c r="D1103" s="171" t="s">
        <v>625</v>
      </c>
      <c r="E1103" s="186" t="s">
        <v>725</v>
      </c>
      <c r="F1103" s="161"/>
      <c r="G1103" s="30">
        <f>SUM(G1104)</f>
        <v>2397.6</v>
      </c>
      <c r="H1103" s="20">
        <f>SUM(H1104)</f>
        <v>252</v>
      </c>
      <c r="I1103" s="20">
        <f t="shared" si="27"/>
        <v>10.51051051051051</v>
      </c>
    </row>
    <row r="1104" spans="1:10" ht="36.75" customHeight="1">
      <c r="A1104" s="108" t="s">
        <v>723</v>
      </c>
      <c r="B1104" s="155"/>
      <c r="C1104" s="171" t="s">
        <v>348</v>
      </c>
      <c r="D1104" s="171" t="s">
        <v>625</v>
      </c>
      <c r="E1104" s="186" t="s">
        <v>725</v>
      </c>
      <c r="F1104" s="161" t="s">
        <v>724</v>
      </c>
      <c r="G1104" s="30">
        <v>2397.6</v>
      </c>
      <c r="H1104" s="20">
        <v>252</v>
      </c>
      <c r="I1104" s="20">
        <f t="shared" si="27"/>
        <v>10.51051051051051</v>
      </c>
      <c r="J1104" s="246">
        <f>SUM('ведомствен.2013'!G952)</f>
        <v>2397.6</v>
      </c>
    </row>
    <row r="1105" spans="1:9" ht="32.25" customHeight="1">
      <c r="A1105" s="108" t="s">
        <v>286</v>
      </c>
      <c r="B1105" s="155"/>
      <c r="C1105" s="171" t="s">
        <v>348</v>
      </c>
      <c r="D1105" s="171" t="s">
        <v>625</v>
      </c>
      <c r="E1105" s="186" t="s">
        <v>287</v>
      </c>
      <c r="F1105" s="161"/>
      <c r="G1105" s="30">
        <f>SUM(G1106)</f>
        <v>25175.2</v>
      </c>
      <c r="H1105" s="20">
        <f>SUM(H1106)</f>
        <v>0</v>
      </c>
      <c r="I1105" s="20">
        <f t="shared" si="27"/>
        <v>0</v>
      </c>
    </row>
    <row r="1106" spans="1:10" ht="27.75" customHeight="1">
      <c r="A1106" s="108" t="s">
        <v>723</v>
      </c>
      <c r="B1106" s="155"/>
      <c r="C1106" s="171" t="s">
        <v>348</v>
      </c>
      <c r="D1106" s="171" t="s">
        <v>625</v>
      </c>
      <c r="E1106" s="186" t="s">
        <v>287</v>
      </c>
      <c r="F1106" s="161" t="s">
        <v>724</v>
      </c>
      <c r="G1106" s="30">
        <v>25175.2</v>
      </c>
      <c r="H1106" s="20"/>
      <c r="I1106" s="20">
        <f t="shared" si="27"/>
        <v>0</v>
      </c>
      <c r="J1106" s="246">
        <f>SUM('ведомствен.2013'!G954)</f>
        <v>25175.2</v>
      </c>
    </row>
    <row r="1107" spans="1:9" ht="28.5" customHeight="1" hidden="1">
      <c r="A1107" s="105" t="s">
        <v>723</v>
      </c>
      <c r="B1107" s="155"/>
      <c r="C1107" s="171" t="s">
        <v>348</v>
      </c>
      <c r="D1107" s="171" t="s">
        <v>625</v>
      </c>
      <c r="E1107" s="183" t="s">
        <v>727</v>
      </c>
      <c r="F1107" s="161"/>
      <c r="G1107" s="30">
        <f>SUM(G1108)</f>
        <v>0</v>
      </c>
      <c r="H1107" s="20">
        <f>SUM(H1108)</f>
        <v>16711.6</v>
      </c>
      <c r="I1107" s="20" t="e">
        <f t="shared" si="27"/>
        <v>#DIV/0!</v>
      </c>
    </row>
    <row r="1108" spans="1:10" ht="63" customHeight="1" hidden="1">
      <c r="A1108" s="105" t="s">
        <v>728</v>
      </c>
      <c r="B1108" s="155"/>
      <c r="C1108" s="171" t="s">
        <v>348</v>
      </c>
      <c r="D1108" s="171" t="s">
        <v>625</v>
      </c>
      <c r="E1108" s="183" t="s">
        <v>727</v>
      </c>
      <c r="F1108" s="161" t="s">
        <v>724</v>
      </c>
      <c r="G1108" s="30"/>
      <c r="H1108" s="20">
        <v>16711.6</v>
      </c>
      <c r="I1108" s="20" t="e">
        <f t="shared" si="27"/>
        <v>#DIV/0!</v>
      </c>
      <c r="J1108" s="246">
        <f>SUM('ведомствен.2013'!G958)</f>
        <v>0</v>
      </c>
    </row>
    <row r="1109" spans="1:9" ht="19.5" customHeight="1">
      <c r="A1109" s="128" t="s">
        <v>729</v>
      </c>
      <c r="B1109" s="155"/>
      <c r="C1109" s="183" t="s">
        <v>348</v>
      </c>
      <c r="D1109" s="183" t="s">
        <v>132</v>
      </c>
      <c r="E1109" s="183"/>
      <c r="F1109" s="184"/>
      <c r="G1109" s="225">
        <f>SUM(G1110+G1132)+G1130+G1123+G1125+G1127</f>
        <v>41411.200000000004</v>
      </c>
      <c r="H1109" s="27" t="e">
        <f>SUM(H1110+H1167)</f>
        <v>#REF!</v>
      </c>
      <c r="I1109" s="20" t="e">
        <f t="shared" si="27"/>
        <v>#REF!</v>
      </c>
    </row>
    <row r="1110" spans="1:9" ht="42.75">
      <c r="A1110" s="106" t="s">
        <v>594</v>
      </c>
      <c r="B1110" s="155"/>
      <c r="C1110" s="155" t="s">
        <v>348</v>
      </c>
      <c r="D1110" s="155" t="s">
        <v>132</v>
      </c>
      <c r="E1110" s="155" t="s">
        <v>595</v>
      </c>
      <c r="F1110" s="157"/>
      <c r="G1110" s="30">
        <f>SUM(G1111)</f>
        <v>25901.3</v>
      </c>
      <c r="H1110" s="20">
        <f>SUM(H1111)</f>
        <v>15109.2</v>
      </c>
      <c r="I1110" s="20">
        <f t="shared" si="27"/>
        <v>58.333751587758144</v>
      </c>
    </row>
    <row r="1111" spans="1:9" ht="15">
      <c r="A1111" s="106" t="s">
        <v>602</v>
      </c>
      <c r="B1111" s="155"/>
      <c r="C1111" s="155" t="s">
        <v>348</v>
      </c>
      <c r="D1111" s="155" t="s">
        <v>132</v>
      </c>
      <c r="E1111" s="155" t="s">
        <v>604</v>
      </c>
      <c r="F1111" s="157"/>
      <c r="G1111" s="30">
        <f>SUM(G1112+G1115+G1121+G1119)</f>
        <v>25901.3</v>
      </c>
      <c r="H1111" s="20">
        <f>SUM(H1112+H1115+H1121+H1119)</f>
        <v>15109.2</v>
      </c>
      <c r="I1111" s="20">
        <f t="shared" si="27"/>
        <v>58.333751587758144</v>
      </c>
    </row>
    <row r="1112" spans="1:10" ht="14.25" customHeight="1">
      <c r="A1112" s="128" t="s">
        <v>598</v>
      </c>
      <c r="B1112" s="155"/>
      <c r="C1112" s="155" t="s">
        <v>348</v>
      </c>
      <c r="D1112" s="155" t="s">
        <v>132</v>
      </c>
      <c r="E1112" s="155" t="s">
        <v>604</v>
      </c>
      <c r="F1112" s="166" t="s">
        <v>599</v>
      </c>
      <c r="G1112" s="30">
        <v>2852.2</v>
      </c>
      <c r="H1112" s="20">
        <v>227.6</v>
      </c>
      <c r="I1112" s="20">
        <f t="shared" si="27"/>
        <v>7.979805062758573</v>
      </c>
      <c r="J1112" s="246">
        <f>SUM('ведомствен.2013'!G962)</f>
        <v>2852.2</v>
      </c>
    </row>
    <row r="1113" spans="1:9" ht="28.5" customHeight="1" hidden="1">
      <c r="A1113" s="128" t="s">
        <v>730</v>
      </c>
      <c r="B1113" s="155"/>
      <c r="C1113" s="155" t="s">
        <v>348</v>
      </c>
      <c r="D1113" s="155" t="s">
        <v>132</v>
      </c>
      <c r="E1113" s="155" t="s">
        <v>731</v>
      </c>
      <c r="F1113" s="219"/>
      <c r="G1113" s="30">
        <f>SUM(G1114)</f>
        <v>0</v>
      </c>
      <c r="H1113" s="20">
        <f>SUM(H1114)</f>
        <v>0</v>
      </c>
      <c r="I1113" s="20" t="e">
        <f t="shared" si="27"/>
        <v>#DIV/0!</v>
      </c>
    </row>
    <row r="1114" spans="1:9" ht="14.25" customHeight="1" hidden="1">
      <c r="A1114" s="128" t="s">
        <v>598</v>
      </c>
      <c r="B1114" s="155"/>
      <c r="C1114" s="155" t="s">
        <v>348</v>
      </c>
      <c r="D1114" s="155" t="s">
        <v>132</v>
      </c>
      <c r="E1114" s="155" t="s">
        <v>731</v>
      </c>
      <c r="F1114" s="219" t="s">
        <v>599</v>
      </c>
      <c r="G1114" s="30"/>
      <c r="H1114" s="20"/>
      <c r="I1114" s="20" t="e">
        <f t="shared" si="27"/>
        <v>#DIV/0!</v>
      </c>
    </row>
    <row r="1115" spans="1:9" ht="30.75" customHeight="1">
      <c r="A1115" s="128" t="s">
        <v>732</v>
      </c>
      <c r="B1115" s="155"/>
      <c r="C1115" s="155" t="s">
        <v>348</v>
      </c>
      <c r="D1115" s="155" t="s">
        <v>132</v>
      </c>
      <c r="E1115" s="155" t="s">
        <v>733</v>
      </c>
      <c r="F1115" s="219"/>
      <c r="G1115" s="30">
        <f>SUM(G1116)</f>
        <v>4029.3</v>
      </c>
      <c r="H1115" s="20">
        <f>SUM(H1116)</f>
        <v>2507.7</v>
      </c>
      <c r="I1115" s="20">
        <f t="shared" si="27"/>
        <v>62.236616782071316</v>
      </c>
    </row>
    <row r="1116" spans="1:10" ht="24" customHeight="1">
      <c r="A1116" s="128" t="s">
        <v>598</v>
      </c>
      <c r="B1116" s="191"/>
      <c r="C1116" s="155" t="s">
        <v>348</v>
      </c>
      <c r="D1116" s="155" t="s">
        <v>132</v>
      </c>
      <c r="E1116" s="155" t="s">
        <v>733</v>
      </c>
      <c r="F1116" s="166" t="s">
        <v>599</v>
      </c>
      <c r="G1116" s="30">
        <v>4029.3</v>
      </c>
      <c r="H1116" s="20">
        <v>2507.7</v>
      </c>
      <c r="I1116" s="20">
        <f t="shared" si="27"/>
        <v>62.236616782071316</v>
      </c>
      <c r="J1116" s="246">
        <f>SUM('ведомствен.2013'!G966)</f>
        <v>4029.3</v>
      </c>
    </row>
    <row r="1117" spans="1:9" ht="42.75" customHeight="1" hidden="1">
      <c r="A1117" s="128" t="s">
        <v>734</v>
      </c>
      <c r="B1117" s="191"/>
      <c r="C1117" s="155" t="s">
        <v>348</v>
      </c>
      <c r="D1117" s="155" t="s">
        <v>132</v>
      </c>
      <c r="E1117" s="155" t="s">
        <v>735</v>
      </c>
      <c r="F1117" s="166"/>
      <c r="G1117" s="30"/>
      <c r="H1117" s="20"/>
      <c r="I1117" s="20" t="e">
        <f t="shared" si="27"/>
        <v>#DIV/0!</v>
      </c>
    </row>
    <row r="1118" spans="1:10" s="44" customFormat="1" ht="18.75" customHeight="1" hidden="1">
      <c r="A1118" s="143" t="s">
        <v>598</v>
      </c>
      <c r="B1118" s="220"/>
      <c r="C1118" s="220" t="s">
        <v>348</v>
      </c>
      <c r="D1118" s="220" t="s">
        <v>132</v>
      </c>
      <c r="E1118" s="220" t="s">
        <v>735</v>
      </c>
      <c r="F1118" s="221" t="s">
        <v>599</v>
      </c>
      <c r="G1118" s="231"/>
      <c r="H1118" s="43"/>
      <c r="I1118" s="20" t="e">
        <f t="shared" si="27"/>
        <v>#DIV/0!</v>
      </c>
      <c r="J1118" s="264"/>
    </row>
    <row r="1119" spans="1:9" ht="28.5">
      <c r="A1119" s="128" t="s">
        <v>730</v>
      </c>
      <c r="B1119" s="155"/>
      <c r="C1119" s="155" t="s">
        <v>348</v>
      </c>
      <c r="D1119" s="155" t="s">
        <v>132</v>
      </c>
      <c r="E1119" s="155" t="s">
        <v>731</v>
      </c>
      <c r="F1119" s="166"/>
      <c r="G1119" s="30">
        <f>SUM(G1120)</f>
        <v>13748</v>
      </c>
      <c r="H1119" s="20">
        <f>SUM(H1120)</f>
        <v>10267.1</v>
      </c>
      <c r="I1119" s="20">
        <f t="shared" si="27"/>
        <v>74.68068082630201</v>
      </c>
    </row>
    <row r="1120" spans="1:10" ht="14.25" customHeight="1">
      <c r="A1120" s="128" t="s">
        <v>598</v>
      </c>
      <c r="B1120" s="155"/>
      <c r="C1120" s="155" t="s">
        <v>348</v>
      </c>
      <c r="D1120" s="155" t="s">
        <v>132</v>
      </c>
      <c r="E1120" s="155" t="s">
        <v>731</v>
      </c>
      <c r="F1120" s="166" t="s">
        <v>599</v>
      </c>
      <c r="G1120" s="30">
        <v>13748</v>
      </c>
      <c r="H1120" s="20">
        <v>10267.1</v>
      </c>
      <c r="I1120" s="20">
        <f t="shared" si="27"/>
        <v>74.68068082630201</v>
      </c>
      <c r="J1120" s="246">
        <f>SUM('ведомствен.2013'!G970)</f>
        <v>13748</v>
      </c>
    </row>
    <row r="1121" spans="1:9" ht="42.75">
      <c r="A1121" s="128" t="s">
        <v>734</v>
      </c>
      <c r="B1121" s="191"/>
      <c r="C1121" s="155" t="s">
        <v>348</v>
      </c>
      <c r="D1121" s="155" t="s">
        <v>132</v>
      </c>
      <c r="E1121" s="155" t="s">
        <v>736</v>
      </c>
      <c r="F1121" s="166"/>
      <c r="G1121" s="30">
        <f>SUM(G1122)</f>
        <v>5271.8</v>
      </c>
      <c r="H1121" s="20">
        <f>SUM(H1122)</f>
        <v>2106.8</v>
      </c>
      <c r="I1121" s="20">
        <f t="shared" si="27"/>
        <v>39.963579801965174</v>
      </c>
    </row>
    <row r="1122" spans="1:10" s="44" customFormat="1" ht="18" customHeight="1">
      <c r="A1122" s="143" t="s">
        <v>598</v>
      </c>
      <c r="B1122" s="220"/>
      <c r="C1122" s="220" t="s">
        <v>348</v>
      </c>
      <c r="D1122" s="220" t="s">
        <v>132</v>
      </c>
      <c r="E1122" s="155" t="s">
        <v>736</v>
      </c>
      <c r="F1122" s="221" t="s">
        <v>599</v>
      </c>
      <c r="G1122" s="231">
        <v>5271.8</v>
      </c>
      <c r="H1122" s="43">
        <v>2106.8</v>
      </c>
      <c r="I1122" s="20">
        <f t="shared" si="27"/>
        <v>39.963579801965174</v>
      </c>
      <c r="J1122" s="246">
        <f>SUM('ведомствен.2013'!G972)</f>
        <v>5271.8</v>
      </c>
    </row>
    <row r="1123" spans="1:10" s="44" customFormat="1" ht="18" customHeight="1">
      <c r="A1123" s="106" t="s">
        <v>306</v>
      </c>
      <c r="B1123" s="155"/>
      <c r="C1123" s="155" t="s">
        <v>348</v>
      </c>
      <c r="D1123" s="155" t="s">
        <v>132</v>
      </c>
      <c r="E1123" s="155" t="s">
        <v>307</v>
      </c>
      <c r="F1123" s="156"/>
      <c r="G1123" s="30">
        <f>SUM(G1124)</f>
        <v>333.8</v>
      </c>
      <c r="H1123" s="43"/>
      <c r="I1123" s="20"/>
      <c r="J1123" s="246"/>
    </row>
    <row r="1124" spans="1:10" s="25" customFormat="1" ht="18.75" customHeight="1">
      <c r="A1124" s="106" t="s">
        <v>598</v>
      </c>
      <c r="B1124" s="155"/>
      <c r="C1124" s="155" t="s">
        <v>348</v>
      </c>
      <c r="D1124" s="155" t="s">
        <v>132</v>
      </c>
      <c r="E1124" s="155" t="s">
        <v>307</v>
      </c>
      <c r="F1124" s="156" t="s">
        <v>599</v>
      </c>
      <c r="G1124" s="30">
        <v>333.8</v>
      </c>
      <c r="H1124" s="20"/>
      <c r="I1124" s="20"/>
      <c r="J1124" s="250">
        <f>SUM('ведомствен.2013'!G974)</f>
        <v>333.8</v>
      </c>
    </row>
    <row r="1125" spans="1:10" s="25" customFormat="1" ht="27.75" customHeight="1">
      <c r="A1125" s="106" t="s">
        <v>308</v>
      </c>
      <c r="B1125" s="155"/>
      <c r="C1125" s="155" t="s">
        <v>348</v>
      </c>
      <c r="D1125" s="155" t="s">
        <v>132</v>
      </c>
      <c r="E1125" s="155" t="s">
        <v>309</v>
      </c>
      <c r="F1125" s="156"/>
      <c r="G1125" s="30">
        <f>SUM(G1126)</f>
        <v>1176.9</v>
      </c>
      <c r="H1125" s="20"/>
      <c r="I1125" s="20"/>
      <c r="J1125" s="250"/>
    </row>
    <row r="1126" spans="1:10" s="25" customFormat="1" ht="29.25" customHeight="1">
      <c r="A1126" s="106" t="s">
        <v>598</v>
      </c>
      <c r="B1126" s="155"/>
      <c r="C1126" s="155" t="s">
        <v>348</v>
      </c>
      <c r="D1126" s="155" t="s">
        <v>132</v>
      </c>
      <c r="E1126" s="155" t="s">
        <v>309</v>
      </c>
      <c r="F1126" s="156" t="s">
        <v>599</v>
      </c>
      <c r="G1126" s="30">
        <v>1176.9</v>
      </c>
      <c r="H1126" s="20">
        <v>1026.3</v>
      </c>
      <c r="I1126" s="20">
        <f>SUM(H1126/G1126*100)</f>
        <v>87.20367066020901</v>
      </c>
      <c r="J1126" s="250">
        <f>SUM('ведомствен.2013'!G976)</f>
        <v>1176.9</v>
      </c>
    </row>
    <row r="1127" spans="1:10" s="25" customFormat="1" ht="29.25" customHeight="1">
      <c r="A1127" s="106" t="s">
        <v>609</v>
      </c>
      <c r="B1127" s="155"/>
      <c r="C1127" s="155" t="s">
        <v>348</v>
      </c>
      <c r="D1127" s="155" t="s">
        <v>132</v>
      </c>
      <c r="E1127" s="155" t="s">
        <v>610</v>
      </c>
      <c r="F1127" s="158"/>
      <c r="G1127" s="91">
        <f>SUM(G1128)</f>
        <v>2343</v>
      </c>
      <c r="H1127" s="20"/>
      <c r="I1127" s="20"/>
      <c r="J1127" s="250"/>
    </row>
    <row r="1128" spans="1:10" s="25" customFormat="1" ht="29.25" customHeight="1">
      <c r="A1128" s="106" t="s">
        <v>611</v>
      </c>
      <c r="B1128" s="155"/>
      <c r="C1128" s="155" t="s">
        <v>348</v>
      </c>
      <c r="D1128" s="155" t="s">
        <v>132</v>
      </c>
      <c r="E1128" s="155" t="s">
        <v>936</v>
      </c>
      <c r="F1128" s="158"/>
      <c r="G1128" s="91">
        <f>SUM(G1129)</f>
        <v>2343</v>
      </c>
      <c r="H1128" s="20"/>
      <c r="I1128" s="20"/>
      <c r="J1128" s="250"/>
    </row>
    <row r="1129" spans="1:10" s="25" customFormat="1" ht="29.25" customHeight="1">
      <c r="A1129" s="106" t="s">
        <v>598</v>
      </c>
      <c r="B1129" s="155"/>
      <c r="C1129" s="155" t="s">
        <v>348</v>
      </c>
      <c r="D1129" s="155" t="s">
        <v>132</v>
      </c>
      <c r="E1129" s="155" t="s">
        <v>936</v>
      </c>
      <c r="F1129" s="158" t="s">
        <v>599</v>
      </c>
      <c r="G1129" s="91">
        <v>2343</v>
      </c>
      <c r="H1129" s="20"/>
      <c r="I1129" s="20"/>
      <c r="J1129" s="250">
        <f>SUM('ведомствен.2013'!G979)</f>
        <v>2343</v>
      </c>
    </row>
    <row r="1130" spans="1:9" ht="48.75" customHeight="1">
      <c r="A1130" s="133" t="s">
        <v>811</v>
      </c>
      <c r="B1130" s="155"/>
      <c r="C1130" s="183" t="s">
        <v>348</v>
      </c>
      <c r="D1130" s="183" t="s">
        <v>132</v>
      </c>
      <c r="E1130" s="155" t="s">
        <v>812</v>
      </c>
      <c r="F1130" s="156"/>
      <c r="G1130" s="225">
        <f>SUM(G1131)</f>
        <v>9990.4</v>
      </c>
      <c r="H1130" s="27" t="e">
        <f>SUM(#REF!)</f>
        <v>#REF!</v>
      </c>
      <c r="I1130" s="20" t="e">
        <f>SUM(H1130/G1130*100)</f>
        <v>#REF!</v>
      </c>
    </row>
    <row r="1131" spans="1:10" ht="18" customHeight="1">
      <c r="A1131" s="108" t="s">
        <v>483</v>
      </c>
      <c r="B1131" s="155"/>
      <c r="C1131" s="183" t="s">
        <v>348</v>
      </c>
      <c r="D1131" s="183" t="s">
        <v>132</v>
      </c>
      <c r="E1131" s="155" t="s">
        <v>812</v>
      </c>
      <c r="F1131" s="156" t="s">
        <v>933</v>
      </c>
      <c r="G1131" s="225">
        <f>10590.4-600</f>
        <v>9990.4</v>
      </c>
      <c r="H1131" s="27"/>
      <c r="I1131" s="20">
        <f>SUM(H1131/G1131*100)</f>
        <v>0</v>
      </c>
      <c r="J1131" s="246">
        <f>SUM('ведомствен.2013'!G699)</f>
        <v>9990.4</v>
      </c>
    </row>
    <row r="1132" spans="1:9" ht="18.75" customHeight="1">
      <c r="A1132" s="108" t="s">
        <v>634</v>
      </c>
      <c r="B1132" s="155"/>
      <c r="C1132" s="155" t="s">
        <v>348</v>
      </c>
      <c r="D1132" s="155" t="s">
        <v>132</v>
      </c>
      <c r="E1132" s="159" t="s">
        <v>635</v>
      </c>
      <c r="F1132" s="157"/>
      <c r="G1132" s="30">
        <f>SUM(G1133)</f>
        <v>1665.8000000000002</v>
      </c>
      <c r="H1132" s="20"/>
      <c r="I1132" s="20"/>
    </row>
    <row r="1133" spans="1:9" ht="104.25" customHeight="1">
      <c r="A1133" s="128" t="s">
        <v>658</v>
      </c>
      <c r="B1133" s="155"/>
      <c r="C1133" s="155" t="s">
        <v>348</v>
      </c>
      <c r="D1133" s="155" t="s">
        <v>132</v>
      </c>
      <c r="E1133" s="159" t="s">
        <v>92</v>
      </c>
      <c r="F1133" s="166"/>
      <c r="G1133" s="30">
        <f>SUM(G1134:G1136)</f>
        <v>1665.8000000000002</v>
      </c>
      <c r="H1133" s="20"/>
      <c r="I1133" s="20"/>
    </row>
    <row r="1134" spans="1:10" ht="18" customHeight="1" hidden="1">
      <c r="A1134" s="143" t="s">
        <v>598</v>
      </c>
      <c r="B1134" s="159"/>
      <c r="C1134" s="155" t="s">
        <v>348</v>
      </c>
      <c r="D1134" s="155" t="s">
        <v>132</v>
      </c>
      <c r="E1134" s="159" t="s">
        <v>92</v>
      </c>
      <c r="F1134" s="157" t="s">
        <v>599</v>
      </c>
      <c r="G1134" s="30"/>
      <c r="H1134" s="20">
        <v>1026.3</v>
      </c>
      <c r="I1134" s="20" t="e">
        <f>SUM(H1134/G1134*100)</f>
        <v>#DIV/0!</v>
      </c>
      <c r="J1134" s="246">
        <f>SUM('ведомствен.2013'!G982)</f>
        <v>0</v>
      </c>
    </row>
    <row r="1135" spans="1:10" ht="58.5" customHeight="1">
      <c r="A1135" s="128" t="s">
        <v>710</v>
      </c>
      <c r="B1135" s="155"/>
      <c r="C1135" s="155" t="s">
        <v>348</v>
      </c>
      <c r="D1135" s="155" t="s">
        <v>132</v>
      </c>
      <c r="E1135" s="159" t="s">
        <v>92</v>
      </c>
      <c r="F1135" s="166" t="s">
        <v>485</v>
      </c>
      <c r="G1135" s="30">
        <v>1036.7</v>
      </c>
      <c r="H1135" s="20"/>
      <c r="I1135" s="20"/>
      <c r="J1135" s="246">
        <f>SUM('ведомствен.2013'!G983)</f>
        <v>1036.7</v>
      </c>
    </row>
    <row r="1136" spans="1:10" ht="32.25" customHeight="1">
      <c r="A1136" s="128" t="s">
        <v>711</v>
      </c>
      <c r="B1136" s="155"/>
      <c r="C1136" s="155" t="s">
        <v>348</v>
      </c>
      <c r="D1136" s="155" t="s">
        <v>132</v>
      </c>
      <c r="E1136" s="159" t="s">
        <v>92</v>
      </c>
      <c r="F1136" s="166" t="s">
        <v>566</v>
      </c>
      <c r="G1136" s="30">
        <v>629.1</v>
      </c>
      <c r="H1136" s="20"/>
      <c r="I1136" s="20"/>
      <c r="J1136" s="246">
        <f>SUM('ведомствен.2013'!G984)</f>
        <v>629.1</v>
      </c>
    </row>
    <row r="1137" spans="1:10" s="94" customFormat="1" ht="18" customHeight="1">
      <c r="A1137" s="134" t="s">
        <v>925</v>
      </c>
      <c r="B1137" s="189"/>
      <c r="C1137" s="214" t="s">
        <v>166</v>
      </c>
      <c r="D1137" s="214"/>
      <c r="E1137" s="214"/>
      <c r="F1137" s="215"/>
      <c r="G1137" s="224">
        <f>SUM(G1138+G1152)</f>
        <v>13349.9</v>
      </c>
      <c r="H1137" s="93"/>
      <c r="I1137" s="26"/>
      <c r="J1137" s="265"/>
    </row>
    <row r="1138" spans="1:11" s="44" customFormat="1" ht="15.75" customHeight="1">
      <c r="A1138" s="106" t="s">
        <v>906</v>
      </c>
      <c r="B1138" s="155"/>
      <c r="C1138" s="155" t="s">
        <v>166</v>
      </c>
      <c r="D1138" s="155" t="s">
        <v>237</v>
      </c>
      <c r="E1138" s="155"/>
      <c r="F1138" s="156"/>
      <c r="G1138" s="30">
        <f>SUM(G1139,G1142,G1148)</f>
        <v>12045</v>
      </c>
      <c r="H1138" s="43"/>
      <c r="I1138" s="20"/>
      <c r="J1138" s="264"/>
      <c r="K1138" s="44">
        <f>SUM(J1139:J1162)</f>
        <v>13349.899999999998</v>
      </c>
    </row>
    <row r="1139" spans="1:10" s="44" customFormat="1" ht="30" customHeight="1">
      <c r="A1139" s="106" t="s">
        <v>311</v>
      </c>
      <c r="B1139" s="155"/>
      <c r="C1139" s="155" t="s">
        <v>166</v>
      </c>
      <c r="D1139" s="155" t="s">
        <v>237</v>
      </c>
      <c r="E1139" s="155" t="s">
        <v>312</v>
      </c>
      <c r="F1139" s="157"/>
      <c r="G1139" s="91">
        <f>SUM(G1140)</f>
        <v>3732.2</v>
      </c>
      <c r="H1139" s="43"/>
      <c r="I1139" s="20"/>
      <c r="J1139" s="264"/>
    </row>
    <row r="1140" spans="1:10" s="44" customFormat="1" ht="30" customHeight="1">
      <c r="A1140" s="106" t="s">
        <v>482</v>
      </c>
      <c r="B1140" s="155"/>
      <c r="C1140" s="155" t="s">
        <v>166</v>
      </c>
      <c r="D1140" s="155" t="s">
        <v>237</v>
      </c>
      <c r="E1140" s="155" t="s">
        <v>391</v>
      </c>
      <c r="F1140" s="157"/>
      <c r="G1140" s="91">
        <f>SUM(G1141)</f>
        <v>3732.2</v>
      </c>
      <c r="H1140" s="43"/>
      <c r="I1140" s="20"/>
      <c r="J1140" s="264"/>
    </row>
    <row r="1141" spans="1:10" s="44" customFormat="1" ht="17.25" customHeight="1">
      <c r="A1141" s="108" t="s">
        <v>483</v>
      </c>
      <c r="B1141" s="155"/>
      <c r="C1141" s="155" t="s">
        <v>166</v>
      </c>
      <c r="D1141" s="155" t="s">
        <v>237</v>
      </c>
      <c r="E1141" s="155" t="s">
        <v>391</v>
      </c>
      <c r="F1141" s="156" t="s">
        <v>933</v>
      </c>
      <c r="G1141" s="91">
        <v>3732.2</v>
      </c>
      <c r="H1141" s="43"/>
      <c r="I1141" s="20"/>
      <c r="J1141" s="246">
        <f>SUM('ведомствен.2013'!G1147)</f>
        <v>3732.2</v>
      </c>
    </row>
    <row r="1142" spans="1:10" s="44" customFormat="1" ht="15" customHeight="1">
      <c r="A1142" s="108" t="s">
        <v>634</v>
      </c>
      <c r="B1142" s="155"/>
      <c r="C1142" s="155" t="s">
        <v>166</v>
      </c>
      <c r="D1142" s="155" t="s">
        <v>237</v>
      </c>
      <c r="E1142" s="175" t="s">
        <v>635</v>
      </c>
      <c r="F1142" s="156"/>
      <c r="G1142" s="30">
        <f>SUM(G1143)+G1146</f>
        <v>5312.799999999999</v>
      </c>
      <c r="H1142" s="43"/>
      <c r="I1142" s="20"/>
      <c r="J1142" s="246"/>
    </row>
    <row r="1143" spans="1:10" s="44" customFormat="1" ht="46.5" customHeight="1">
      <c r="A1143" s="106" t="s">
        <v>6</v>
      </c>
      <c r="B1143" s="155"/>
      <c r="C1143" s="155" t="s">
        <v>166</v>
      </c>
      <c r="D1143" s="155" t="s">
        <v>237</v>
      </c>
      <c r="E1143" s="175" t="s">
        <v>592</v>
      </c>
      <c r="F1143" s="156"/>
      <c r="G1143" s="30">
        <f>SUM(G1144:G1145)</f>
        <v>4742.9</v>
      </c>
      <c r="H1143" s="43"/>
      <c r="I1143" s="20"/>
      <c r="J1143" s="246"/>
    </row>
    <row r="1144" spans="1:10" ht="38.25" customHeight="1">
      <c r="A1144" s="106" t="s">
        <v>593</v>
      </c>
      <c r="B1144" s="155"/>
      <c r="C1144" s="155" t="s">
        <v>166</v>
      </c>
      <c r="D1144" s="155" t="s">
        <v>237</v>
      </c>
      <c r="E1144" s="175" t="s">
        <v>592</v>
      </c>
      <c r="F1144" s="156" t="s">
        <v>1009</v>
      </c>
      <c r="G1144" s="30">
        <v>4742.9</v>
      </c>
      <c r="H1144" s="20"/>
      <c r="I1144" s="20"/>
      <c r="J1144" s="246">
        <f>SUM('ведомствен.2013'!G1150)</f>
        <v>4742.9</v>
      </c>
    </row>
    <row r="1145" spans="1:10" ht="30" customHeight="1" hidden="1">
      <c r="A1145" s="108" t="s">
        <v>666</v>
      </c>
      <c r="B1145" s="155"/>
      <c r="C1145" s="155" t="s">
        <v>166</v>
      </c>
      <c r="D1145" s="155" t="s">
        <v>237</v>
      </c>
      <c r="E1145" s="175" t="s">
        <v>592</v>
      </c>
      <c r="F1145" s="156" t="s">
        <v>566</v>
      </c>
      <c r="G1145" s="30"/>
      <c r="H1145" s="43"/>
      <c r="I1145" s="20"/>
      <c r="J1145" s="246">
        <f>SUM('ведомствен.2013'!G1151)</f>
        <v>0</v>
      </c>
    </row>
    <row r="1146" spans="1:9" ht="45" customHeight="1">
      <c r="A1146" s="106" t="s">
        <v>681</v>
      </c>
      <c r="B1146" s="155"/>
      <c r="C1146" s="155" t="s">
        <v>166</v>
      </c>
      <c r="D1146" s="155" t="s">
        <v>237</v>
      </c>
      <c r="E1146" s="175" t="s">
        <v>157</v>
      </c>
      <c r="F1146" s="156"/>
      <c r="G1146" s="30">
        <f>SUM(G1147)</f>
        <v>569.9</v>
      </c>
      <c r="H1146" s="43"/>
      <c r="I1146" s="20"/>
    </row>
    <row r="1147" spans="1:10" ht="29.25" customHeight="1">
      <c r="A1147" s="108" t="s">
        <v>666</v>
      </c>
      <c r="B1147" s="155"/>
      <c r="C1147" s="155" t="s">
        <v>166</v>
      </c>
      <c r="D1147" s="155" t="s">
        <v>237</v>
      </c>
      <c r="E1147" s="175" t="s">
        <v>157</v>
      </c>
      <c r="F1147" s="156" t="s">
        <v>566</v>
      </c>
      <c r="G1147" s="30">
        <v>569.9</v>
      </c>
      <c r="H1147" s="43"/>
      <c r="I1147" s="20"/>
      <c r="J1147" s="246">
        <f>SUM('ведомствен.2013'!G1153)</f>
        <v>569.9</v>
      </c>
    </row>
    <row r="1148" spans="1:9" ht="15">
      <c r="A1148" s="106" t="s">
        <v>708</v>
      </c>
      <c r="B1148" s="155"/>
      <c r="C1148" s="155" t="s">
        <v>166</v>
      </c>
      <c r="D1148" s="155" t="s">
        <v>239</v>
      </c>
      <c r="E1148" s="159"/>
      <c r="F1148" s="157"/>
      <c r="G1148" s="30">
        <f>SUM(G1149)</f>
        <v>3000</v>
      </c>
      <c r="H1148" s="20"/>
      <c r="I1148" s="20"/>
    </row>
    <row r="1149" spans="1:9" ht="18.75" customHeight="1">
      <c r="A1149" s="106" t="s">
        <v>340</v>
      </c>
      <c r="B1149" s="155"/>
      <c r="C1149" s="155" t="s">
        <v>166</v>
      </c>
      <c r="D1149" s="155" t="s">
        <v>239</v>
      </c>
      <c r="E1149" s="155" t="s">
        <v>341</v>
      </c>
      <c r="F1149" s="157"/>
      <c r="G1149" s="30">
        <f>SUM(G1150)</f>
        <v>3000</v>
      </c>
      <c r="H1149" s="81"/>
      <c r="I1149" s="20"/>
    </row>
    <row r="1150" spans="1:9" ht="33" customHeight="1">
      <c r="A1150" s="106" t="s">
        <v>709</v>
      </c>
      <c r="B1150" s="155"/>
      <c r="C1150" s="155" t="s">
        <v>166</v>
      </c>
      <c r="D1150" s="155" t="s">
        <v>239</v>
      </c>
      <c r="E1150" s="155" t="s">
        <v>1006</v>
      </c>
      <c r="F1150" s="157"/>
      <c r="G1150" s="30">
        <f>SUM(G1151)</f>
        <v>3000</v>
      </c>
      <c r="H1150" s="81"/>
      <c r="I1150" s="20"/>
    </row>
    <row r="1151" spans="1:10" ht="33.75" customHeight="1">
      <c r="A1151" s="108" t="s">
        <v>666</v>
      </c>
      <c r="B1151" s="155"/>
      <c r="C1151" s="155" t="s">
        <v>166</v>
      </c>
      <c r="D1151" s="155" t="s">
        <v>239</v>
      </c>
      <c r="E1151" s="155" t="s">
        <v>1006</v>
      </c>
      <c r="F1151" s="156" t="s">
        <v>566</v>
      </c>
      <c r="G1151" s="30">
        <v>3000</v>
      </c>
      <c r="H1151" s="81"/>
      <c r="I1151" s="20"/>
      <c r="J1151" s="246">
        <f>SUM('ведомствен.2013'!G1157)</f>
        <v>3000</v>
      </c>
    </row>
    <row r="1152" spans="1:10" s="44" customFormat="1" ht="17.25" customHeight="1">
      <c r="A1152" s="106" t="s">
        <v>907</v>
      </c>
      <c r="B1152" s="155"/>
      <c r="C1152" s="155" t="s">
        <v>166</v>
      </c>
      <c r="D1152" s="155" t="s">
        <v>638</v>
      </c>
      <c r="E1152" s="159"/>
      <c r="F1152" s="157"/>
      <c r="G1152" s="30">
        <f>SUM(G1153+G1156+G1158)</f>
        <v>1304.9</v>
      </c>
      <c r="H1152" s="43"/>
      <c r="I1152" s="20"/>
      <c r="J1152" s="264"/>
    </row>
    <row r="1153" spans="1:10" s="44" customFormat="1" ht="42.75" customHeight="1" hidden="1">
      <c r="A1153" s="106" t="s">
        <v>594</v>
      </c>
      <c r="B1153" s="155"/>
      <c r="C1153" s="155" t="s">
        <v>166</v>
      </c>
      <c r="D1153" s="155" t="s">
        <v>638</v>
      </c>
      <c r="E1153" s="155" t="s">
        <v>595</v>
      </c>
      <c r="F1153" s="157"/>
      <c r="G1153" s="30">
        <f>SUM(G1154)</f>
        <v>0</v>
      </c>
      <c r="H1153" s="43"/>
      <c r="I1153" s="20"/>
      <c r="J1153" s="264"/>
    </row>
    <row r="1154" spans="1:10" s="44" customFormat="1" ht="18" customHeight="1" hidden="1">
      <c r="A1154" s="106" t="s">
        <v>602</v>
      </c>
      <c r="B1154" s="155"/>
      <c r="C1154" s="155" t="s">
        <v>166</v>
      </c>
      <c r="D1154" s="155" t="s">
        <v>638</v>
      </c>
      <c r="E1154" s="155" t="s">
        <v>604</v>
      </c>
      <c r="F1154" s="157"/>
      <c r="G1154" s="30">
        <f>SUM(G1155)</f>
        <v>0</v>
      </c>
      <c r="H1154" s="43"/>
      <c r="I1154" s="20"/>
      <c r="J1154" s="264"/>
    </row>
    <row r="1155" spans="1:10" s="44" customFormat="1" ht="17.25" customHeight="1" hidden="1">
      <c r="A1155" s="106" t="s">
        <v>598</v>
      </c>
      <c r="B1155" s="155"/>
      <c r="C1155" s="155" t="s">
        <v>166</v>
      </c>
      <c r="D1155" s="155" t="s">
        <v>638</v>
      </c>
      <c r="E1155" s="155" t="s">
        <v>604</v>
      </c>
      <c r="F1155" s="156" t="s">
        <v>599</v>
      </c>
      <c r="G1155" s="30"/>
      <c r="H1155" s="43"/>
      <c r="I1155" s="20"/>
      <c r="J1155" s="246">
        <f>SUM('ведомствен.2013'!G1161)</f>
        <v>0</v>
      </c>
    </row>
    <row r="1156" spans="1:10" s="44" customFormat="1" ht="18" customHeight="1" hidden="1">
      <c r="A1156" s="108" t="s">
        <v>128</v>
      </c>
      <c r="B1156" s="155"/>
      <c r="C1156" s="155" t="s">
        <v>166</v>
      </c>
      <c r="D1156" s="155" t="s">
        <v>638</v>
      </c>
      <c r="E1156" s="159" t="s">
        <v>129</v>
      </c>
      <c r="F1156" s="157"/>
      <c r="G1156" s="30">
        <f>SUM(G1157)</f>
        <v>0</v>
      </c>
      <c r="H1156" s="43"/>
      <c r="I1156" s="20"/>
      <c r="J1156" s="264"/>
    </row>
    <row r="1157" spans="1:10" s="44" customFormat="1" ht="18" customHeight="1" hidden="1">
      <c r="A1157" s="106" t="s">
        <v>598</v>
      </c>
      <c r="B1157" s="155"/>
      <c r="C1157" s="155" t="s">
        <v>166</v>
      </c>
      <c r="D1157" s="155" t="s">
        <v>638</v>
      </c>
      <c r="E1157" s="159" t="s">
        <v>129</v>
      </c>
      <c r="F1157" s="157" t="s">
        <v>599</v>
      </c>
      <c r="G1157" s="30"/>
      <c r="H1157" s="43"/>
      <c r="I1157" s="20"/>
      <c r="J1157" s="264"/>
    </row>
    <row r="1158" spans="1:9" ht="14.25" customHeight="1">
      <c r="A1158" s="108" t="s">
        <v>634</v>
      </c>
      <c r="B1158" s="159"/>
      <c r="C1158" s="155" t="s">
        <v>166</v>
      </c>
      <c r="D1158" s="155" t="s">
        <v>638</v>
      </c>
      <c r="E1158" s="159" t="s">
        <v>635</v>
      </c>
      <c r="F1158" s="157"/>
      <c r="G1158" s="225">
        <f>SUM(G1161)+G1159</f>
        <v>1304.9</v>
      </c>
      <c r="H1158" s="20" t="e">
        <f>SUM(H1163)+H1167+H1169</f>
        <v>#REF!</v>
      </c>
      <c r="I1158" s="20" t="e">
        <f>SUM(H1158/G1158*100)</f>
        <v>#REF!</v>
      </c>
    </row>
    <row r="1159" spans="1:9" ht="42.75" hidden="1">
      <c r="A1159" s="109" t="s">
        <v>821</v>
      </c>
      <c r="B1159" s="155"/>
      <c r="C1159" s="155" t="s">
        <v>166</v>
      </c>
      <c r="D1159" s="155" t="s">
        <v>638</v>
      </c>
      <c r="E1159" s="159" t="s">
        <v>1037</v>
      </c>
      <c r="F1159" s="156"/>
      <c r="G1159" s="30">
        <f>SUM(G1160)</f>
        <v>0</v>
      </c>
      <c r="H1159" s="20"/>
      <c r="I1159" s="20"/>
    </row>
    <row r="1160" spans="1:10" ht="15" hidden="1">
      <c r="A1160" s="106" t="s">
        <v>598</v>
      </c>
      <c r="B1160" s="155"/>
      <c r="C1160" s="155" t="s">
        <v>166</v>
      </c>
      <c r="D1160" s="155" t="s">
        <v>638</v>
      </c>
      <c r="E1160" s="159" t="s">
        <v>1037</v>
      </c>
      <c r="F1160" s="156" t="s">
        <v>599</v>
      </c>
      <c r="G1160" s="30"/>
      <c r="H1160" s="20"/>
      <c r="I1160" s="20"/>
      <c r="J1160" s="246">
        <f>SUM('ведомствен.2013'!G1164)</f>
        <v>0</v>
      </c>
    </row>
    <row r="1161" spans="1:9" ht="29.25" customHeight="1">
      <c r="A1161" s="106" t="s">
        <v>27</v>
      </c>
      <c r="B1161" s="155"/>
      <c r="C1161" s="155" t="s">
        <v>166</v>
      </c>
      <c r="D1161" s="155" t="s">
        <v>638</v>
      </c>
      <c r="E1161" s="159" t="s">
        <v>475</v>
      </c>
      <c r="F1161" s="161"/>
      <c r="G1161" s="225">
        <f>SUM(G1162)</f>
        <v>1304.9</v>
      </c>
      <c r="H1161" s="27">
        <f>SUM(H1162)</f>
        <v>1042.3</v>
      </c>
      <c r="I1161" s="20">
        <f>SUM(H1161/G1161*100)</f>
        <v>79.8758525557514</v>
      </c>
    </row>
    <row r="1162" spans="1:10" ht="20.25" customHeight="1">
      <c r="A1162" s="109" t="s">
        <v>641</v>
      </c>
      <c r="B1162" s="155"/>
      <c r="C1162" s="155" t="s">
        <v>166</v>
      </c>
      <c r="D1162" s="155" t="s">
        <v>638</v>
      </c>
      <c r="E1162" s="159" t="s">
        <v>475</v>
      </c>
      <c r="F1162" s="161" t="s">
        <v>642</v>
      </c>
      <c r="G1162" s="225">
        <v>1304.9</v>
      </c>
      <c r="H1162" s="27">
        <v>1042.3</v>
      </c>
      <c r="I1162" s="20">
        <f>SUM(H1162/G1162*100)</f>
        <v>79.8758525557514</v>
      </c>
      <c r="J1162" s="246">
        <f>SUM('ведомствен.2013'!G668)</f>
        <v>1304.9</v>
      </c>
    </row>
    <row r="1163" spans="1:10" s="44" customFormat="1" ht="18" customHeight="1" hidden="1">
      <c r="A1163" s="143"/>
      <c r="B1163" s="220"/>
      <c r="C1163" s="220"/>
      <c r="D1163" s="220"/>
      <c r="E1163" s="155"/>
      <c r="F1163" s="222"/>
      <c r="G1163" s="231"/>
      <c r="H1163" s="43"/>
      <c r="I1163" s="20"/>
      <c r="J1163" s="264"/>
    </row>
    <row r="1164" spans="1:10" s="44" customFormat="1" ht="0.75" customHeight="1" hidden="1">
      <c r="A1164" s="143"/>
      <c r="B1164" s="220"/>
      <c r="C1164" s="220"/>
      <c r="D1164" s="220"/>
      <c r="E1164" s="155"/>
      <c r="F1164" s="222"/>
      <c r="G1164" s="231"/>
      <c r="H1164" s="43"/>
      <c r="I1164" s="20"/>
      <c r="J1164" s="264"/>
    </row>
    <row r="1165" spans="1:11" s="94" customFormat="1" ht="21" customHeight="1">
      <c r="A1165" s="134" t="s">
        <v>141</v>
      </c>
      <c r="B1165" s="189"/>
      <c r="C1165" s="189" t="s">
        <v>904</v>
      </c>
      <c r="D1165" s="189" t="s">
        <v>777</v>
      </c>
      <c r="E1165" s="189"/>
      <c r="F1165" s="216"/>
      <c r="G1165" s="224">
        <f>SUM(G1166)</f>
        <v>13700</v>
      </c>
      <c r="H1165" s="93"/>
      <c r="I1165" s="26"/>
      <c r="J1165" s="265"/>
      <c r="K1165" s="117">
        <f>SUM(G1165)</f>
        <v>13700</v>
      </c>
    </row>
    <row r="1166" spans="1:10" s="44" customFormat="1" ht="33" customHeight="1">
      <c r="A1166" s="128" t="s">
        <v>905</v>
      </c>
      <c r="B1166" s="155"/>
      <c r="C1166" s="183" t="s">
        <v>904</v>
      </c>
      <c r="D1166" s="183" t="s">
        <v>237</v>
      </c>
      <c r="E1166" s="155"/>
      <c r="F1166" s="156"/>
      <c r="G1166" s="225">
        <f>SUM(G1167)</f>
        <v>13700</v>
      </c>
      <c r="H1166" s="43"/>
      <c r="I1166" s="20"/>
      <c r="J1166" s="264"/>
    </row>
    <row r="1167" spans="1:10" s="44" customFormat="1" ht="16.5" customHeight="1">
      <c r="A1167" s="106" t="s">
        <v>142</v>
      </c>
      <c r="B1167" s="155"/>
      <c r="C1167" s="183" t="s">
        <v>904</v>
      </c>
      <c r="D1167" s="183" t="s">
        <v>237</v>
      </c>
      <c r="E1167" s="155" t="s">
        <v>143</v>
      </c>
      <c r="F1167" s="158"/>
      <c r="G1167" s="30">
        <f>SUM(G1169)</f>
        <v>13700</v>
      </c>
      <c r="H1167" s="27" t="e">
        <f>SUM(H1168)</f>
        <v>#REF!</v>
      </c>
      <c r="I1167" s="20" t="e">
        <f>SUM(H1167/G1167*100)</f>
        <v>#REF!</v>
      </c>
      <c r="J1167" s="264"/>
    </row>
    <row r="1168" spans="1:10" s="44" customFormat="1" ht="18.75" customHeight="1">
      <c r="A1168" s="106" t="s">
        <v>144</v>
      </c>
      <c r="B1168" s="155"/>
      <c r="C1168" s="183" t="s">
        <v>904</v>
      </c>
      <c r="D1168" s="183" t="s">
        <v>237</v>
      </c>
      <c r="E1168" s="155" t="s">
        <v>145</v>
      </c>
      <c r="F1168" s="158"/>
      <c r="G1168" s="30">
        <f>SUM(G1169)</f>
        <v>13700</v>
      </c>
      <c r="H1168" s="27" t="e">
        <f>SUM(H1169)</f>
        <v>#REF!</v>
      </c>
      <c r="I1168" s="20" t="e">
        <f>SUM(H1168/G1168*100)</f>
        <v>#REF!</v>
      </c>
      <c r="J1168" s="264"/>
    </row>
    <row r="1169" spans="1:10" s="44" customFormat="1" ht="20.25" customHeight="1" thickBot="1">
      <c r="A1169" s="106" t="s">
        <v>146</v>
      </c>
      <c r="B1169" s="155"/>
      <c r="C1169" s="183" t="s">
        <v>904</v>
      </c>
      <c r="D1169" s="183" t="s">
        <v>237</v>
      </c>
      <c r="E1169" s="155" t="s">
        <v>145</v>
      </c>
      <c r="F1169" s="158" t="s">
        <v>147</v>
      </c>
      <c r="G1169" s="30">
        <v>13700</v>
      </c>
      <c r="H1169" s="27" t="e">
        <f>SUM(#REF!)</f>
        <v>#REF!</v>
      </c>
      <c r="I1169" s="20" t="e">
        <f>SUM(H1169/G1169*100)</f>
        <v>#REF!</v>
      </c>
      <c r="J1169" s="264">
        <f>SUM('ведомствен.2013'!G704)</f>
        <v>13700</v>
      </c>
    </row>
    <row r="1170" spans="1:10" s="36" customFormat="1" ht="21.75" customHeight="1" thickBot="1">
      <c r="A1170" s="144" t="s">
        <v>738</v>
      </c>
      <c r="B1170" s="199"/>
      <c r="C1170" s="200"/>
      <c r="D1170" s="200"/>
      <c r="E1170" s="200"/>
      <c r="F1170" s="201"/>
      <c r="G1170" s="232">
        <f>SUM(G13+G144+G203+G273+G440+G481+G743+G816+G938)+G1165+G1137</f>
        <v>2990707.1999999997</v>
      </c>
      <c r="H1170" s="45" t="e">
        <f>SUM(H13+H144+H203+H273+H440+H481+H743+H816+H938)</f>
        <v>#REF!</v>
      </c>
      <c r="I1170" s="46" t="e">
        <f>SUM(H1170/G1170*100)</f>
        <v>#REF!</v>
      </c>
      <c r="J1170" s="258">
        <f>SUM(J13:J1169)</f>
        <v>2990707.200000001</v>
      </c>
    </row>
    <row r="1171" spans="1:9" ht="28.5" customHeight="1" hidden="1">
      <c r="A1171" s="47" t="s">
        <v>739</v>
      </c>
      <c r="B1171" s="48"/>
      <c r="C1171" s="49"/>
      <c r="D1171" s="48"/>
      <c r="E1171" s="48"/>
      <c r="F1171" s="50"/>
      <c r="G1171" s="51">
        <f>-76000-174.5-350</f>
        <v>-76524.5</v>
      </c>
      <c r="H1171" s="51">
        <f>-76000-174.5-350</f>
        <v>-76524.5</v>
      </c>
      <c r="I1171" s="51">
        <f>-76000-174.5-350</f>
        <v>-76524.5</v>
      </c>
    </row>
    <row r="1172" spans="1:9" ht="15" customHeight="1" hidden="1">
      <c r="A1172" s="99" t="s">
        <v>740</v>
      </c>
      <c r="B1172" s="52"/>
      <c r="C1172" s="53"/>
      <c r="D1172" s="52"/>
      <c r="E1172" s="52"/>
      <c r="F1172" s="54"/>
      <c r="G1172" s="55"/>
      <c r="H1172" s="55"/>
      <c r="I1172" s="55"/>
    </row>
    <row r="1173" spans="1:9" ht="17.25" customHeight="1" hidden="1">
      <c r="A1173" s="47" t="s">
        <v>740</v>
      </c>
      <c r="B1173" s="49" t="s">
        <v>741</v>
      </c>
      <c r="C1173" s="49" t="s">
        <v>777</v>
      </c>
      <c r="D1173" s="49" t="s">
        <v>777</v>
      </c>
      <c r="E1173" s="49" t="s">
        <v>742</v>
      </c>
      <c r="F1173" s="56" t="s">
        <v>741</v>
      </c>
      <c r="G1173" s="57"/>
      <c r="H1173" s="57"/>
      <c r="I1173" s="57"/>
    </row>
    <row r="1174" spans="1:9" ht="30" customHeight="1" hidden="1">
      <c r="A1174" s="100" t="s">
        <v>743</v>
      </c>
      <c r="B1174" s="58" t="s">
        <v>741</v>
      </c>
      <c r="C1174" s="58" t="s">
        <v>237</v>
      </c>
      <c r="D1174" s="58" t="s">
        <v>601</v>
      </c>
      <c r="E1174" s="58" t="s">
        <v>742</v>
      </c>
      <c r="F1174" s="59"/>
      <c r="G1174" s="60">
        <v>0</v>
      </c>
      <c r="H1174" s="60">
        <v>0</v>
      </c>
      <c r="I1174" s="60">
        <v>0</v>
      </c>
    </row>
    <row r="1175" spans="1:9" ht="42" customHeight="1" hidden="1">
      <c r="A1175" s="21" t="s">
        <v>744</v>
      </c>
      <c r="B1175" s="61" t="s">
        <v>741</v>
      </c>
      <c r="C1175" s="61" t="s">
        <v>237</v>
      </c>
      <c r="D1175" s="61" t="s">
        <v>601</v>
      </c>
      <c r="E1175" s="61" t="s">
        <v>745</v>
      </c>
      <c r="F1175" s="62" t="s">
        <v>746</v>
      </c>
      <c r="G1175" s="60">
        <v>62000</v>
      </c>
      <c r="H1175" s="60">
        <v>62000</v>
      </c>
      <c r="I1175" s="60">
        <v>62000</v>
      </c>
    </row>
    <row r="1176" spans="1:9" ht="30.75" customHeight="1" hidden="1">
      <c r="A1176" s="101" t="s">
        <v>747</v>
      </c>
      <c r="B1176" s="61" t="s">
        <v>741</v>
      </c>
      <c r="C1176" s="61" t="s">
        <v>237</v>
      </c>
      <c r="D1176" s="61" t="s">
        <v>601</v>
      </c>
      <c r="E1176" s="61" t="s">
        <v>745</v>
      </c>
      <c r="F1176" s="62" t="s">
        <v>748</v>
      </c>
      <c r="G1176" s="63">
        <v>62000</v>
      </c>
      <c r="H1176" s="63">
        <v>62000</v>
      </c>
      <c r="I1176" s="63">
        <v>62000</v>
      </c>
    </row>
    <row r="1177" spans="1:9" ht="29.25" customHeight="1" hidden="1">
      <c r="A1177" s="24" t="s">
        <v>749</v>
      </c>
      <c r="B1177" s="61" t="s">
        <v>741</v>
      </c>
      <c r="C1177" s="61" t="s">
        <v>132</v>
      </c>
      <c r="D1177" s="61" t="s">
        <v>777</v>
      </c>
      <c r="E1177" s="61" t="s">
        <v>742</v>
      </c>
      <c r="F1177" s="62" t="s">
        <v>741</v>
      </c>
      <c r="G1177" s="64"/>
      <c r="H1177" s="64"/>
      <c r="I1177" s="64"/>
    </row>
    <row r="1178" spans="1:9" ht="18" customHeight="1" hidden="1">
      <c r="A1178" s="102" t="s">
        <v>750</v>
      </c>
      <c r="B1178" s="65" t="s">
        <v>741</v>
      </c>
      <c r="C1178" s="65" t="s">
        <v>237</v>
      </c>
      <c r="D1178" s="65" t="s">
        <v>638</v>
      </c>
      <c r="E1178" s="65" t="s">
        <v>751</v>
      </c>
      <c r="F1178" s="66" t="s">
        <v>741</v>
      </c>
      <c r="G1178" s="67">
        <f>67475+1681.5+1571.6</f>
        <v>70728.1</v>
      </c>
      <c r="H1178" s="67">
        <f>67475+1681.5+1571.6</f>
        <v>70728.1</v>
      </c>
      <c r="I1178" s="67">
        <f>67475+1681.5+1571.6</f>
        <v>70728.1</v>
      </c>
    </row>
    <row r="1179" spans="1:9" ht="28.5" customHeight="1" hidden="1">
      <c r="A1179" s="38" t="s">
        <v>752</v>
      </c>
      <c r="B1179" s="61" t="s">
        <v>741</v>
      </c>
      <c r="C1179" s="65" t="s">
        <v>237</v>
      </c>
      <c r="D1179" s="65" t="s">
        <v>132</v>
      </c>
      <c r="E1179" s="65" t="s">
        <v>742</v>
      </c>
      <c r="F1179" s="66" t="s">
        <v>741</v>
      </c>
      <c r="G1179" s="27">
        <f>SUM(G1180-G1181)</f>
        <v>0</v>
      </c>
      <c r="H1179" s="27">
        <f>SUM(H1180-H1181)</f>
        <v>0</v>
      </c>
      <c r="I1179" s="27">
        <f>SUM(I1180-I1181)</f>
        <v>0</v>
      </c>
    </row>
    <row r="1180" spans="1:9" ht="85.5" customHeight="1" hidden="1">
      <c r="A1180" s="103" t="s">
        <v>401</v>
      </c>
      <c r="B1180" s="61"/>
      <c r="C1180" s="65" t="s">
        <v>237</v>
      </c>
      <c r="D1180" s="65" t="s">
        <v>132</v>
      </c>
      <c r="E1180" s="68" t="s">
        <v>402</v>
      </c>
      <c r="F1180" s="69">
        <v>810</v>
      </c>
      <c r="G1180" s="27">
        <v>10000</v>
      </c>
      <c r="H1180" s="27">
        <v>10000</v>
      </c>
      <c r="I1180" s="27">
        <v>10000</v>
      </c>
    </row>
    <row r="1181" spans="1:9" ht="45" customHeight="1" hidden="1">
      <c r="A1181" s="104" t="s">
        <v>403</v>
      </c>
      <c r="B1181" s="70"/>
      <c r="C1181" s="70" t="s">
        <v>237</v>
      </c>
      <c r="D1181" s="70" t="s">
        <v>132</v>
      </c>
      <c r="E1181" s="71" t="s">
        <v>404</v>
      </c>
      <c r="F1181" s="72">
        <v>640</v>
      </c>
      <c r="G1181" s="73">
        <v>10000</v>
      </c>
      <c r="H1181" s="73">
        <v>10000</v>
      </c>
      <c r="I1181" s="73">
        <v>10000</v>
      </c>
    </row>
    <row r="1182" ht="12.75">
      <c r="G1182" s="114"/>
    </row>
    <row r="1183" spans="7:10" ht="12.75">
      <c r="G1183" s="115"/>
      <c r="J1183" s="246">
        <f>SUM(J1170-'ведомствен.2013'!G1637)</f>
        <v>1.3969838619232178E-09</v>
      </c>
    </row>
    <row r="1185" ht="12.75">
      <c r="J1185" s="246">
        <f>SUM(J1170-G1170)</f>
        <v>1.3969838619232178E-09</v>
      </c>
    </row>
  </sheetData>
  <sheetProtection/>
  <mergeCells count="1">
    <mergeCell ref="F5:G5"/>
  </mergeCells>
  <printOptions/>
  <pageMargins left="1.1023622047244095" right="0.15748031496062992" top="0.15748031496062992" bottom="0.03937007874015748" header="0.5118110236220472" footer="0.2362204724409449"/>
  <pageSetup fitToHeight="15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5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75.375" style="107" customWidth="1"/>
    <col min="2" max="2" width="6.875" style="1" customWidth="1"/>
    <col min="3" max="3" width="7.75390625" style="0" customWidth="1"/>
    <col min="4" max="4" width="6.875" style="0" customWidth="1"/>
    <col min="5" max="5" width="12.75390625" style="0" customWidth="1"/>
    <col min="6" max="6" width="10.125" style="0" customWidth="1"/>
    <col min="7" max="7" width="17.125" style="5" customWidth="1"/>
    <col min="8" max="8" width="11.00390625" style="5" hidden="1" customWidth="1"/>
    <col min="9" max="9" width="4.375" style="5" hidden="1" customWidth="1"/>
    <col min="10" max="10" width="5.875" style="0" customWidth="1"/>
    <col min="11" max="11" width="12.375" style="0" customWidth="1"/>
  </cols>
  <sheetData>
    <row r="1" spans="6:9" ht="12.75">
      <c r="F1" s="25" t="s">
        <v>430</v>
      </c>
      <c r="G1" s="89"/>
      <c r="I1" s="3"/>
    </row>
    <row r="2" spans="1:9" ht="12.75">
      <c r="A2" s="107" t="s">
        <v>405</v>
      </c>
      <c r="F2" s="4" t="s">
        <v>970</v>
      </c>
      <c r="G2" s="89"/>
      <c r="I2" s="3"/>
    </row>
    <row r="3" spans="6:9" ht="12.75">
      <c r="F3" s="4" t="s">
        <v>971</v>
      </c>
      <c r="G3" s="89"/>
      <c r="I3" s="3"/>
    </row>
    <row r="4" spans="6:9" ht="12.75">
      <c r="F4" s="4" t="s">
        <v>972</v>
      </c>
      <c r="G4" s="89"/>
      <c r="I4" s="3"/>
    </row>
    <row r="5" spans="2:7" ht="12.75" customHeight="1">
      <c r="B5" s="6" t="s">
        <v>406</v>
      </c>
      <c r="F5" s="266" t="s">
        <v>433</v>
      </c>
      <c r="G5" s="266"/>
    </row>
    <row r="6" ht="12.75">
      <c r="B6" s="6" t="s">
        <v>407</v>
      </c>
    </row>
    <row r="7" ht="12.75">
      <c r="B7" s="6" t="s">
        <v>253</v>
      </c>
    </row>
    <row r="8" ht="24" customHeight="1" thickBot="1">
      <c r="B8" s="9"/>
    </row>
    <row r="9" spans="1:9" ht="14.25">
      <c r="A9" s="267" t="s">
        <v>408</v>
      </c>
      <c r="B9" s="74" t="s">
        <v>977</v>
      </c>
      <c r="C9" s="75"/>
      <c r="D9" s="76"/>
      <c r="E9" s="76"/>
      <c r="F9" s="76"/>
      <c r="G9" s="13" t="s">
        <v>978</v>
      </c>
      <c r="H9" s="13" t="s">
        <v>979</v>
      </c>
      <c r="I9" s="13" t="s">
        <v>980</v>
      </c>
    </row>
    <row r="10" spans="1:9" ht="24.75" customHeight="1" thickBot="1">
      <c r="A10" s="268"/>
      <c r="B10" s="77" t="s">
        <v>981</v>
      </c>
      <c r="C10" s="78" t="s">
        <v>982</v>
      </c>
      <c r="D10" s="78" t="s">
        <v>983</v>
      </c>
      <c r="E10" s="78" t="s">
        <v>984</v>
      </c>
      <c r="F10" s="79" t="s">
        <v>233</v>
      </c>
      <c r="G10" s="17" t="s">
        <v>254</v>
      </c>
      <c r="H10" s="17" t="s">
        <v>234</v>
      </c>
      <c r="I10" s="17" t="s">
        <v>235</v>
      </c>
    </row>
    <row r="11" spans="1:9" ht="15.75">
      <c r="A11" s="151" t="s">
        <v>784</v>
      </c>
      <c r="B11" s="152" t="s">
        <v>785</v>
      </c>
      <c r="C11" s="153"/>
      <c r="D11" s="153"/>
      <c r="E11" s="153"/>
      <c r="F11" s="154"/>
      <c r="G11" s="202">
        <f>SUM(G12)+G31+G36</f>
        <v>22018.2</v>
      </c>
      <c r="H11" s="80">
        <f>SUM(H12)+H31+H36</f>
        <v>9763.699999999999</v>
      </c>
      <c r="I11" s="80">
        <f aca="true" t="shared" si="0" ref="I11:I47">SUM(H11/G11*100)</f>
        <v>44.34377015378186</v>
      </c>
    </row>
    <row r="12" spans="1:9" ht="15">
      <c r="A12" s="106" t="s">
        <v>236</v>
      </c>
      <c r="B12" s="155"/>
      <c r="C12" s="155" t="s">
        <v>237</v>
      </c>
      <c r="D12" s="155"/>
      <c r="E12" s="155"/>
      <c r="F12" s="156"/>
      <c r="G12" s="91">
        <f>SUM(G13+G17+G23)</f>
        <v>22018.2</v>
      </c>
      <c r="H12" s="20">
        <f>SUM(H13+H17+H23)</f>
        <v>9401.9</v>
      </c>
      <c r="I12" s="20">
        <f t="shared" si="0"/>
        <v>42.70058406227575</v>
      </c>
    </row>
    <row r="13" spans="1:9" ht="28.5">
      <c r="A13" s="106" t="s">
        <v>238</v>
      </c>
      <c r="B13" s="155"/>
      <c r="C13" s="155" t="s">
        <v>237</v>
      </c>
      <c r="D13" s="155" t="s">
        <v>239</v>
      </c>
      <c r="E13" s="155"/>
      <c r="F13" s="156"/>
      <c r="G13" s="91">
        <f>SUM(G14)</f>
        <v>1615</v>
      </c>
      <c r="H13" s="20">
        <f>SUM(H14)</f>
        <v>983.5</v>
      </c>
      <c r="I13" s="20">
        <f t="shared" si="0"/>
        <v>60.89783281733746</v>
      </c>
    </row>
    <row r="14" spans="1:9" ht="33" customHeight="1">
      <c r="A14" s="106" t="s">
        <v>594</v>
      </c>
      <c r="B14" s="155"/>
      <c r="C14" s="155" t="s">
        <v>237</v>
      </c>
      <c r="D14" s="155" t="s">
        <v>239</v>
      </c>
      <c r="E14" s="155" t="s">
        <v>595</v>
      </c>
      <c r="F14" s="156"/>
      <c r="G14" s="91">
        <f>SUM(G16)</f>
        <v>1615</v>
      </c>
      <c r="H14" s="20">
        <f>SUM(H16:H16)</f>
        <v>983.5</v>
      </c>
      <c r="I14" s="20">
        <f t="shared" si="0"/>
        <v>60.89783281733746</v>
      </c>
    </row>
    <row r="15" spans="1:9" ht="20.25" customHeight="1">
      <c r="A15" s="106" t="s">
        <v>596</v>
      </c>
      <c r="B15" s="155"/>
      <c r="C15" s="155" t="s">
        <v>237</v>
      </c>
      <c r="D15" s="155" t="s">
        <v>239</v>
      </c>
      <c r="E15" s="155" t="s">
        <v>597</v>
      </c>
      <c r="F15" s="156"/>
      <c r="G15" s="91">
        <f>SUM(G16)</f>
        <v>1615</v>
      </c>
      <c r="H15" s="20">
        <f>SUM(H16)</f>
        <v>983.5</v>
      </c>
      <c r="I15" s="20">
        <f t="shared" si="0"/>
        <v>60.89783281733746</v>
      </c>
    </row>
    <row r="16" spans="1:9" ht="22.5" customHeight="1">
      <c r="A16" s="106" t="s">
        <v>598</v>
      </c>
      <c r="B16" s="155"/>
      <c r="C16" s="155" t="s">
        <v>237</v>
      </c>
      <c r="D16" s="155" t="s">
        <v>239</v>
      </c>
      <c r="E16" s="155" t="s">
        <v>597</v>
      </c>
      <c r="F16" s="156" t="s">
        <v>599</v>
      </c>
      <c r="G16" s="91">
        <v>1615</v>
      </c>
      <c r="H16" s="20">
        <v>983.5</v>
      </c>
      <c r="I16" s="20">
        <f t="shared" si="0"/>
        <v>60.89783281733746</v>
      </c>
    </row>
    <row r="17" spans="1:9" ht="45" customHeight="1">
      <c r="A17" s="106" t="s">
        <v>600</v>
      </c>
      <c r="B17" s="155"/>
      <c r="C17" s="155" t="s">
        <v>237</v>
      </c>
      <c r="D17" s="155" t="s">
        <v>601</v>
      </c>
      <c r="E17" s="155"/>
      <c r="F17" s="156"/>
      <c r="G17" s="91">
        <f>SUM(G18)</f>
        <v>10608.2</v>
      </c>
      <c r="H17" s="20">
        <f>SUM(H18)</f>
        <v>8231.8</v>
      </c>
      <c r="I17" s="20">
        <f t="shared" si="0"/>
        <v>77.59846156746667</v>
      </c>
    </row>
    <row r="18" spans="1:9" ht="36" customHeight="1">
      <c r="A18" s="106" t="s">
        <v>594</v>
      </c>
      <c r="B18" s="155"/>
      <c r="C18" s="155" t="s">
        <v>237</v>
      </c>
      <c r="D18" s="155" t="s">
        <v>601</v>
      </c>
      <c r="E18" s="155" t="s">
        <v>595</v>
      </c>
      <c r="F18" s="157"/>
      <c r="G18" s="91">
        <f>SUM(G19+G21)</f>
        <v>10608.2</v>
      </c>
      <c r="H18" s="20">
        <f>SUM(H19+H21)</f>
        <v>8231.8</v>
      </c>
      <c r="I18" s="20">
        <f t="shared" si="0"/>
        <v>77.59846156746667</v>
      </c>
    </row>
    <row r="19" spans="1:9" ht="15">
      <c r="A19" s="106" t="s">
        <v>602</v>
      </c>
      <c r="B19" s="155"/>
      <c r="C19" s="155" t="s">
        <v>603</v>
      </c>
      <c r="D19" s="155" t="s">
        <v>601</v>
      </c>
      <c r="E19" s="155" t="s">
        <v>604</v>
      </c>
      <c r="F19" s="157"/>
      <c r="G19" s="91">
        <f>SUM(G20)</f>
        <v>10608.2</v>
      </c>
      <c r="H19" s="20">
        <f>SUM(H20)</f>
        <v>8068.7</v>
      </c>
      <c r="I19" s="20">
        <f t="shared" si="0"/>
        <v>76.06097170113685</v>
      </c>
    </row>
    <row r="20" spans="1:9" ht="20.25" customHeight="1">
      <c r="A20" s="106" t="s">
        <v>598</v>
      </c>
      <c r="B20" s="155"/>
      <c r="C20" s="155" t="s">
        <v>237</v>
      </c>
      <c r="D20" s="155" t="s">
        <v>601</v>
      </c>
      <c r="E20" s="155" t="s">
        <v>604</v>
      </c>
      <c r="F20" s="156" t="s">
        <v>599</v>
      </c>
      <c r="G20" s="91">
        <v>10608.2</v>
      </c>
      <c r="H20" s="20">
        <v>8068.7</v>
      </c>
      <c r="I20" s="20">
        <f t="shared" si="0"/>
        <v>76.06097170113685</v>
      </c>
    </row>
    <row r="21" spans="1:9" ht="19.5" customHeight="1" hidden="1">
      <c r="A21" s="106" t="s">
        <v>605</v>
      </c>
      <c r="B21" s="155"/>
      <c r="C21" s="155" t="s">
        <v>603</v>
      </c>
      <c r="D21" s="155" t="s">
        <v>601</v>
      </c>
      <c r="E21" s="155" t="s">
        <v>606</v>
      </c>
      <c r="F21" s="156"/>
      <c r="G21" s="91">
        <f>SUM(G22)</f>
        <v>0</v>
      </c>
      <c r="H21" s="20">
        <f>SUM(H22)</f>
        <v>163.1</v>
      </c>
      <c r="I21" s="20" t="e">
        <f t="shared" si="0"/>
        <v>#DIV/0!</v>
      </c>
    </row>
    <row r="22" spans="1:9" ht="19.5" customHeight="1" hidden="1">
      <c r="A22" s="106" t="s">
        <v>598</v>
      </c>
      <c r="B22" s="155"/>
      <c r="C22" s="155" t="s">
        <v>603</v>
      </c>
      <c r="D22" s="155" t="s">
        <v>601</v>
      </c>
      <c r="E22" s="155" t="s">
        <v>606</v>
      </c>
      <c r="F22" s="156" t="s">
        <v>599</v>
      </c>
      <c r="G22" s="91"/>
      <c r="H22" s="20">
        <v>163.1</v>
      </c>
      <c r="I22" s="20" t="e">
        <f t="shared" si="0"/>
        <v>#DIV/0!</v>
      </c>
    </row>
    <row r="23" spans="1:9" ht="15">
      <c r="A23" s="106" t="s">
        <v>607</v>
      </c>
      <c r="B23" s="155"/>
      <c r="C23" s="155" t="s">
        <v>237</v>
      </c>
      <c r="D23" s="155" t="s">
        <v>904</v>
      </c>
      <c r="E23" s="155"/>
      <c r="F23" s="157"/>
      <c r="G23" s="91">
        <f>SUM(G28)+G24+G26</f>
        <v>9795</v>
      </c>
      <c r="H23" s="20">
        <f>SUM(H28)</f>
        <v>186.6</v>
      </c>
      <c r="I23" s="20">
        <f t="shared" si="0"/>
        <v>1.9050535987748851</v>
      </c>
    </row>
    <row r="24" spans="1:9" ht="15">
      <c r="A24" s="106" t="s">
        <v>306</v>
      </c>
      <c r="B24" s="155"/>
      <c r="C24" s="155" t="s">
        <v>237</v>
      </c>
      <c r="D24" s="155" t="s">
        <v>904</v>
      </c>
      <c r="E24" s="155" t="s">
        <v>307</v>
      </c>
      <c r="F24" s="156"/>
      <c r="G24" s="30">
        <f>SUM(G25)</f>
        <v>1016.4</v>
      </c>
      <c r="H24" s="20"/>
      <c r="I24" s="20"/>
    </row>
    <row r="25" spans="1:9" ht="15">
      <c r="A25" s="106" t="s">
        <v>598</v>
      </c>
      <c r="B25" s="155"/>
      <c r="C25" s="155" t="s">
        <v>237</v>
      </c>
      <c r="D25" s="155" t="s">
        <v>904</v>
      </c>
      <c r="E25" s="155" t="s">
        <v>307</v>
      </c>
      <c r="F25" s="156" t="s">
        <v>599</v>
      </c>
      <c r="G25" s="30">
        <v>1016.4</v>
      </c>
      <c r="H25" s="20"/>
      <c r="I25" s="20"/>
    </row>
    <row r="26" spans="1:9" ht="28.5">
      <c r="A26" s="106" t="s">
        <v>308</v>
      </c>
      <c r="B26" s="155"/>
      <c r="C26" s="155" t="s">
        <v>237</v>
      </c>
      <c r="D26" s="155" t="s">
        <v>904</v>
      </c>
      <c r="E26" s="155" t="s">
        <v>309</v>
      </c>
      <c r="F26" s="156"/>
      <c r="G26" s="30">
        <f>SUM(G27)</f>
        <v>430.1</v>
      </c>
      <c r="H26" s="20"/>
      <c r="I26" s="20"/>
    </row>
    <row r="27" spans="1:9" ht="15">
      <c r="A27" s="106" t="s">
        <v>598</v>
      </c>
      <c r="B27" s="155"/>
      <c r="C27" s="155" t="s">
        <v>237</v>
      </c>
      <c r="D27" s="155" t="s">
        <v>904</v>
      </c>
      <c r="E27" s="155" t="s">
        <v>309</v>
      </c>
      <c r="F27" s="156" t="s">
        <v>599</v>
      </c>
      <c r="G27" s="30">
        <v>430.1</v>
      </c>
      <c r="H27" s="20"/>
      <c r="I27" s="20"/>
    </row>
    <row r="28" spans="1:9" ht="28.5">
      <c r="A28" s="133" t="s">
        <v>609</v>
      </c>
      <c r="B28" s="155"/>
      <c r="C28" s="155" t="s">
        <v>237</v>
      </c>
      <c r="D28" s="155" t="s">
        <v>904</v>
      </c>
      <c r="E28" s="155" t="s">
        <v>610</v>
      </c>
      <c r="F28" s="158"/>
      <c r="G28" s="91">
        <f>SUM(G30)</f>
        <v>8348.5</v>
      </c>
      <c r="H28" s="20">
        <f>SUM(H30)</f>
        <v>186.6</v>
      </c>
      <c r="I28" s="20">
        <f t="shared" si="0"/>
        <v>2.235132059651434</v>
      </c>
    </row>
    <row r="29" spans="1:9" ht="15">
      <c r="A29" s="133" t="s">
        <v>611</v>
      </c>
      <c r="B29" s="155"/>
      <c r="C29" s="155" t="s">
        <v>237</v>
      </c>
      <c r="D29" s="155" t="s">
        <v>904</v>
      </c>
      <c r="E29" s="155" t="s">
        <v>936</v>
      </c>
      <c r="F29" s="158"/>
      <c r="G29" s="91">
        <f>SUM(G30)</f>
        <v>8348.5</v>
      </c>
      <c r="H29" s="20">
        <f>SUM(H30)</f>
        <v>186.6</v>
      </c>
      <c r="I29" s="20">
        <f t="shared" si="0"/>
        <v>2.235132059651434</v>
      </c>
    </row>
    <row r="30" spans="1:9" ht="19.5" customHeight="1">
      <c r="A30" s="106" t="s">
        <v>598</v>
      </c>
      <c r="B30" s="155"/>
      <c r="C30" s="155" t="s">
        <v>237</v>
      </c>
      <c r="D30" s="155" t="s">
        <v>904</v>
      </c>
      <c r="E30" s="155" t="s">
        <v>936</v>
      </c>
      <c r="F30" s="158" t="s">
        <v>599</v>
      </c>
      <c r="G30" s="91">
        <f>6948.5+1400</f>
        <v>8348.5</v>
      </c>
      <c r="H30" s="20">
        <v>186.6</v>
      </c>
      <c r="I30" s="20">
        <f t="shared" si="0"/>
        <v>2.235132059651434</v>
      </c>
    </row>
    <row r="31" spans="1:9" ht="15" hidden="1">
      <c r="A31" s="106" t="s">
        <v>613</v>
      </c>
      <c r="B31" s="155"/>
      <c r="C31" s="159" t="s">
        <v>614</v>
      </c>
      <c r="D31" s="155"/>
      <c r="E31" s="155"/>
      <c r="F31" s="158"/>
      <c r="G31" s="91">
        <f aca="true" t="shared" si="1" ref="G31:H34">SUM(G32)</f>
        <v>0</v>
      </c>
      <c r="H31" s="20">
        <f t="shared" si="1"/>
        <v>0</v>
      </c>
      <c r="I31" s="20" t="e">
        <f t="shared" si="0"/>
        <v>#DIV/0!</v>
      </c>
    </row>
    <row r="32" spans="1:9" ht="15" hidden="1">
      <c r="A32" s="106" t="s">
        <v>615</v>
      </c>
      <c r="B32" s="155"/>
      <c r="C32" s="155" t="s">
        <v>614</v>
      </c>
      <c r="D32" s="155" t="s">
        <v>614</v>
      </c>
      <c r="E32" s="155"/>
      <c r="F32" s="158"/>
      <c r="G32" s="91">
        <f t="shared" si="1"/>
        <v>0</v>
      </c>
      <c r="H32" s="20">
        <f t="shared" si="1"/>
        <v>0</v>
      </c>
      <c r="I32" s="20" t="e">
        <f t="shared" si="0"/>
        <v>#DIV/0!</v>
      </c>
    </row>
    <row r="33" spans="1:9" ht="15" hidden="1">
      <c r="A33" s="133" t="s">
        <v>886</v>
      </c>
      <c r="B33" s="155"/>
      <c r="C33" s="155" t="s">
        <v>614</v>
      </c>
      <c r="D33" s="155" t="s">
        <v>614</v>
      </c>
      <c r="E33" s="155" t="s">
        <v>617</v>
      </c>
      <c r="F33" s="156"/>
      <c r="G33" s="91">
        <f t="shared" si="1"/>
        <v>0</v>
      </c>
      <c r="H33" s="20">
        <f t="shared" si="1"/>
        <v>0</v>
      </c>
      <c r="I33" s="20" t="e">
        <f t="shared" si="0"/>
        <v>#DIV/0!</v>
      </c>
    </row>
    <row r="34" spans="1:9" ht="19.5" customHeight="1" hidden="1">
      <c r="A34" s="133" t="s">
        <v>887</v>
      </c>
      <c r="B34" s="155"/>
      <c r="C34" s="155" t="s">
        <v>614</v>
      </c>
      <c r="D34" s="155" t="s">
        <v>614</v>
      </c>
      <c r="E34" s="155" t="s">
        <v>888</v>
      </c>
      <c r="F34" s="156"/>
      <c r="G34" s="91">
        <f t="shared" si="1"/>
        <v>0</v>
      </c>
      <c r="H34" s="20">
        <f t="shared" si="1"/>
        <v>0</v>
      </c>
      <c r="I34" s="20" t="e">
        <f t="shared" si="0"/>
        <v>#DIV/0!</v>
      </c>
    </row>
    <row r="35" spans="1:9" ht="19.5" customHeight="1" hidden="1">
      <c r="A35" s="108" t="s">
        <v>932</v>
      </c>
      <c r="B35" s="155"/>
      <c r="C35" s="155" t="s">
        <v>614</v>
      </c>
      <c r="D35" s="155" t="s">
        <v>614</v>
      </c>
      <c r="E35" s="155" t="s">
        <v>888</v>
      </c>
      <c r="F35" s="156" t="s">
        <v>933</v>
      </c>
      <c r="G35" s="91"/>
      <c r="H35" s="20"/>
      <c r="I35" s="20" t="e">
        <f t="shared" si="0"/>
        <v>#DIV/0!</v>
      </c>
    </row>
    <row r="36" spans="1:9" ht="19.5" customHeight="1" hidden="1">
      <c r="A36" s="106" t="s">
        <v>776</v>
      </c>
      <c r="B36" s="155"/>
      <c r="C36" s="155" t="s">
        <v>348</v>
      </c>
      <c r="D36" s="155"/>
      <c r="E36" s="155"/>
      <c r="F36" s="156"/>
      <c r="G36" s="91">
        <f>SUM(G40)</f>
        <v>0</v>
      </c>
      <c r="H36" s="20">
        <f>SUM(H40)</f>
        <v>361.8</v>
      </c>
      <c r="I36" s="20" t="e">
        <f t="shared" si="0"/>
        <v>#DIV/0!</v>
      </c>
    </row>
    <row r="37" spans="1:9" ht="19.5" customHeight="1" hidden="1">
      <c r="A37" s="133" t="s">
        <v>372</v>
      </c>
      <c r="B37" s="155"/>
      <c r="C37" s="155" t="s">
        <v>348</v>
      </c>
      <c r="D37" s="159" t="s">
        <v>601</v>
      </c>
      <c r="E37" s="155"/>
      <c r="F37" s="156"/>
      <c r="G37" s="91">
        <f aca="true" t="shared" si="2" ref="G37:H39">SUM(G38)</f>
        <v>0</v>
      </c>
      <c r="H37" s="20">
        <f t="shared" si="2"/>
        <v>361.8</v>
      </c>
      <c r="I37" s="20" t="e">
        <f t="shared" si="0"/>
        <v>#DIV/0!</v>
      </c>
    </row>
    <row r="38" spans="1:9" ht="19.5" customHeight="1" hidden="1">
      <c r="A38" s="106" t="s">
        <v>373</v>
      </c>
      <c r="B38" s="155"/>
      <c r="C38" s="155" t="s">
        <v>348</v>
      </c>
      <c r="D38" s="159" t="s">
        <v>601</v>
      </c>
      <c r="E38" s="155" t="s">
        <v>374</v>
      </c>
      <c r="F38" s="156"/>
      <c r="G38" s="91">
        <f t="shared" si="2"/>
        <v>0</v>
      </c>
      <c r="H38" s="20">
        <f t="shared" si="2"/>
        <v>361.8</v>
      </c>
      <c r="I38" s="20" t="e">
        <f t="shared" si="0"/>
        <v>#DIV/0!</v>
      </c>
    </row>
    <row r="39" spans="1:9" ht="19.5" customHeight="1" hidden="1">
      <c r="A39" s="108" t="s">
        <v>381</v>
      </c>
      <c r="B39" s="155"/>
      <c r="C39" s="155" t="s">
        <v>348</v>
      </c>
      <c r="D39" s="159" t="s">
        <v>601</v>
      </c>
      <c r="E39" s="155" t="s">
        <v>382</v>
      </c>
      <c r="F39" s="156"/>
      <c r="G39" s="91">
        <f t="shared" si="2"/>
        <v>0</v>
      </c>
      <c r="H39" s="20">
        <f t="shared" si="2"/>
        <v>361.8</v>
      </c>
      <c r="I39" s="20" t="e">
        <f t="shared" si="0"/>
        <v>#DIV/0!</v>
      </c>
    </row>
    <row r="40" spans="1:9" ht="19.5" customHeight="1" hidden="1">
      <c r="A40" s="106" t="s">
        <v>1032</v>
      </c>
      <c r="B40" s="160"/>
      <c r="C40" s="159" t="s">
        <v>348</v>
      </c>
      <c r="D40" s="159" t="s">
        <v>601</v>
      </c>
      <c r="E40" s="155" t="s">
        <v>382</v>
      </c>
      <c r="F40" s="161" t="s">
        <v>1033</v>
      </c>
      <c r="G40" s="91"/>
      <c r="H40" s="20">
        <v>361.8</v>
      </c>
      <c r="I40" s="20" t="e">
        <f t="shared" si="0"/>
        <v>#DIV/0!</v>
      </c>
    </row>
    <row r="41" spans="1:9" ht="24.75" customHeight="1">
      <c r="A41" s="162" t="s">
        <v>786</v>
      </c>
      <c r="B41" s="163" t="s">
        <v>787</v>
      </c>
      <c r="C41" s="159"/>
      <c r="D41" s="159"/>
      <c r="E41" s="159"/>
      <c r="F41" s="157"/>
      <c r="G41" s="203">
        <f aca="true" t="shared" si="3" ref="G41:H43">SUM(G42)</f>
        <v>5574.599999999999</v>
      </c>
      <c r="H41" s="81" t="e">
        <f t="shared" si="3"/>
        <v>#REF!</v>
      </c>
      <c r="I41" s="26" t="e">
        <f t="shared" si="0"/>
        <v>#REF!</v>
      </c>
    </row>
    <row r="42" spans="1:9" ht="15">
      <c r="A42" s="106" t="s">
        <v>236</v>
      </c>
      <c r="B42" s="155"/>
      <c r="C42" s="155" t="s">
        <v>237</v>
      </c>
      <c r="D42" s="155"/>
      <c r="E42" s="155"/>
      <c r="F42" s="156"/>
      <c r="G42" s="91">
        <f>SUM(G43)+G49</f>
        <v>5574.599999999999</v>
      </c>
      <c r="H42" s="20" t="e">
        <f t="shared" si="3"/>
        <v>#REF!</v>
      </c>
      <c r="I42" s="20" t="e">
        <f t="shared" si="0"/>
        <v>#REF!</v>
      </c>
    </row>
    <row r="43" spans="1:9" ht="28.5">
      <c r="A43" s="133" t="s">
        <v>131</v>
      </c>
      <c r="B43" s="155"/>
      <c r="C43" s="155" t="s">
        <v>237</v>
      </c>
      <c r="D43" s="155" t="s">
        <v>132</v>
      </c>
      <c r="E43" s="155"/>
      <c r="F43" s="156"/>
      <c r="G43" s="91">
        <f t="shared" si="3"/>
        <v>4619.9</v>
      </c>
      <c r="H43" s="20" t="e">
        <f t="shared" si="3"/>
        <v>#REF!</v>
      </c>
      <c r="I43" s="20" t="e">
        <f t="shared" si="0"/>
        <v>#REF!</v>
      </c>
    </row>
    <row r="44" spans="1:9" ht="35.25" customHeight="1">
      <c r="A44" s="106" t="s">
        <v>594</v>
      </c>
      <c r="B44" s="155"/>
      <c r="C44" s="155" t="s">
        <v>237</v>
      </c>
      <c r="D44" s="155" t="s">
        <v>132</v>
      </c>
      <c r="E44" s="155" t="s">
        <v>595</v>
      </c>
      <c r="F44" s="157"/>
      <c r="G44" s="91">
        <f>SUM(G45+G47)</f>
        <v>4619.9</v>
      </c>
      <c r="H44" s="20" t="e">
        <f>SUM(H45+H47)</f>
        <v>#REF!</v>
      </c>
      <c r="I44" s="20" t="e">
        <f t="shared" si="0"/>
        <v>#REF!</v>
      </c>
    </row>
    <row r="45" spans="1:9" ht="19.5" customHeight="1">
      <c r="A45" s="106" t="s">
        <v>602</v>
      </c>
      <c r="B45" s="155"/>
      <c r="C45" s="155" t="s">
        <v>237</v>
      </c>
      <c r="D45" s="155" t="s">
        <v>132</v>
      </c>
      <c r="E45" s="155" t="s">
        <v>604</v>
      </c>
      <c r="F45" s="157"/>
      <c r="G45" s="91">
        <f>SUM(G46)</f>
        <v>3059.9</v>
      </c>
      <c r="H45" s="20">
        <f>SUM(H46)</f>
        <v>2155.5</v>
      </c>
      <c r="I45" s="20">
        <f t="shared" si="0"/>
        <v>70.44347854505048</v>
      </c>
    </row>
    <row r="46" spans="1:9" ht="15">
      <c r="A46" s="106" t="s">
        <v>598</v>
      </c>
      <c r="B46" s="155"/>
      <c r="C46" s="155" t="s">
        <v>237</v>
      </c>
      <c r="D46" s="155" t="s">
        <v>132</v>
      </c>
      <c r="E46" s="155" t="s">
        <v>604</v>
      </c>
      <c r="F46" s="156" t="s">
        <v>599</v>
      </c>
      <c r="G46" s="91">
        <v>3059.9</v>
      </c>
      <c r="H46" s="20">
        <v>2155.5</v>
      </c>
      <c r="I46" s="20">
        <f t="shared" si="0"/>
        <v>70.44347854505048</v>
      </c>
    </row>
    <row r="47" spans="1:9" s="22" customFormat="1" ht="28.5">
      <c r="A47" s="106" t="s">
        <v>135</v>
      </c>
      <c r="B47" s="155"/>
      <c r="C47" s="155" t="s">
        <v>603</v>
      </c>
      <c r="D47" s="155" t="s">
        <v>132</v>
      </c>
      <c r="E47" s="155" t="s">
        <v>136</v>
      </c>
      <c r="F47" s="158"/>
      <c r="G47" s="91">
        <f>SUM(G48)</f>
        <v>1560</v>
      </c>
      <c r="H47" s="20" t="e">
        <f>SUM(#REF!)</f>
        <v>#REF!</v>
      </c>
      <c r="I47" s="20" t="e">
        <f t="shared" si="0"/>
        <v>#REF!</v>
      </c>
    </row>
    <row r="48" spans="1:9" s="22" customFormat="1" ht="15">
      <c r="A48" s="106" t="s">
        <v>598</v>
      </c>
      <c r="B48" s="155"/>
      <c r="C48" s="155" t="s">
        <v>603</v>
      </c>
      <c r="D48" s="155" t="s">
        <v>132</v>
      </c>
      <c r="E48" s="155" t="s">
        <v>136</v>
      </c>
      <c r="F48" s="156" t="s">
        <v>599</v>
      </c>
      <c r="G48" s="91">
        <v>1560</v>
      </c>
      <c r="H48" s="20"/>
      <c r="I48" s="20"/>
    </row>
    <row r="49" spans="1:9" s="22" customFormat="1" ht="15">
      <c r="A49" s="106" t="s">
        <v>607</v>
      </c>
      <c r="B49" s="155"/>
      <c r="C49" s="155" t="s">
        <v>237</v>
      </c>
      <c r="D49" s="155" t="s">
        <v>904</v>
      </c>
      <c r="E49" s="155"/>
      <c r="F49" s="157"/>
      <c r="G49" s="91">
        <f>SUM(G50+G52+G54)</f>
        <v>954.7</v>
      </c>
      <c r="H49" s="20"/>
      <c r="I49" s="20"/>
    </row>
    <row r="50" spans="1:9" s="22" customFormat="1" ht="15">
      <c r="A50" s="106" t="s">
        <v>306</v>
      </c>
      <c r="B50" s="155"/>
      <c r="C50" s="155" t="s">
        <v>237</v>
      </c>
      <c r="D50" s="155" t="s">
        <v>904</v>
      </c>
      <c r="E50" s="155" t="s">
        <v>307</v>
      </c>
      <c r="F50" s="156"/>
      <c r="G50" s="30">
        <f>SUM(G51)</f>
        <v>190</v>
      </c>
      <c r="H50" s="20"/>
      <c r="I50" s="20"/>
    </row>
    <row r="51" spans="1:9" s="22" customFormat="1" ht="15">
      <c r="A51" s="106" t="s">
        <v>598</v>
      </c>
      <c r="B51" s="155"/>
      <c r="C51" s="155" t="s">
        <v>237</v>
      </c>
      <c r="D51" s="155" t="s">
        <v>904</v>
      </c>
      <c r="E51" s="155" t="s">
        <v>307</v>
      </c>
      <c r="F51" s="156" t="s">
        <v>599</v>
      </c>
      <c r="G51" s="30">
        <v>190</v>
      </c>
      <c r="H51" s="20"/>
      <c r="I51" s="20"/>
    </row>
    <row r="52" spans="1:9" s="22" customFormat="1" ht="28.5">
      <c r="A52" s="106" t="s">
        <v>308</v>
      </c>
      <c r="B52" s="155"/>
      <c r="C52" s="155" t="s">
        <v>237</v>
      </c>
      <c r="D52" s="155" t="s">
        <v>904</v>
      </c>
      <c r="E52" s="155" t="s">
        <v>309</v>
      </c>
      <c r="F52" s="156"/>
      <c r="G52" s="30">
        <f>SUM(G53)</f>
        <v>260.1</v>
      </c>
      <c r="H52" s="20"/>
      <c r="I52" s="20"/>
    </row>
    <row r="53" spans="1:9" s="22" customFormat="1" ht="15">
      <c r="A53" s="106" t="s">
        <v>598</v>
      </c>
      <c r="B53" s="155"/>
      <c r="C53" s="155" t="s">
        <v>237</v>
      </c>
      <c r="D53" s="155" t="s">
        <v>904</v>
      </c>
      <c r="E53" s="155" t="s">
        <v>309</v>
      </c>
      <c r="F53" s="156" t="s">
        <v>599</v>
      </c>
      <c r="G53" s="30">
        <v>260.1</v>
      </c>
      <c r="H53" s="20"/>
      <c r="I53" s="20"/>
    </row>
    <row r="54" spans="1:9" s="22" customFormat="1" ht="28.5">
      <c r="A54" s="133" t="s">
        <v>609</v>
      </c>
      <c r="B54" s="155"/>
      <c r="C54" s="155" t="s">
        <v>237</v>
      </c>
      <c r="D54" s="155" t="s">
        <v>904</v>
      </c>
      <c r="E54" s="155" t="s">
        <v>610</v>
      </c>
      <c r="F54" s="158"/>
      <c r="G54" s="91">
        <f>SUM(G56)</f>
        <v>504.6</v>
      </c>
      <c r="H54" s="20"/>
      <c r="I54" s="20"/>
    </row>
    <row r="55" spans="1:9" s="22" customFormat="1" ht="15">
      <c r="A55" s="133" t="s">
        <v>611</v>
      </c>
      <c r="B55" s="155"/>
      <c r="C55" s="155" t="s">
        <v>237</v>
      </c>
      <c r="D55" s="155" t="s">
        <v>904</v>
      </c>
      <c r="E55" s="155" t="s">
        <v>936</v>
      </c>
      <c r="F55" s="158"/>
      <c r="G55" s="91">
        <f>SUM(G56)</f>
        <v>504.6</v>
      </c>
      <c r="H55" s="20"/>
      <c r="I55" s="20"/>
    </row>
    <row r="56" spans="1:9" s="22" customFormat="1" ht="15">
      <c r="A56" s="106" t="s">
        <v>598</v>
      </c>
      <c r="B56" s="155"/>
      <c r="C56" s="155" t="s">
        <v>237</v>
      </c>
      <c r="D56" s="155" t="s">
        <v>904</v>
      </c>
      <c r="E56" s="155" t="s">
        <v>936</v>
      </c>
      <c r="F56" s="158" t="s">
        <v>599</v>
      </c>
      <c r="G56" s="91">
        <v>504.6</v>
      </c>
      <c r="H56" s="20"/>
      <c r="I56" s="20"/>
    </row>
    <row r="57" spans="1:9" s="22" customFormat="1" ht="29.25" customHeight="1" hidden="1">
      <c r="A57" s="162" t="s">
        <v>18</v>
      </c>
      <c r="B57" s="163" t="s">
        <v>909</v>
      </c>
      <c r="C57" s="159"/>
      <c r="D57" s="159"/>
      <c r="E57" s="159"/>
      <c r="F57" s="157"/>
      <c r="G57" s="203">
        <f>SUM(G58+G89)</f>
        <v>0</v>
      </c>
      <c r="H57" s="20"/>
      <c r="I57" s="20"/>
    </row>
    <row r="58" spans="1:9" s="22" customFormat="1" ht="18.75" customHeight="1" hidden="1">
      <c r="A58" s="106" t="s">
        <v>624</v>
      </c>
      <c r="B58" s="155"/>
      <c r="C58" s="155" t="s">
        <v>625</v>
      </c>
      <c r="D58" s="155"/>
      <c r="E58" s="155"/>
      <c r="F58" s="156"/>
      <c r="G58" s="91">
        <f>SUM(G59+G69)</f>
        <v>0</v>
      </c>
      <c r="H58" s="20"/>
      <c r="I58" s="20"/>
    </row>
    <row r="59" spans="1:9" s="22" customFormat="1" ht="20.25" customHeight="1" hidden="1">
      <c r="A59" s="106" t="s">
        <v>626</v>
      </c>
      <c r="B59" s="155"/>
      <c r="C59" s="155" t="s">
        <v>625</v>
      </c>
      <c r="D59" s="155" t="s">
        <v>627</v>
      </c>
      <c r="E59" s="155"/>
      <c r="F59" s="156"/>
      <c r="G59" s="91">
        <f>SUM(G63)+G60</f>
        <v>0</v>
      </c>
      <c r="H59" s="20"/>
      <c r="I59" s="20"/>
    </row>
    <row r="60" spans="1:9" s="22" customFormat="1" ht="22.5" customHeight="1" hidden="1">
      <c r="A60" s="106" t="s">
        <v>349</v>
      </c>
      <c r="B60" s="155"/>
      <c r="C60" s="155" t="s">
        <v>625</v>
      </c>
      <c r="D60" s="155" t="s">
        <v>627</v>
      </c>
      <c r="E60" s="159" t="s">
        <v>350</v>
      </c>
      <c r="F60" s="157"/>
      <c r="G60" s="91">
        <f>SUM(G61)+G62</f>
        <v>0</v>
      </c>
      <c r="H60" s="20"/>
      <c r="I60" s="20"/>
    </row>
    <row r="61" spans="1:9" s="22" customFormat="1" ht="17.25" customHeight="1" hidden="1">
      <c r="A61" s="106" t="s">
        <v>351</v>
      </c>
      <c r="B61" s="155"/>
      <c r="C61" s="155" t="s">
        <v>625</v>
      </c>
      <c r="D61" s="155" t="s">
        <v>627</v>
      </c>
      <c r="E61" s="159" t="s">
        <v>350</v>
      </c>
      <c r="F61" s="156" t="s">
        <v>352</v>
      </c>
      <c r="G61" s="91"/>
      <c r="H61" s="20"/>
      <c r="I61" s="20"/>
    </row>
    <row r="62" spans="1:9" s="22" customFormat="1" ht="19.5" customHeight="1" hidden="1">
      <c r="A62" s="106" t="s">
        <v>598</v>
      </c>
      <c r="B62" s="155"/>
      <c r="C62" s="155" t="s">
        <v>625</v>
      </c>
      <c r="D62" s="155" t="s">
        <v>627</v>
      </c>
      <c r="E62" s="159" t="s">
        <v>350</v>
      </c>
      <c r="F62" s="156" t="s">
        <v>599</v>
      </c>
      <c r="G62" s="91"/>
      <c r="H62" s="20"/>
      <c r="I62" s="20"/>
    </row>
    <row r="63" spans="1:9" s="22" customFormat="1" ht="16.5" customHeight="1" hidden="1">
      <c r="A63" s="106" t="s">
        <v>628</v>
      </c>
      <c r="B63" s="155"/>
      <c r="C63" s="155" t="s">
        <v>625</v>
      </c>
      <c r="D63" s="155" t="s">
        <v>627</v>
      </c>
      <c r="E63" s="155" t="s">
        <v>162</v>
      </c>
      <c r="F63" s="156"/>
      <c r="G63" s="91">
        <f>SUM(G64,G67)</f>
        <v>0</v>
      </c>
      <c r="H63" s="20"/>
      <c r="I63" s="20"/>
    </row>
    <row r="64" spans="1:9" s="22" customFormat="1" ht="23.25" customHeight="1" hidden="1">
      <c r="A64" s="106" t="s">
        <v>361</v>
      </c>
      <c r="B64" s="155"/>
      <c r="C64" s="155" t="s">
        <v>625</v>
      </c>
      <c r="D64" s="155" t="s">
        <v>627</v>
      </c>
      <c r="E64" s="155" t="s">
        <v>551</v>
      </c>
      <c r="F64" s="156"/>
      <c r="G64" s="91">
        <f>SUM(G65)</f>
        <v>0</v>
      </c>
      <c r="H64" s="20"/>
      <c r="I64" s="20"/>
    </row>
    <row r="65" spans="1:9" s="22" customFormat="1" ht="28.5" hidden="1">
      <c r="A65" s="106" t="s">
        <v>809</v>
      </c>
      <c r="B65" s="155"/>
      <c r="C65" s="155" t="s">
        <v>625</v>
      </c>
      <c r="D65" s="155" t="s">
        <v>627</v>
      </c>
      <c r="E65" s="155" t="s">
        <v>552</v>
      </c>
      <c r="F65" s="156"/>
      <c r="G65" s="91">
        <f>SUM(G66)</f>
        <v>0</v>
      </c>
      <c r="H65" s="20"/>
      <c r="I65" s="20"/>
    </row>
    <row r="66" spans="1:9" s="25" customFormat="1" ht="45.75" customHeight="1" hidden="1">
      <c r="A66" s="110" t="s">
        <v>362</v>
      </c>
      <c r="B66" s="159"/>
      <c r="C66" s="159" t="s">
        <v>625</v>
      </c>
      <c r="D66" s="159" t="s">
        <v>627</v>
      </c>
      <c r="E66" s="159" t="s">
        <v>552</v>
      </c>
      <c r="F66" s="157" t="s">
        <v>485</v>
      </c>
      <c r="G66" s="91"/>
      <c r="H66" s="20"/>
      <c r="I66" s="20"/>
    </row>
    <row r="67" spans="1:9" s="22" customFormat="1" ht="42.75" hidden="1">
      <c r="A67" s="106" t="s">
        <v>189</v>
      </c>
      <c r="B67" s="155"/>
      <c r="C67" s="155" t="s">
        <v>625</v>
      </c>
      <c r="D67" s="155" t="s">
        <v>627</v>
      </c>
      <c r="E67" s="155" t="s">
        <v>190</v>
      </c>
      <c r="F67" s="156"/>
      <c r="G67" s="91">
        <f>SUM(G68)</f>
        <v>0</v>
      </c>
      <c r="H67" s="20"/>
      <c r="I67" s="20"/>
    </row>
    <row r="68" spans="1:9" s="22" customFormat="1" ht="15" hidden="1">
      <c r="A68" s="106" t="s">
        <v>351</v>
      </c>
      <c r="B68" s="155"/>
      <c r="C68" s="155" t="s">
        <v>625</v>
      </c>
      <c r="D68" s="155" t="s">
        <v>627</v>
      </c>
      <c r="E68" s="155" t="s">
        <v>190</v>
      </c>
      <c r="F68" s="156" t="s">
        <v>352</v>
      </c>
      <c r="G68" s="91"/>
      <c r="H68" s="20"/>
      <c r="I68" s="20"/>
    </row>
    <row r="69" spans="1:9" s="22" customFormat="1" ht="15" hidden="1">
      <c r="A69" s="105" t="s">
        <v>670</v>
      </c>
      <c r="B69" s="159"/>
      <c r="C69" s="159" t="s">
        <v>625</v>
      </c>
      <c r="D69" s="159" t="s">
        <v>1</v>
      </c>
      <c r="E69" s="159"/>
      <c r="F69" s="157"/>
      <c r="G69" s="91">
        <f>SUM(G77+G79+G84+G74+G70+G72)</f>
        <v>0</v>
      </c>
      <c r="H69" s="20"/>
      <c r="I69" s="20"/>
    </row>
    <row r="70" spans="1:9" s="22" customFormat="1" ht="28.5" hidden="1">
      <c r="A70" s="164" t="s">
        <v>695</v>
      </c>
      <c r="B70" s="165"/>
      <c r="C70" s="159" t="s">
        <v>625</v>
      </c>
      <c r="D70" s="159" t="s">
        <v>1</v>
      </c>
      <c r="E70" s="165" t="s">
        <v>694</v>
      </c>
      <c r="F70" s="166"/>
      <c r="G70" s="91">
        <f>SUM(G71)</f>
        <v>0</v>
      </c>
      <c r="H70" s="20"/>
      <c r="I70" s="20"/>
    </row>
    <row r="71" spans="1:9" s="22" customFormat="1" ht="15" hidden="1">
      <c r="A71" s="105" t="s">
        <v>598</v>
      </c>
      <c r="B71" s="165"/>
      <c r="C71" s="159" t="s">
        <v>625</v>
      </c>
      <c r="D71" s="159" t="s">
        <v>1</v>
      </c>
      <c r="E71" s="165" t="s">
        <v>694</v>
      </c>
      <c r="F71" s="166" t="s">
        <v>599</v>
      </c>
      <c r="G71" s="91"/>
      <c r="H71" s="20"/>
      <c r="I71" s="20"/>
    </row>
    <row r="72" spans="1:9" s="22" customFormat="1" ht="42.75" hidden="1">
      <c r="A72" s="164" t="s">
        <v>696</v>
      </c>
      <c r="B72" s="165"/>
      <c r="C72" s="159" t="s">
        <v>625</v>
      </c>
      <c r="D72" s="159" t="s">
        <v>1</v>
      </c>
      <c r="E72" s="165" t="s">
        <v>697</v>
      </c>
      <c r="F72" s="166"/>
      <c r="G72" s="91">
        <f>SUM(G73)</f>
        <v>0</v>
      </c>
      <c r="H72" s="20"/>
      <c r="I72" s="20"/>
    </row>
    <row r="73" spans="1:9" s="22" customFormat="1" ht="15" hidden="1">
      <c r="A73" s="106" t="s">
        <v>598</v>
      </c>
      <c r="B73" s="165"/>
      <c r="C73" s="159" t="s">
        <v>625</v>
      </c>
      <c r="D73" s="159" t="s">
        <v>1</v>
      </c>
      <c r="E73" s="165" t="s">
        <v>697</v>
      </c>
      <c r="F73" s="166" t="s">
        <v>599</v>
      </c>
      <c r="G73" s="91"/>
      <c r="H73" s="20"/>
      <c r="I73" s="20"/>
    </row>
    <row r="74" spans="1:9" s="22" customFormat="1" ht="28.5" hidden="1">
      <c r="A74" s="109" t="s">
        <v>438</v>
      </c>
      <c r="B74" s="165"/>
      <c r="C74" s="159" t="s">
        <v>625</v>
      </c>
      <c r="D74" s="159" t="s">
        <v>1</v>
      </c>
      <c r="E74" s="165" t="s">
        <v>439</v>
      </c>
      <c r="F74" s="166"/>
      <c r="G74" s="91">
        <f>SUM(G76+G75)</f>
        <v>0</v>
      </c>
      <c r="H74" s="20"/>
      <c r="I74" s="20"/>
    </row>
    <row r="75" spans="1:9" s="22" customFormat="1" ht="15" hidden="1">
      <c r="A75" s="106" t="s">
        <v>641</v>
      </c>
      <c r="B75" s="165"/>
      <c r="C75" s="159" t="s">
        <v>625</v>
      </c>
      <c r="D75" s="159" t="s">
        <v>1</v>
      </c>
      <c r="E75" s="165" t="s">
        <v>439</v>
      </c>
      <c r="F75" s="166" t="s">
        <v>642</v>
      </c>
      <c r="G75" s="91"/>
      <c r="H75" s="20"/>
      <c r="I75" s="20"/>
    </row>
    <row r="76" spans="1:9" s="22" customFormat="1" ht="13.5" customHeight="1" hidden="1">
      <c r="A76" s="106" t="s">
        <v>598</v>
      </c>
      <c r="B76" s="165"/>
      <c r="C76" s="159" t="s">
        <v>625</v>
      </c>
      <c r="D76" s="159" t="s">
        <v>1</v>
      </c>
      <c r="E76" s="165" t="s">
        <v>439</v>
      </c>
      <c r="F76" s="166" t="s">
        <v>599</v>
      </c>
      <c r="G76" s="91"/>
      <c r="H76" s="20"/>
      <c r="I76" s="20"/>
    </row>
    <row r="77" spans="1:9" s="22" customFormat="1" ht="28.5" hidden="1">
      <c r="A77" s="131" t="s">
        <v>191</v>
      </c>
      <c r="B77" s="159"/>
      <c r="C77" s="159" t="s">
        <v>625</v>
      </c>
      <c r="D77" s="159" t="s">
        <v>149</v>
      </c>
      <c r="E77" s="159" t="s">
        <v>192</v>
      </c>
      <c r="F77" s="157"/>
      <c r="G77" s="91">
        <f>SUM(G78)</f>
        <v>0</v>
      </c>
      <c r="H77" s="20"/>
      <c r="I77" s="20"/>
    </row>
    <row r="78" spans="1:9" s="22" customFormat="1" ht="15" hidden="1">
      <c r="A78" s="106" t="s">
        <v>598</v>
      </c>
      <c r="B78" s="159"/>
      <c r="C78" s="159" t="s">
        <v>625</v>
      </c>
      <c r="D78" s="159" t="s">
        <v>149</v>
      </c>
      <c r="E78" s="159" t="s">
        <v>192</v>
      </c>
      <c r="F78" s="157" t="s">
        <v>599</v>
      </c>
      <c r="G78" s="91">
        <f>5050-2000-3050</f>
        <v>0</v>
      </c>
      <c r="H78" s="20"/>
      <c r="I78" s="20"/>
    </row>
    <row r="79" spans="1:9" s="22" customFormat="1" ht="28.5" hidden="1">
      <c r="A79" s="106" t="s">
        <v>167</v>
      </c>
      <c r="B79" s="155"/>
      <c r="C79" s="159" t="s">
        <v>625</v>
      </c>
      <c r="D79" s="159" t="s">
        <v>149</v>
      </c>
      <c r="E79" s="155" t="s">
        <v>168</v>
      </c>
      <c r="F79" s="157"/>
      <c r="G79" s="91">
        <f>SUM(G80)</f>
        <v>0</v>
      </c>
      <c r="H79" s="20"/>
      <c r="I79" s="20"/>
    </row>
    <row r="80" spans="1:9" s="22" customFormat="1" ht="15" hidden="1">
      <c r="A80" s="106" t="s">
        <v>193</v>
      </c>
      <c r="B80" s="155"/>
      <c r="C80" s="159" t="s">
        <v>625</v>
      </c>
      <c r="D80" s="159" t="s">
        <v>149</v>
      </c>
      <c r="E80" s="155" t="s">
        <v>194</v>
      </c>
      <c r="F80" s="157"/>
      <c r="G80" s="91">
        <f>SUM(G81)</f>
        <v>0</v>
      </c>
      <c r="H80" s="20"/>
      <c r="I80" s="20"/>
    </row>
    <row r="81" spans="1:9" s="22" customFormat="1" ht="15" hidden="1">
      <c r="A81" s="106" t="s">
        <v>598</v>
      </c>
      <c r="B81" s="155"/>
      <c r="C81" s="159" t="s">
        <v>625</v>
      </c>
      <c r="D81" s="159" t="s">
        <v>149</v>
      </c>
      <c r="E81" s="155" t="s">
        <v>194</v>
      </c>
      <c r="F81" s="157" t="s">
        <v>599</v>
      </c>
      <c r="G81" s="91"/>
      <c r="H81" s="20"/>
      <c r="I81" s="20"/>
    </row>
    <row r="82" spans="1:9" s="22" customFormat="1" ht="28.5" hidden="1">
      <c r="A82" s="106" t="s">
        <v>167</v>
      </c>
      <c r="B82" s="155"/>
      <c r="C82" s="159" t="s">
        <v>625</v>
      </c>
      <c r="D82" s="159" t="s">
        <v>149</v>
      </c>
      <c r="E82" s="155" t="s">
        <v>168</v>
      </c>
      <c r="F82" s="157"/>
      <c r="G82" s="91">
        <f>SUM(G83)</f>
        <v>0</v>
      </c>
      <c r="H82" s="20"/>
      <c r="I82" s="20"/>
    </row>
    <row r="83" spans="1:9" s="22" customFormat="1" ht="15" hidden="1">
      <c r="A83" s="106" t="s">
        <v>193</v>
      </c>
      <c r="B83" s="155"/>
      <c r="C83" s="159" t="s">
        <v>625</v>
      </c>
      <c r="D83" s="159" t="s">
        <v>149</v>
      </c>
      <c r="E83" s="155" t="s">
        <v>168</v>
      </c>
      <c r="F83" s="157" t="s">
        <v>181</v>
      </c>
      <c r="G83" s="91"/>
      <c r="H83" s="20"/>
      <c r="I83" s="20"/>
    </row>
    <row r="84" spans="1:9" s="22" customFormat="1" ht="15" hidden="1">
      <c r="A84" s="106" t="s">
        <v>634</v>
      </c>
      <c r="B84" s="155"/>
      <c r="C84" s="159" t="s">
        <v>625</v>
      </c>
      <c r="D84" s="159" t="s">
        <v>1</v>
      </c>
      <c r="E84" s="155" t="s">
        <v>635</v>
      </c>
      <c r="F84" s="157"/>
      <c r="G84" s="91">
        <f>SUM(G87)+G85</f>
        <v>0</v>
      </c>
      <c r="H84" s="20"/>
      <c r="I84" s="20"/>
    </row>
    <row r="85" spans="1:9" s="22" customFormat="1" ht="42.75" hidden="1">
      <c r="A85" s="106" t="s">
        <v>258</v>
      </c>
      <c r="B85" s="155"/>
      <c r="C85" s="159" t="s">
        <v>625</v>
      </c>
      <c r="D85" s="159" t="s">
        <v>1</v>
      </c>
      <c r="E85" s="155" t="s">
        <v>260</v>
      </c>
      <c r="F85" s="157"/>
      <c r="G85" s="91">
        <f>SUM(G86)</f>
        <v>0</v>
      </c>
      <c r="H85" s="20"/>
      <c r="I85" s="20"/>
    </row>
    <row r="86" spans="1:9" s="22" customFormat="1" ht="15" hidden="1">
      <c r="A86" s="106" t="s">
        <v>598</v>
      </c>
      <c r="B86" s="155"/>
      <c r="C86" s="159" t="s">
        <v>625</v>
      </c>
      <c r="D86" s="159" t="s">
        <v>1</v>
      </c>
      <c r="E86" s="155" t="s">
        <v>260</v>
      </c>
      <c r="F86" s="157" t="s">
        <v>599</v>
      </c>
      <c r="G86" s="91"/>
      <c r="H86" s="20"/>
      <c r="I86" s="20"/>
    </row>
    <row r="87" spans="1:9" s="22" customFormat="1" ht="28.5" hidden="1">
      <c r="A87" s="106" t="s">
        <v>259</v>
      </c>
      <c r="B87" s="155"/>
      <c r="C87" s="159" t="s">
        <v>625</v>
      </c>
      <c r="D87" s="159" t="s">
        <v>1</v>
      </c>
      <c r="E87" s="155" t="s">
        <v>671</v>
      </c>
      <c r="F87" s="157"/>
      <c r="G87" s="91">
        <f>SUM(G88)</f>
        <v>0</v>
      </c>
      <c r="H87" s="20"/>
      <c r="I87" s="20"/>
    </row>
    <row r="88" spans="1:9" s="22" customFormat="1" ht="15" hidden="1">
      <c r="A88" s="106" t="s">
        <v>598</v>
      </c>
      <c r="B88" s="159"/>
      <c r="C88" s="159" t="s">
        <v>625</v>
      </c>
      <c r="D88" s="159" t="s">
        <v>1</v>
      </c>
      <c r="E88" s="155" t="s">
        <v>671</v>
      </c>
      <c r="F88" s="157" t="s">
        <v>599</v>
      </c>
      <c r="G88" s="92"/>
      <c r="H88" s="20"/>
      <c r="I88" s="20"/>
    </row>
    <row r="89" spans="1:9" s="28" customFormat="1" ht="18.75" customHeight="1" hidden="1">
      <c r="A89" s="105" t="s">
        <v>197</v>
      </c>
      <c r="B89" s="159"/>
      <c r="C89" s="159" t="s">
        <v>638</v>
      </c>
      <c r="D89" s="159"/>
      <c r="E89" s="159"/>
      <c r="F89" s="158"/>
      <c r="G89" s="204">
        <f>SUM(G90+G141+G175+G204)</f>
        <v>0</v>
      </c>
      <c r="H89" s="83" t="e">
        <f>SUM(H90+H141+H175+H204)</f>
        <v>#REF!</v>
      </c>
      <c r="I89" s="20" t="e">
        <f aca="true" t="shared" si="4" ref="I89:I129">SUM(H89/G89*100)</f>
        <v>#REF!</v>
      </c>
    </row>
    <row r="90" spans="1:9" s="28" customFormat="1" ht="18.75" customHeight="1" hidden="1">
      <c r="A90" s="106" t="s">
        <v>198</v>
      </c>
      <c r="B90" s="155"/>
      <c r="C90" s="155" t="s">
        <v>638</v>
      </c>
      <c r="D90" s="155" t="s">
        <v>237</v>
      </c>
      <c r="E90" s="155"/>
      <c r="F90" s="156"/>
      <c r="G90" s="91">
        <f>SUM(G111+G133+G103+G116+G91+G130)</f>
        <v>0</v>
      </c>
      <c r="H90" s="20">
        <f>SUM(H111+H133+H103+H116+H91)</f>
        <v>24076.4</v>
      </c>
      <c r="I90" s="20" t="e">
        <f t="shared" si="4"/>
        <v>#DIV/0!</v>
      </c>
    </row>
    <row r="91" spans="1:9" s="25" customFormat="1" ht="33" customHeight="1" hidden="1">
      <c r="A91" s="126" t="s">
        <v>199</v>
      </c>
      <c r="B91" s="167"/>
      <c r="C91" s="155" t="s">
        <v>638</v>
      </c>
      <c r="D91" s="155" t="s">
        <v>237</v>
      </c>
      <c r="E91" s="155" t="s">
        <v>200</v>
      </c>
      <c r="F91" s="156"/>
      <c r="G91" s="91">
        <f>SUM(G92+G99)</f>
        <v>0</v>
      </c>
      <c r="H91" s="20">
        <f>SUM(H92+H99)</f>
        <v>23798.300000000003</v>
      </c>
      <c r="I91" s="20" t="e">
        <f t="shared" si="4"/>
        <v>#DIV/0!</v>
      </c>
    </row>
    <row r="92" spans="1:9" s="25" customFormat="1" ht="62.25" customHeight="1" hidden="1">
      <c r="A92" s="126" t="s">
        <v>201</v>
      </c>
      <c r="B92" s="167"/>
      <c r="C92" s="155" t="s">
        <v>638</v>
      </c>
      <c r="D92" s="155" t="s">
        <v>237</v>
      </c>
      <c r="E92" s="155" t="s">
        <v>202</v>
      </c>
      <c r="F92" s="156"/>
      <c r="G92" s="91">
        <f>SUM(G93+G95+G97)</f>
        <v>0</v>
      </c>
      <c r="H92" s="20">
        <f>SUM(H93+H95+H97)</f>
        <v>20414.4</v>
      </c>
      <c r="I92" s="20" t="e">
        <f t="shared" si="4"/>
        <v>#DIV/0!</v>
      </c>
    </row>
    <row r="93" spans="1:9" s="25" customFormat="1" ht="48" customHeight="1" hidden="1">
      <c r="A93" s="126" t="s">
        <v>385</v>
      </c>
      <c r="B93" s="167"/>
      <c r="C93" s="155" t="s">
        <v>638</v>
      </c>
      <c r="D93" s="155" t="s">
        <v>237</v>
      </c>
      <c r="E93" s="155" t="s">
        <v>386</v>
      </c>
      <c r="F93" s="156"/>
      <c r="G93" s="91">
        <f>SUM(G94)</f>
        <v>0</v>
      </c>
      <c r="H93" s="20">
        <f>SUM(H94)</f>
        <v>15652.8</v>
      </c>
      <c r="I93" s="20" t="e">
        <f t="shared" si="4"/>
        <v>#DIV/0!</v>
      </c>
    </row>
    <row r="94" spans="1:9" s="25" customFormat="1" ht="15.75" customHeight="1" hidden="1">
      <c r="A94" s="106" t="s">
        <v>351</v>
      </c>
      <c r="B94" s="155"/>
      <c r="C94" s="155" t="s">
        <v>638</v>
      </c>
      <c r="D94" s="155" t="s">
        <v>237</v>
      </c>
      <c r="E94" s="155" t="s">
        <v>386</v>
      </c>
      <c r="F94" s="156" t="s">
        <v>352</v>
      </c>
      <c r="G94" s="91"/>
      <c r="H94" s="20">
        <v>15652.8</v>
      </c>
      <c r="I94" s="20" t="e">
        <f t="shared" si="4"/>
        <v>#DIV/0!</v>
      </c>
    </row>
    <row r="95" spans="1:9" s="25" customFormat="1" ht="11.25" customHeight="1" hidden="1">
      <c r="A95" s="126" t="s">
        <v>434</v>
      </c>
      <c r="B95" s="167"/>
      <c r="C95" s="155" t="s">
        <v>638</v>
      </c>
      <c r="D95" s="155" t="s">
        <v>237</v>
      </c>
      <c r="E95" s="155" t="s">
        <v>435</v>
      </c>
      <c r="F95" s="156"/>
      <c r="G95" s="91">
        <f>SUM(G96)</f>
        <v>0</v>
      </c>
      <c r="H95" s="20">
        <f>SUM(H96)</f>
        <v>0</v>
      </c>
      <c r="I95" s="20" t="e">
        <f t="shared" si="4"/>
        <v>#DIV/0!</v>
      </c>
    </row>
    <row r="96" spans="1:9" s="25" customFormat="1" ht="15" hidden="1">
      <c r="A96" s="109" t="s">
        <v>641</v>
      </c>
      <c r="B96" s="167"/>
      <c r="C96" s="155" t="s">
        <v>638</v>
      </c>
      <c r="D96" s="155" t="s">
        <v>237</v>
      </c>
      <c r="E96" s="155" t="s">
        <v>435</v>
      </c>
      <c r="F96" s="156" t="s">
        <v>642</v>
      </c>
      <c r="G96" s="91"/>
      <c r="H96" s="20"/>
      <c r="I96" s="20" t="e">
        <f t="shared" si="4"/>
        <v>#DIV/0!</v>
      </c>
    </row>
    <row r="97" spans="1:9" s="25" customFormat="1" ht="71.25" hidden="1">
      <c r="A97" s="126" t="s">
        <v>409</v>
      </c>
      <c r="B97" s="167"/>
      <c r="C97" s="155" t="s">
        <v>638</v>
      </c>
      <c r="D97" s="155" t="s">
        <v>237</v>
      </c>
      <c r="E97" s="155" t="s">
        <v>652</v>
      </c>
      <c r="F97" s="156"/>
      <c r="G97" s="91">
        <f>SUM(G98)</f>
        <v>0</v>
      </c>
      <c r="H97" s="20">
        <f>SUM(H98)</f>
        <v>4761.6</v>
      </c>
      <c r="I97" s="20" t="e">
        <f t="shared" si="4"/>
        <v>#DIV/0!</v>
      </c>
    </row>
    <row r="98" spans="1:9" s="25" customFormat="1" ht="15" hidden="1">
      <c r="A98" s="109" t="s">
        <v>641</v>
      </c>
      <c r="B98" s="167"/>
      <c r="C98" s="155" t="s">
        <v>638</v>
      </c>
      <c r="D98" s="155" t="s">
        <v>237</v>
      </c>
      <c r="E98" s="155" t="s">
        <v>652</v>
      </c>
      <c r="F98" s="156" t="s">
        <v>642</v>
      </c>
      <c r="G98" s="91"/>
      <c r="H98" s="20">
        <v>4761.6</v>
      </c>
      <c r="I98" s="20" t="e">
        <f t="shared" si="4"/>
        <v>#DIV/0!</v>
      </c>
    </row>
    <row r="99" spans="1:9" s="25" customFormat="1" ht="42.75" hidden="1">
      <c r="A99" s="105" t="s">
        <v>203</v>
      </c>
      <c r="B99" s="167"/>
      <c r="C99" s="155" t="s">
        <v>638</v>
      </c>
      <c r="D99" s="155" t="s">
        <v>237</v>
      </c>
      <c r="E99" s="155" t="s">
        <v>204</v>
      </c>
      <c r="F99" s="156"/>
      <c r="G99" s="91">
        <f>SUM(G100)+G106+G109</f>
        <v>0</v>
      </c>
      <c r="H99" s="20">
        <f>SUM(H100)+H106+H109</f>
        <v>3383.9</v>
      </c>
      <c r="I99" s="20" t="e">
        <f t="shared" si="4"/>
        <v>#DIV/0!</v>
      </c>
    </row>
    <row r="100" spans="1:9" s="25" customFormat="1" ht="32.25" customHeight="1" hidden="1">
      <c r="A100" s="105" t="s">
        <v>205</v>
      </c>
      <c r="B100" s="167"/>
      <c r="C100" s="155" t="s">
        <v>638</v>
      </c>
      <c r="D100" s="155" t="s">
        <v>237</v>
      </c>
      <c r="E100" s="155" t="s">
        <v>206</v>
      </c>
      <c r="F100" s="156"/>
      <c r="G100" s="91">
        <f>SUM(G101+G102)</f>
        <v>0</v>
      </c>
      <c r="H100" s="20">
        <f>SUM(H101+H102)</f>
        <v>1562</v>
      </c>
      <c r="I100" s="20" t="e">
        <f t="shared" si="4"/>
        <v>#DIV/0!</v>
      </c>
    </row>
    <row r="101" spans="1:9" s="25" customFormat="1" ht="15" hidden="1">
      <c r="A101" s="138" t="s">
        <v>351</v>
      </c>
      <c r="B101" s="167"/>
      <c r="C101" s="155" t="s">
        <v>638</v>
      </c>
      <c r="D101" s="155" t="s">
        <v>237</v>
      </c>
      <c r="E101" s="155" t="s">
        <v>206</v>
      </c>
      <c r="F101" s="156" t="s">
        <v>352</v>
      </c>
      <c r="G101" s="91"/>
      <c r="H101" s="20">
        <v>233.9</v>
      </c>
      <c r="I101" s="20" t="e">
        <f t="shared" si="4"/>
        <v>#DIV/0!</v>
      </c>
    </row>
    <row r="102" spans="1:9" s="25" customFormat="1" ht="28.5" hidden="1">
      <c r="A102" s="138" t="s">
        <v>207</v>
      </c>
      <c r="B102" s="167"/>
      <c r="C102" s="155" t="s">
        <v>638</v>
      </c>
      <c r="D102" s="155" t="s">
        <v>237</v>
      </c>
      <c r="E102" s="155" t="s">
        <v>206</v>
      </c>
      <c r="F102" s="156" t="s">
        <v>208</v>
      </c>
      <c r="G102" s="91"/>
      <c r="H102" s="20">
        <v>1328.1</v>
      </c>
      <c r="I102" s="20" t="e">
        <f t="shared" si="4"/>
        <v>#DIV/0!</v>
      </c>
    </row>
    <row r="103" spans="1:9" s="25" customFormat="1" ht="28.5" hidden="1">
      <c r="A103" s="105" t="s">
        <v>937</v>
      </c>
      <c r="B103" s="155"/>
      <c r="C103" s="155" t="s">
        <v>638</v>
      </c>
      <c r="D103" s="155" t="s">
        <v>237</v>
      </c>
      <c r="E103" s="155" t="s">
        <v>183</v>
      </c>
      <c r="F103" s="156"/>
      <c r="G103" s="91">
        <f>SUM(G104)</f>
        <v>0</v>
      </c>
      <c r="H103" s="20">
        <f>SUM(H104)</f>
        <v>0</v>
      </c>
      <c r="I103" s="20" t="e">
        <f t="shared" si="4"/>
        <v>#DIV/0!</v>
      </c>
    </row>
    <row r="104" spans="1:9" s="25" customFormat="1" ht="28.5" hidden="1">
      <c r="A104" s="105" t="s">
        <v>639</v>
      </c>
      <c r="B104" s="155"/>
      <c r="C104" s="155" t="s">
        <v>638</v>
      </c>
      <c r="D104" s="155" t="s">
        <v>237</v>
      </c>
      <c r="E104" s="155" t="s">
        <v>640</v>
      </c>
      <c r="F104" s="156"/>
      <c r="G104" s="91">
        <f>SUM(G105)</f>
        <v>0</v>
      </c>
      <c r="H104" s="20">
        <f>SUM(H105)</f>
        <v>0</v>
      </c>
      <c r="I104" s="20" t="e">
        <f t="shared" si="4"/>
        <v>#DIV/0!</v>
      </c>
    </row>
    <row r="105" spans="1:9" s="25" customFormat="1" ht="15" hidden="1">
      <c r="A105" s="105" t="s">
        <v>641</v>
      </c>
      <c r="B105" s="155"/>
      <c r="C105" s="155" t="s">
        <v>638</v>
      </c>
      <c r="D105" s="155" t="s">
        <v>237</v>
      </c>
      <c r="E105" s="155" t="s">
        <v>640</v>
      </c>
      <c r="F105" s="156" t="s">
        <v>642</v>
      </c>
      <c r="G105" s="91"/>
      <c r="H105" s="20"/>
      <c r="I105" s="20" t="e">
        <f t="shared" si="4"/>
        <v>#DIV/0!</v>
      </c>
    </row>
    <row r="106" spans="1:9" s="25" customFormat="1" ht="28.5" hidden="1">
      <c r="A106" s="105" t="s">
        <v>209</v>
      </c>
      <c r="B106" s="155"/>
      <c r="C106" s="155" t="s">
        <v>638</v>
      </c>
      <c r="D106" s="155" t="s">
        <v>237</v>
      </c>
      <c r="E106" s="155" t="s">
        <v>210</v>
      </c>
      <c r="F106" s="156"/>
      <c r="G106" s="91">
        <f>SUM(G107+G108)</f>
        <v>0</v>
      </c>
      <c r="H106" s="20">
        <f>SUM(H107+H108)</f>
        <v>0</v>
      </c>
      <c r="I106" s="20" t="e">
        <f t="shared" si="4"/>
        <v>#DIV/0!</v>
      </c>
    </row>
    <row r="107" spans="1:9" s="25" customFormat="1" ht="15" hidden="1">
      <c r="A107" s="109" t="s">
        <v>641</v>
      </c>
      <c r="B107" s="155"/>
      <c r="C107" s="155" t="s">
        <v>638</v>
      </c>
      <c r="D107" s="155" t="s">
        <v>237</v>
      </c>
      <c r="E107" s="155" t="s">
        <v>210</v>
      </c>
      <c r="F107" s="156" t="s">
        <v>642</v>
      </c>
      <c r="G107" s="91"/>
      <c r="H107" s="20"/>
      <c r="I107" s="20" t="e">
        <f t="shared" si="4"/>
        <v>#DIV/0!</v>
      </c>
    </row>
    <row r="108" spans="1:9" s="25" customFormat="1" ht="15" hidden="1">
      <c r="A108" s="109" t="s">
        <v>213</v>
      </c>
      <c r="B108" s="155"/>
      <c r="C108" s="155" t="s">
        <v>638</v>
      </c>
      <c r="D108" s="155" t="s">
        <v>237</v>
      </c>
      <c r="E108" s="155" t="s">
        <v>210</v>
      </c>
      <c r="F108" s="156" t="s">
        <v>214</v>
      </c>
      <c r="G108" s="91"/>
      <c r="H108" s="20"/>
      <c r="I108" s="20" t="e">
        <f t="shared" si="4"/>
        <v>#DIV/0!</v>
      </c>
    </row>
    <row r="109" spans="1:9" s="25" customFormat="1" ht="42.75" hidden="1">
      <c r="A109" s="105" t="s">
        <v>215</v>
      </c>
      <c r="B109" s="155"/>
      <c r="C109" s="155" t="s">
        <v>638</v>
      </c>
      <c r="D109" s="155" t="s">
        <v>237</v>
      </c>
      <c r="E109" s="155" t="s">
        <v>216</v>
      </c>
      <c r="F109" s="156"/>
      <c r="G109" s="91">
        <f>SUM(G110)</f>
        <v>0</v>
      </c>
      <c r="H109" s="20">
        <f>SUM(H110)</f>
        <v>1821.9</v>
      </c>
      <c r="I109" s="20" t="e">
        <f t="shared" si="4"/>
        <v>#DIV/0!</v>
      </c>
    </row>
    <row r="110" spans="1:9" s="25" customFormat="1" ht="15" hidden="1">
      <c r="A110" s="109" t="s">
        <v>641</v>
      </c>
      <c r="B110" s="155"/>
      <c r="C110" s="155" t="s">
        <v>638</v>
      </c>
      <c r="D110" s="155" t="s">
        <v>237</v>
      </c>
      <c r="E110" s="155" t="s">
        <v>216</v>
      </c>
      <c r="F110" s="156" t="s">
        <v>642</v>
      </c>
      <c r="G110" s="91"/>
      <c r="H110" s="20">
        <v>1821.9</v>
      </c>
      <c r="I110" s="20" t="e">
        <f t="shared" si="4"/>
        <v>#DIV/0!</v>
      </c>
    </row>
    <row r="111" spans="1:9" s="25" customFormat="1" ht="15" hidden="1">
      <c r="A111" s="106" t="s">
        <v>217</v>
      </c>
      <c r="B111" s="155"/>
      <c r="C111" s="155" t="s">
        <v>638</v>
      </c>
      <c r="D111" s="155" t="s">
        <v>237</v>
      </c>
      <c r="E111" s="155" t="s">
        <v>553</v>
      </c>
      <c r="F111" s="156"/>
      <c r="G111" s="91">
        <f>SUM(G112+G114)</f>
        <v>0</v>
      </c>
      <c r="H111" s="20">
        <f>SUM(H112+H114)</f>
        <v>0</v>
      </c>
      <c r="I111" s="20" t="e">
        <f t="shared" si="4"/>
        <v>#DIV/0!</v>
      </c>
    </row>
    <row r="112" spans="1:9" s="25" customFormat="1" ht="25.5" customHeight="1" hidden="1">
      <c r="A112" s="133" t="s">
        <v>555</v>
      </c>
      <c r="B112" s="155"/>
      <c r="C112" s="155" t="s">
        <v>638</v>
      </c>
      <c r="D112" s="155" t="s">
        <v>237</v>
      </c>
      <c r="E112" s="155" t="s">
        <v>554</v>
      </c>
      <c r="F112" s="156"/>
      <c r="G112" s="91">
        <f>SUM(G113)</f>
        <v>0</v>
      </c>
      <c r="H112" s="20">
        <f>SUM(H113)</f>
        <v>0</v>
      </c>
      <c r="I112" s="20" t="e">
        <f t="shared" si="4"/>
        <v>#DIV/0!</v>
      </c>
    </row>
    <row r="113" spans="1:9" s="25" customFormat="1" ht="14.25" customHeight="1" hidden="1">
      <c r="A113" s="106" t="s">
        <v>351</v>
      </c>
      <c r="B113" s="155"/>
      <c r="C113" s="155" t="s">
        <v>638</v>
      </c>
      <c r="D113" s="155" t="s">
        <v>237</v>
      </c>
      <c r="E113" s="155" t="s">
        <v>554</v>
      </c>
      <c r="F113" s="156" t="s">
        <v>352</v>
      </c>
      <c r="G113" s="91"/>
      <c r="H113" s="20"/>
      <c r="I113" s="20" t="e">
        <f t="shared" si="4"/>
        <v>#DIV/0!</v>
      </c>
    </row>
    <row r="114" spans="1:9" s="25" customFormat="1" ht="28.5" hidden="1">
      <c r="A114" s="133" t="s">
        <v>221</v>
      </c>
      <c r="B114" s="159"/>
      <c r="C114" s="155" t="s">
        <v>638</v>
      </c>
      <c r="D114" s="155" t="s">
        <v>237</v>
      </c>
      <c r="E114" s="155" t="s">
        <v>222</v>
      </c>
      <c r="F114" s="157"/>
      <c r="G114" s="91">
        <f>SUM(G115)</f>
        <v>0</v>
      </c>
      <c r="H114" s="20">
        <f>SUM(H115)</f>
        <v>0</v>
      </c>
      <c r="I114" s="20" t="e">
        <f t="shared" si="4"/>
        <v>#DIV/0!</v>
      </c>
    </row>
    <row r="115" spans="1:9" s="25" customFormat="1" ht="15" hidden="1">
      <c r="A115" s="106" t="s">
        <v>598</v>
      </c>
      <c r="B115" s="168"/>
      <c r="C115" s="155" t="s">
        <v>638</v>
      </c>
      <c r="D115" s="155" t="s">
        <v>237</v>
      </c>
      <c r="E115" s="155" t="s">
        <v>222</v>
      </c>
      <c r="F115" s="166" t="s">
        <v>599</v>
      </c>
      <c r="G115" s="92"/>
      <c r="H115" s="27"/>
      <c r="I115" s="20" t="e">
        <f t="shared" si="4"/>
        <v>#DIV/0!</v>
      </c>
    </row>
    <row r="116" spans="1:9" s="25" customFormat="1" ht="15" hidden="1">
      <c r="A116" s="133" t="s">
        <v>340</v>
      </c>
      <c r="B116" s="165"/>
      <c r="C116" s="165" t="s">
        <v>638</v>
      </c>
      <c r="D116" s="165" t="s">
        <v>237</v>
      </c>
      <c r="E116" s="165" t="s">
        <v>341</v>
      </c>
      <c r="F116" s="166"/>
      <c r="G116" s="91">
        <f>SUM(G120)+G125+G117</f>
        <v>0</v>
      </c>
      <c r="H116" s="30">
        <f>SUM(H120)+H125+H117</f>
        <v>0</v>
      </c>
      <c r="I116" s="20" t="e">
        <f t="shared" si="4"/>
        <v>#DIV/0!</v>
      </c>
    </row>
    <row r="117" spans="1:9" s="25" customFormat="1" ht="28.5" hidden="1">
      <c r="A117" s="133" t="s">
        <v>223</v>
      </c>
      <c r="B117" s="165"/>
      <c r="C117" s="165" t="s">
        <v>638</v>
      </c>
      <c r="D117" s="165" t="s">
        <v>237</v>
      </c>
      <c r="E117" s="165" t="s">
        <v>224</v>
      </c>
      <c r="F117" s="166"/>
      <c r="G117" s="91">
        <f>SUM(G118)</f>
        <v>0</v>
      </c>
      <c r="H117" s="30">
        <f>SUM(H118)</f>
        <v>0</v>
      </c>
      <c r="I117" s="20" t="e">
        <f t="shared" si="4"/>
        <v>#DIV/0!</v>
      </c>
    </row>
    <row r="118" spans="1:9" s="25" customFormat="1" ht="15" hidden="1">
      <c r="A118" s="133" t="s">
        <v>641</v>
      </c>
      <c r="B118" s="165"/>
      <c r="C118" s="165" t="s">
        <v>638</v>
      </c>
      <c r="D118" s="165" t="s">
        <v>237</v>
      </c>
      <c r="E118" s="165" t="s">
        <v>224</v>
      </c>
      <c r="F118" s="166" t="s">
        <v>642</v>
      </c>
      <c r="G118" s="91"/>
      <c r="H118" s="30"/>
      <c r="I118" s="20" t="e">
        <f t="shared" si="4"/>
        <v>#DIV/0!</v>
      </c>
    </row>
    <row r="119" spans="1:9" s="25" customFormat="1" ht="15" hidden="1">
      <c r="A119" s="133"/>
      <c r="B119" s="165"/>
      <c r="C119" s="165"/>
      <c r="D119" s="165"/>
      <c r="E119" s="165"/>
      <c r="F119" s="166"/>
      <c r="G119" s="91"/>
      <c r="H119" s="30"/>
      <c r="I119" s="20" t="e">
        <f t="shared" si="4"/>
        <v>#DIV/0!</v>
      </c>
    </row>
    <row r="120" spans="1:9" s="25" customFormat="1" ht="28.5" hidden="1">
      <c r="A120" s="106" t="s">
        <v>225</v>
      </c>
      <c r="B120" s="165"/>
      <c r="C120" s="165" t="s">
        <v>638</v>
      </c>
      <c r="D120" s="165" t="s">
        <v>237</v>
      </c>
      <c r="E120" s="165" t="s">
        <v>226</v>
      </c>
      <c r="F120" s="166"/>
      <c r="G120" s="91">
        <f>SUM(G121+G123)</f>
        <v>0</v>
      </c>
      <c r="H120" s="30">
        <f>SUM(H121+H123)</f>
        <v>0</v>
      </c>
      <c r="I120" s="20" t="e">
        <f t="shared" si="4"/>
        <v>#DIV/0!</v>
      </c>
    </row>
    <row r="121" spans="1:9" s="25" customFormat="1" ht="28.5" hidden="1">
      <c r="A121" s="133" t="s">
        <v>227</v>
      </c>
      <c r="B121" s="169"/>
      <c r="C121" s="165" t="s">
        <v>638</v>
      </c>
      <c r="D121" s="165" t="s">
        <v>237</v>
      </c>
      <c r="E121" s="165" t="s">
        <v>228</v>
      </c>
      <c r="F121" s="166"/>
      <c r="G121" s="91">
        <f>SUM(G122)</f>
        <v>0</v>
      </c>
      <c r="H121" s="30">
        <f>SUM(H122)</f>
        <v>0</v>
      </c>
      <c r="I121" s="20" t="e">
        <f t="shared" si="4"/>
        <v>#DIV/0!</v>
      </c>
    </row>
    <row r="122" spans="1:9" s="25" customFormat="1" ht="15" hidden="1">
      <c r="A122" s="105" t="s">
        <v>641</v>
      </c>
      <c r="B122" s="165"/>
      <c r="C122" s="165" t="s">
        <v>638</v>
      </c>
      <c r="D122" s="165" t="s">
        <v>237</v>
      </c>
      <c r="E122" s="165" t="s">
        <v>228</v>
      </c>
      <c r="F122" s="166" t="s">
        <v>642</v>
      </c>
      <c r="G122" s="91"/>
      <c r="H122" s="20"/>
      <c r="I122" s="20" t="e">
        <f t="shared" si="4"/>
        <v>#DIV/0!</v>
      </c>
    </row>
    <row r="123" spans="1:9" s="25" customFormat="1" ht="15" hidden="1">
      <c r="A123" s="105" t="s">
        <v>229</v>
      </c>
      <c r="B123" s="165"/>
      <c r="C123" s="165" t="s">
        <v>638</v>
      </c>
      <c r="D123" s="165" t="s">
        <v>237</v>
      </c>
      <c r="E123" s="165" t="s">
        <v>230</v>
      </c>
      <c r="F123" s="166"/>
      <c r="G123" s="91">
        <f>SUM(G124)</f>
        <v>0</v>
      </c>
      <c r="H123" s="20">
        <f>SUM(H124)</f>
        <v>0</v>
      </c>
      <c r="I123" s="20" t="e">
        <f t="shared" si="4"/>
        <v>#DIV/0!</v>
      </c>
    </row>
    <row r="124" spans="1:9" s="25" customFormat="1" ht="15" hidden="1">
      <c r="A124" s="106" t="s">
        <v>598</v>
      </c>
      <c r="B124" s="168"/>
      <c r="C124" s="155" t="s">
        <v>638</v>
      </c>
      <c r="D124" s="155" t="s">
        <v>237</v>
      </c>
      <c r="E124" s="165" t="s">
        <v>230</v>
      </c>
      <c r="F124" s="166" t="s">
        <v>599</v>
      </c>
      <c r="G124" s="91"/>
      <c r="H124" s="20"/>
      <c r="I124" s="20" t="e">
        <f t="shared" si="4"/>
        <v>#DIV/0!</v>
      </c>
    </row>
    <row r="125" spans="1:9" s="25" customFormat="1" ht="28.5" hidden="1">
      <c r="A125" s="106" t="s">
        <v>231</v>
      </c>
      <c r="B125" s="168"/>
      <c r="C125" s="155" t="s">
        <v>638</v>
      </c>
      <c r="D125" s="155" t="s">
        <v>237</v>
      </c>
      <c r="E125" s="165" t="s">
        <v>232</v>
      </c>
      <c r="F125" s="166"/>
      <c r="G125" s="91"/>
      <c r="H125" s="20"/>
      <c r="I125" s="20" t="e">
        <f t="shared" si="4"/>
        <v>#DIV/0!</v>
      </c>
    </row>
    <row r="126" spans="1:9" s="25" customFormat="1" ht="28.5" hidden="1">
      <c r="A126" s="106" t="s">
        <v>465</v>
      </c>
      <c r="B126" s="168"/>
      <c r="C126" s="155" t="s">
        <v>638</v>
      </c>
      <c r="D126" s="155" t="s">
        <v>237</v>
      </c>
      <c r="E126" s="165" t="s">
        <v>466</v>
      </c>
      <c r="F126" s="166"/>
      <c r="G126" s="91">
        <f>SUM(G127)</f>
        <v>0</v>
      </c>
      <c r="H126" s="20">
        <f>SUM(H127)</f>
        <v>0</v>
      </c>
      <c r="I126" s="20" t="e">
        <f t="shared" si="4"/>
        <v>#DIV/0!</v>
      </c>
    </row>
    <row r="127" spans="1:9" s="25" customFormat="1" ht="15" hidden="1">
      <c r="A127" s="106" t="s">
        <v>351</v>
      </c>
      <c r="B127" s="168"/>
      <c r="C127" s="155" t="s">
        <v>638</v>
      </c>
      <c r="D127" s="155" t="s">
        <v>237</v>
      </c>
      <c r="E127" s="165" t="s">
        <v>466</v>
      </c>
      <c r="F127" s="166" t="s">
        <v>352</v>
      </c>
      <c r="G127" s="91"/>
      <c r="H127" s="20"/>
      <c r="I127" s="20" t="e">
        <f t="shared" si="4"/>
        <v>#DIV/0!</v>
      </c>
    </row>
    <row r="128" spans="1:9" s="25" customFormat="1" ht="28.5" hidden="1">
      <c r="A128" s="106" t="s">
        <v>467</v>
      </c>
      <c r="B128" s="168"/>
      <c r="C128" s="155" t="s">
        <v>638</v>
      </c>
      <c r="D128" s="155" t="s">
        <v>237</v>
      </c>
      <c r="E128" s="165" t="s">
        <v>468</v>
      </c>
      <c r="F128" s="166"/>
      <c r="G128" s="91">
        <f>SUM(G129)</f>
        <v>0</v>
      </c>
      <c r="H128" s="20">
        <f>SUM(H129)</f>
        <v>0</v>
      </c>
      <c r="I128" s="20" t="e">
        <f t="shared" si="4"/>
        <v>#DIV/0!</v>
      </c>
    </row>
    <row r="129" spans="1:9" s="25" customFormat="1" ht="15" hidden="1">
      <c r="A129" s="106" t="s">
        <v>351</v>
      </c>
      <c r="B129" s="168"/>
      <c r="C129" s="155" t="s">
        <v>638</v>
      </c>
      <c r="D129" s="155" t="s">
        <v>237</v>
      </c>
      <c r="E129" s="165" t="s">
        <v>468</v>
      </c>
      <c r="F129" s="166" t="s">
        <v>352</v>
      </c>
      <c r="G129" s="91"/>
      <c r="H129" s="20"/>
      <c r="I129" s="20" t="e">
        <f t="shared" si="4"/>
        <v>#DIV/0!</v>
      </c>
    </row>
    <row r="130" spans="1:9" s="25" customFormat="1" ht="15" hidden="1">
      <c r="A130" s="106" t="s">
        <v>217</v>
      </c>
      <c r="B130" s="168"/>
      <c r="C130" s="155" t="s">
        <v>638</v>
      </c>
      <c r="D130" s="155" t="s">
        <v>237</v>
      </c>
      <c r="E130" s="165" t="s">
        <v>218</v>
      </c>
      <c r="F130" s="166"/>
      <c r="G130" s="91">
        <f>SUM(G131)</f>
        <v>0</v>
      </c>
      <c r="H130" s="20"/>
      <c r="I130" s="20"/>
    </row>
    <row r="131" spans="1:9" s="25" customFormat="1" ht="28.5" hidden="1">
      <c r="A131" s="106" t="s">
        <v>994</v>
      </c>
      <c r="B131" s="168"/>
      <c r="C131" s="155" t="s">
        <v>638</v>
      </c>
      <c r="D131" s="155" t="s">
        <v>237</v>
      </c>
      <c r="E131" s="165" t="s">
        <v>222</v>
      </c>
      <c r="F131" s="166"/>
      <c r="G131" s="91">
        <f>SUM(G132)</f>
        <v>0</v>
      </c>
      <c r="H131" s="20"/>
      <c r="I131" s="20"/>
    </row>
    <row r="132" spans="1:9" s="25" customFormat="1" ht="15" hidden="1">
      <c r="A132" s="106" t="s">
        <v>598</v>
      </c>
      <c r="B132" s="168"/>
      <c r="C132" s="155" t="s">
        <v>638</v>
      </c>
      <c r="D132" s="155" t="s">
        <v>237</v>
      </c>
      <c r="E132" s="165" t="s">
        <v>222</v>
      </c>
      <c r="F132" s="166" t="s">
        <v>599</v>
      </c>
      <c r="G132" s="91"/>
      <c r="H132" s="20"/>
      <c r="I132" s="20"/>
    </row>
    <row r="133" spans="1:9" s="25" customFormat="1" ht="15" hidden="1">
      <c r="A133" s="109" t="s">
        <v>634</v>
      </c>
      <c r="B133" s="165"/>
      <c r="C133" s="165" t="s">
        <v>638</v>
      </c>
      <c r="D133" s="165" t="s">
        <v>237</v>
      </c>
      <c r="E133" s="165" t="s">
        <v>635</v>
      </c>
      <c r="F133" s="166"/>
      <c r="G133" s="91">
        <f>SUM(G134+G136)+G139</f>
        <v>0</v>
      </c>
      <c r="H133" s="20">
        <f>SUM(H134+H136)+H139</f>
        <v>278.1</v>
      </c>
      <c r="I133" s="20" t="e">
        <f aca="true" t="shared" si="5" ref="I133:I179">SUM(H133/G133*100)</f>
        <v>#DIV/0!</v>
      </c>
    </row>
    <row r="134" spans="1:9" s="25" customFormat="1" ht="42.75" hidden="1">
      <c r="A134" s="109" t="s">
        <v>300</v>
      </c>
      <c r="B134" s="165"/>
      <c r="C134" s="165" t="s">
        <v>638</v>
      </c>
      <c r="D134" s="165" t="s">
        <v>237</v>
      </c>
      <c r="E134" s="165" t="s">
        <v>1037</v>
      </c>
      <c r="F134" s="166"/>
      <c r="G134" s="205">
        <f>SUM(G135:G135)</f>
        <v>0</v>
      </c>
      <c r="H134" s="31">
        <f>SUM(H135:H135)</f>
        <v>0</v>
      </c>
      <c r="I134" s="20" t="e">
        <f t="shared" si="5"/>
        <v>#DIV/0!</v>
      </c>
    </row>
    <row r="135" spans="1:9" s="25" customFormat="1" ht="18" customHeight="1" hidden="1">
      <c r="A135" s="106" t="s">
        <v>351</v>
      </c>
      <c r="B135" s="165"/>
      <c r="C135" s="165" t="s">
        <v>638</v>
      </c>
      <c r="D135" s="165" t="s">
        <v>237</v>
      </c>
      <c r="E135" s="165" t="s">
        <v>1037</v>
      </c>
      <c r="F135" s="166" t="s">
        <v>352</v>
      </c>
      <c r="G135" s="205"/>
      <c r="H135" s="31"/>
      <c r="I135" s="20" t="e">
        <f t="shared" si="5"/>
        <v>#DIV/0!</v>
      </c>
    </row>
    <row r="136" spans="1:9" s="29" customFormat="1" ht="15" hidden="1">
      <c r="A136" s="109" t="s">
        <v>641</v>
      </c>
      <c r="B136" s="165"/>
      <c r="C136" s="165" t="s">
        <v>638</v>
      </c>
      <c r="D136" s="165" t="s">
        <v>237</v>
      </c>
      <c r="E136" s="165" t="s">
        <v>635</v>
      </c>
      <c r="F136" s="166" t="s">
        <v>642</v>
      </c>
      <c r="G136" s="92">
        <f>SUM(G137)</f>
        <v>0</v>
      </c>
      <c r="H136" s="27">
        <f>SUM(H137)</f>
        <v>167.7</v>
      </c>
      <c r="I136" s="20" t="e">
        <f t="shared" si="5"/>
        <v>#DIV/0!</v>
      </c>
    </row>
    <row r="137" spans="1:9" ht="28.5" hidden="1">
      <c r="A137" s="105" t="s">
        <v>471</v>
      </c>
      <c r="B137" s="165"/>
      <c r="C137" s="165" t="s">
        <v>638</v>
      </c>
      <c r="D137" s="165" t="s">
        <v>237</v>
      </c>
      <c r="E137" s="165" t="s">
        <v>472</v>
      </c>
      <c r="F137" s="166" t="s">
        <v>642</v>
      </c>
      <c r="G137" s="91">
        <f>SUM(G138)</f>
        <v>0</v>
      </c>
      <c r="H137" s="20">
        <f>SUM(H138)</f>
        <v>167.7</v>
      </c>
      <c r="I137" s="20" t="e">
        <f t="shared" si="5"/>
        <v>#DIV/0!</v>
      </c>
    </row>
    <row r="138" spans="1:9" s="25" customFormat="1" ht="28.5" hidden="1">
      <c r="A138" s="133" t="s">
        <v>227</v>
      </c>
      <c r="B138" s="165"/>
      <c r="C138" s="165" t="s">
        <v>638</v>
      </c>
      <c r="D138" s="165" t="s">
        <v>237</v>
      </c>
      <c r="E138" s="165" t="s">
        <v>473</v>
      </c>
      <c r="F138" s="166" t="s">
        <v>642</v>
      </c>
      <c r="G138" s="91"/>
      <c r="H138" s="20">
        <v>167.7</v>
      </c>
      <c r="I138" s="20" t="e">
        <f t="shared" si="5"/>
        <v>#DIV/0!</v>
      </c>
    </row>
    <row r="139" spans="1:9" s="25" customFormat="1" ht="28.5" hidden="1">
      <c r="A139" s="127" t="s">
        <v>474</v>
      </c>
      <c r="B139" s="165"/>
      <c r="C139" s="165" t="s">
        <v>638</v>
      </c>
      <c r="D139" s="165" t="s">
        <v>237</v>
      </c>
      <c r="E139" s="165" t="s">
        <v>475</v>
      </c>
      <c r="F139" s="166"/>
      <c r="G139" s="91">
        <f>SUM(G140)</f>
        <v>0</v>
      </c>
      <c r="H139" s="20">
        <f>SUM(H140)</f>
        <v>110.4</v>
      </c>
      <c r="I139" s="20" t="e">
        <f t="shared" si="5"/>
        <v>#DIV/0!</v>
      </c>
    </row>
    <row r="140" spans="1:9" s="25" customFormat="1" ht="15" hidden="1">
      <c r="A140" s="109" t="s">
        <v>641</v>
      </c>
      <c r="B140" s="165"/>
      <c r="C140" s="165" t="s">
        <v>638</v>
      </c>
      <c r="D140" s="165" t="s">
        <v>237</v>
      </c>
      <c r="E140" s="165" t="s">
        <v>475</v>
      </c>
      <c r="F140" s="166" t="s">
        <v>642</v>
      </c>
      <c r="G140" s="91"/>
      <c r="H140" s="20">
        <v>110.4</v>
      </c>
      <c r="I140" s="20" t="e">
        <f t="shared" si="5"/>
        <v>#DIV/0!</v>
      </c>
    </row>
    <row r="141" spans="1:9" ht="20.25" customHeight="1" hidden="1">
      <c r="A141" s="105" t="s">
        <v>476</v>
      </c>
      <c r="B141" s="159"/>
      <c r="C141" s="159" t="s">
        <v>638</v>
      </c>
      <c r="D141" s="159" t="s">
        <v>239</v>
      </c>
      <c r="E141" s="159"/>
      <c r="F141" s="157"/>
      <c r="G141" s="91">
        <f>SUM(G148+G164)+G142+G160+G145</f>
        <v>0</v>
      </c>
      <c r="H141" s="20">
        <f>SUM(H148+H164)+H142+H160+H145</f>
        <v>24530.6</v>
      </c>
      <c r="I141" s="20" t="e">
        <f t="shared" si="5"/>
        <v>#DIV/0!</v>
      </c>
    </row>
    <row r="142" spans="1:9" ht="19.5" customHeight="1" hidden="1">
      <c r="A142" s="106" t="s">
        <v>148</v>
      </c>
      <c r="B142" s="155"/>
      <c r="C142" s="159" t="s">
        <v>638</v>
      </c>
      <c r="D142" s="159" t="s">
        <v>239</v>
      </c>
      <c r="E142" s="159" t="s">
        <v>150</v>
      </c>
      <c r="F142" s="157"/>
      <c r="G142" s="91">
        <f>SUM(G143)</f>
        <v>0</v>
      </c>
      <c r="H142" s="20">
        <f>SUM(H143)</f>
        <v>0</v>
      </c>
      <c r="I142" s="20" t="e">
        <f t="shared" si="5"/>
        <v>#DIV/0!</v>
      </c>
    </row>
    <row r="143" spans="1:9" ht="19.5" customHeight="1" hidden="1">
      <c r="A143" s="106" t="s">
        <v>128</v>
      </c>
      <c r="B143" s="155"/>
      <c r="C143" s="159" t="s">
        <v>638</v>
      </c>
      <c r="D143" s="159" t="s">
        <v>239</v>
      </c>
      <c r="E143" s="159" t="s">
        <v>129</v>
      </c>
      <c r="F143" s="156"/>
      <c r="G143" s="91">
        <f>SUM(G144)</f>
        <v>0</v>
      </c>
      <c r="H143" s="20">
        <f>SUM(H144)</f>
        <v>0</v>
      </c>
      <c r="I143" s="20" t="e">
        <f t="shared" si="5"/>
        <v>#DIV/0!</v>
      </c>
    </row>
    <row r="144" spans="1:9" ht="19.5" customHeight="1" hidden="1">
      <c r="A144" s="106" t="s">
        <v>598</v>
      </c>
      <c r="B144" s="155"/>
      <c r="C144" s="159" t="s">
        <v>638</v>
      </c>
      <c r="D144" s="159" t="s">
        <v>239</v>
      </c>
      <c r="E144" s="159" t="s">
        <v>129</v>
      </c>
      <c r="F144" s="156" t="s">
        <v>599</v>
      </c>
      <c r="G144" s="91"/>
      <c r="H144" s="20"/>
      <c r="I144" s="20" t="e">
        <f t="shared" si="5"/>
        <v>#DIV/0!</v>
      </c>
    </row>
    <row r="145" spans="1:9" ht="19.5" customHeight="1" hidden="1">
      <c r="A145" s="106" t="s">
        <v>1014</v>
      </c>
      <c r="B145" s="155"/>
      <c r="C145" s="159" t="s">
        <v>638</v>
      </c>
      <c r="D145" s="159" t="s">
        <v>239</v>
      </c>
      <c r="E145" s="159" t="s">
        <v>1015</v>
      </c>
      <c r="F145" s="156"/>
      <c r="G145" s="91">
        <f>SUM(G146)</f>
        <v>0</v>
      </c>
      <c r="H145" s="20">
        <f>SUM(H146)</f>
        <v>9483.6</v>
      </c>
      <c r="I145" s="20" t="e">
        <f t="shared" si="5"/>
        <v>#DIV/0!</v>
      </c>
    </row>
    <row r="146" spans="1:9" ht="19.5" customHeight="1" hidden="1">
      <c r="A146" s="106" t="s">
        <v>1016</v>
      </c>
      <c r="B146" s="155"/>
      <c r="C146" s="159" t="s">
        <v>638</v>
      </c>
      <c r="D146" s="159" t="s">
        <v>239</v>
      </c>
      <c r="E146" s="159" t="s">
        <v>1017</v>
      </c>
      <c r="F146" s="156"/>
      <c r="G146" s="91">
        <f>SUM(G147)</f>
        <v>0</v>
      </c>
      <c r="H146" s="20">
        <f>SUM(H147)</f>
        <v>9483.6</v>
      </c>
      <c r="I146" s="20" t="e">
        <f t="shared" si="5"/>
        <v>#DIV/0!</v>
      </c>
    </row>
    <row r="147" spans="1:9" ht="19.5" customHeight="1" hidden="1">
      <c r="A147" s="106" t="s">
        <v>351</v>
      </c>
      <c r="B147" s="155"/>
      <c r="C147" s="159" t="s">
        <v>638</v>
      </c>
      <c r="D147" s="159" t="s">
        <v>239</v>
      </c>
      <c r="E147" s="159" t="s">
        <v>1017</v>
      </c>
      <c r="F147" s="156" t="s">
        <v>352</v>
      </c>
      <c r="G147" s="91"/>
      <c r="H147" s="20">
        <v>9483.6</v>
      </c>
      <c r="I147" s="20" t="e">
        <f t="shared" si="5"/>
        <v>#DIV/0!</v>
      </c>
    </row>
    <row r="148" spans="1:9" ht="18" customHeight="1" hidden="1">
      <c r="A148" s="131" t="s">
        <v>1018</v>
      </c>
      <c r="B148" s="159"/>
      <c r="C148" s="159" t="s">
        <v>638</v>
      </c>
      <c r="D148" s="159" t="s">
        <v>239</v>
      </c>
      <c r="E148" s="159" t="s">
        <v>478</v>
      </c>
      <c r="F148" s="157"/>
      <c r="G148" s="91">
        <f>SUM(G149+G151+G153)+G157</f>
        <v>0</v>
      </c>
      <c r="H148" s="20">
        <f>SUM(H149+H151+H153)</f>
        <v>15047</v>
      </c>
      <c r="I148" s="20" t="e">
        <f t="shared" si="5"/>
        <v>#DIV/0!</v>
      </c>
    </row>
    <row r="149" spans="1:9" ht="42.75" hidden="1">
      <c r="A149" s="109" t="s">
        <v>1019</v>
      </c>
      <c r="B149" s="159"/>
      <c r="C149" s="159" t="s">
        <v>638</v>
      </c>
      <c r="D149" s="159" t="s">
        <v>239</v>
      </c>
      <c r="E149" s="159" t="s">
        <v>1020</v>
      </c>
      <c r="F149" s="157"/>
      <c r="G149" s="91">
        <f>SUM(G150)</f>
        <v>0</v>
      </c>
      <c r="H149" s="20">
        <f>SUM(H150)</f>
        <v>0</v>
      </c>
      <c r="I149" s="20" t="e">
        <f t="shared" si="5"/>
        <v>#DIV/0!</v>
      </c>
    </row>
    <row r="150" spans="1:9" s="32" customFormat="1" ht="15" hidden="1">
      <c r="A150" s="106" t="s">
        <v>351</v>
      </c>
      <c r="B150" s="155"/>
      <c r="C150" s="155" t="s">
        <v>638</v>
      </c>
      <c r="D150" s="159" t="s">
        <v>239</v>
      </c>
      <c r="E150" s="159" t="s">
        <v>1020</v>
      </c>
      <c r="F150" s="156" t="s">
        <v>352</v>
      </c>
      <c r="G150" s="91"/>
      <c r="H150" s="20"/>
      <c r="I150" s="20" t="e">
        <f t="shared" si="5"/>
        <v>#DIV/0!</v>
      </c>
    </row>
    <row r="151" spans="1:9" ht="42.75" hidden="1">
      <c r="A151" s="109" t="s">
        <v>449</v>
      </c>
      <c r="B151" s="155"/>
      <c r="C151" s="159" t="s">
        <v>638</v>
      </c>
      <c r="D151" s="159" t="s">
        <v>239</v>
      </c>
      <c r="E151" s="159" t="s">
        <v>450</v>
      </c>
      <c r="F151" s="156"/>
      <c r="G151" s="91">
        <f>SUM(G152)</f>
        <v>0</v>
      </c>
      <c r="H151" s="20">
        <f>SUM(H152)</f>
        <v>0</v>
      </c>
      <c r="I151" s="20" t="e">
        <f t="shared" si="5"/>
        <v>#DIV/0!</v>
      </c>
    </row>
    <row r="152" spans="1:9" s="32" customFormat="1" ht="19.5" customHeight="1" hidden="1">
      <c r="A152" s="106" t="s">
        <v>351</v>
      </c>
      <c r="B152" s="155"/>
      <c r="C152" s="159" t="s">
        <v>638</v>
      </c>
      <c r="D152" s="159" t="s">
        <v>239</v>
      </c>
      <c r="E152" s="159" t="s">
        <v>450</v>
      </c>
      <c r="F152" s="156" t="s">
        <v>352</v>
      </c>
      <c r="G152" s="91"/>
      <c r="H152" s="20"/>
      <c r="I152" s="20" t="e">
        <f t="shared" si="5"/>
        <v>#DIV/0!</v>
      </c>
    </row>
    <row r="153" spans="1:9" ht="20.25" customHeight="1" hidden="1">
      <c r="A153" s="133" t="s">
        <v>451</v>
      </c>
      <c r="B153" s="159"/>
      <c r="C153" s="159" t="s">
        <v>638</v>
      </c>
      <c r="D153" s="159" t="s">
        <v>239</v>
      </c>
      <c r="E153" s="159" t="s">
        <v>452</v>
      </c>
      <c r="F153" s="157"/>
      <c r="G153" s="91">
        <f>SUM(G154:G155)+G156</f>
        <v>0</v>
      </c>
      <c r="H153" s="20">
        <f>SUM(H154:H155)</f>
        <v>15047</v>
      </c>
      <c r="I153" s="20" t="e">
        <f t="shared" si="5"/>
        <v>#DIV/0!</v>
      </c>
    </row>
    <row r="154" spans="1:9" ht="19.5" customHeight="1" hidden="1">
      <c r="A154" s="106" t="s">
        <v>351</v>
      </c>
      <c r="B154" s="159"/>
      <c r="C154" s="159" t="s">
        <v>638</v>
      </c>
      <c r="D154" s="159" t="s">
        <v>239</v>
      </c>
      <c r="E154" s="159" t="s">
        <v>452</v>
      </c>
      <c r="F154" s="156" t="s">
        <v>352</v>
      </c>
      <c r="G154" s="92"/>
      <c r="H154" s="27">
        <f>878+4272.1+2990.6</f>
        <v>8140.700000000001</v>
      </c>
      <c r="I154" s="20" t="e">
        <f t="shared" si="5"/>
        <v>#DIV/0!</v>
      </c>
    </row>
    <row r="155" spans="1:9" ht="19.5" customHeight="1" hidden="1">
      <c r="A155" s="106" t="s">
        <v>351</v>
      </c>
      <c r="B155" s="159"/>
      <c r="C155" s="159" t="s">
        <v>638</v>
      </c>
      <c r="D155" s="159" t="s">
        <v>239</v>
      </c>
      <c r="E155" s="159" t="s">
        <v>452</v>
      </c>
      <c r="F155" s="156" t="s">
        <v>352</v>
      </c>
      <c r="G155" s="92"/>
      <c r="H155" s="27">
        <v>6906.3</v>
      </c>
      <c r="I155" s="20" t="e">
        <f t="shared" si="5"/>
        <v>#DIV/0!</v>
      </c>
    </row>
    <row r="156" spans="1:9" ht="19.5" customHeight="1" hidden="1">
      <c r="A156" s="106" t="s">
        <v>598</v>
      </c>
      <c r="B156" s="159"/>
      <c r="C156" s="159" t="s">
        <v>638</v>
      </c>
      <c r="D156" s="159" t="s">
        <v>239</v>
      </c>
      <c r="E156" s="159" t="s">
        <v>452</v>
      </c>
      <c r="F156" s="156" t="s">
        <v>599</v>
      </c>
      <c r="G156" s="92"/>
      <c r="H156" s="27"/>
      <c r="I156" s="20"/>
    </row>
    <row r="157" spans="1:9" ht="22.5" customHeight="1" hidden="1">
      <c r="A157" s="106" t="s">
        <v>361</v>
      </c>
      <c r="B157" s="159"/>
      <c r="C157" s="159" t="s">
        <v>638</v>
      </c>
      <c r="D157" s="159" t="s">
        <v>239</v>
      </c>
      <c r="E157" s="159" t="s">
        <v>672</v>
      </c>
      <c r="F157" s="156"/>
      <c r="G157" s="92">
        <f>SUM(G158)</f>
        <v>0</v>
      </c>
      <c r="H157" s="27"/>
      <c r="I157" s="20"/>
    </row>
    <row r="158" spans="1:9" ht="32.25" customHeight="1" hidden="1">
      <c r="A158" s="106" t="s">
        <v>809</v>
      </c>
      <c r="B158" s="159"/>
      <c r="C158" s="159" t="s">
        <v>638</v>
      </c>
      <c r="D158" s="159" t="s">
        <v>239</v>
      </c>
      <c r="E158" s="159" t="s">
        <v>673</v>
      </c>
      <c r="F158" s="156"/>
      <c r="G158" s="92">
        <f>SUM(G159)</f>
        <v>0</v>
      </c>
      <c r="H158" s="27"/>
      <c r="I158" s="20"/>
    </row>
    <row r="159" spans="1:9" ht="35.25" customHeight="1" hidden="1">
      <c r="A159" s="106" t="s">
        <v>691</v>
      </c>
      <c r="B159" s="159"/>
      <c r="C159" s="159" t="s">
        <v>638</v>
      </c>
      <c r="D159" s="159" t="s">
        <v>239</v>
      </c>
      <c r="E159" s="159" t="s">
        <v>673</v>
      </c>
      <c r="F159" s="156" t="s">
        <v>485</v>
      </c>
      <c r="G159" s="92"/>
      <c r="H159" s="27"/>
      <c r="I159" s="20"/>
    </row>
    <row r="160" spans="1:9" ht="19.5" customHeight="1" hidden="1">
      <c r="A160" s="133" t="s">
        <v>340</v>
      </c>
      <c r="B160" s="165"/>
      <c r="C160" s="159" t="s">
        <v>638</v>
      </c>
      <c r="D160" s="159" t="s">
        <v>239</v>
      </c>
      <c r="E160" s="165" t="s">
        <v>341</v>
      </c>
      <c r="F160" s="157"/>
      <c r="G160" s="92">
        <f aca="true" t="shared" si="6" ref="G160:H162">SUM(G161)</f>
        <v>0</v>
      </c>
      <c r="H160" s="27">
        <f t="shared" si="6"/>
        <v>0</v>
      </c>
      <c r="I160" s="20" t="e">
        <f t="shared" si="5"/>
        <v>#DIV/0!</v>
      </c>
    </row>
    <row r="161" spans="1:9" ht="19.5" customHeight="1" hidden="1">
      <c r="A161" s="106" t="s">
        <v>225</v>
      </c>
      <c r="B161" s="165"/>
      <c r="C161" s="159" t="s">
        <v>638</v>
      </c>
      <c r="D161" s="159" t="s">
        <v>239</v>
      </c>
      <c r="E161" s="165" t="s">
        <v>226</v>
      </c>
      <c r="F161" s="157"/>
      <c r="G161" s="92">
        <f t="shared" si="6"/>
        <v>0</v>
      </c>
      <c r="H161" s="27">
        <f t="shared" si="6"/>
        <v>0</v>
      </c>
      <c r="I161" s="20" t="e">
        <f t="shared" si="5"/>
        <v>#DIV/0!</v>
      </c>
    </row>
    <row r="162" spans="1:9" ht="19.5" customHeight="1" hidden="1">
      <c r="A162" s="133" t="s">
        <v>453</v>
      </c>
      <c r="B162" s="155"/>
      <c r="C162" s="159" t="s">
        <v>638</v>
      </c>
      <c r="D162" s="159" t="s">
        <v>239</v>
      </c>
      <c r="E162" s="165" t="s">
        <v>454</v>
      </c>
      <c r="F162" s="157"/>
      <c r="G162" s="92">
        <f t="shared" si="6"/>
        <v>0</v>
      </c>
      <c r="H162" s="27">
        <f t="shared" si="6"/>
        <v>0</v>
      </c>
      <c r="I162" s="20" t="e">
        <f t="shared" si="5"/>
        <v>#DIV/0!</v>
      </c>
    </row>
    <row r="163" spans="1:9" ht="19.5" customHeight="1" hidden="1">
      <c r="A163" s="106" t="s">
        <v>598</v>
      </c>
      <c r="B163" s="159"/>
      <c r="C163" s="159" t="s">
        <v>638</v>
      </c>
      <c r="D163" s="159" t="s">
        <v>239</v>
      </c>
      <c r="E163" s="165" t="s">
        <v>454</v>
      </c>
      <c r="F163" s="156" t="s">
        <v>599</v>
      </c>
      <c r="G163" s="92"/>
      <c r="H163" s="27"/>
      <c r="I163" s="20" t="e">
        <f t="shared" si="5"/>
        <v>#DIV/0!</v>
      </c>
    </row>
    <row r="164" spans="1:9" ht="21.75" customHeight="1" hidden="1">
      <c r="A164" s="109" t="s">
        <v>634</v>
      </c>
      <c r="B164" s="165"/>
      <c r="C164" s="165" t="s">
        <v>638</v>
      </c>
      <c r="D164" s="165" t="s">
        <v>239</v>
      </c>
      <c r="E164" s="165" t="s">
        <v>635</v>
      </c>
      <c r="F164" s="166"/>
      <c r="G164" s="92">
        <f>SUM(G169)</f>
        <v>0</v>
      </c>
      <c r="H164" s="27">
        <f>SUM(H165)</f>
        <v>0</v>
      </c>
      <c r="I164" s="20" t="e">
        <f t="shared" si="5"/>
        <v>#DIV/0!</v>
      </c>
    </row>
    <row r="165" spans="1:9" s="33" customFormat="1" ht="42.75" hidden="1">
      <c r="A165" s="108" t="s">
        <v>1036</v>
      </c>
      <c r="B165" s="165"/>
      <c r="C165" s="165" t="s">
        <v>638</v>
      </c>
      <c r="D165" s="165" t="s">
        <v>239</v>
      </c>
      <c r="E165" s="165" t="s">
        <v>1037</v>
      </c>
      <c r="F165" s="156"/>
      <c r="G165" s="92">
        <f>SUM(G166)+G167+G172+G168</f>
        <v>0</v>
      </c>
      <c r="H165" s="27">
        <f>SUM(H166)+H167+H172</f>
        <v>0</v>
      </c>
      <c r="I165" s="20" t="e">
        <f t="shared" si="5"/>
        <v>#DIV/0!</v>
      </c>
    </row>
    <row r="166" spans="1:9" ht="28.5" hidden="1">
      <c r="A166" s="106" t="s">
        <v>455</v>
      </c>
      <c r="B166" s="165"/>
      <c r="C166" s="165" t="s">
        <v>638</v>
      </c>
      <c r="D166" s="165" t="s">
        <v>239</v>
      </c>
      <c r="E166" s="165" t="s">
        <v>456</v>
      </c>
      <c r="F166" s="156" t="s">
        <v>599</v>
      </c>
      <c r="G166" s="92">
        <f>600-600</f>
        <v>0</v>
      </c>
      <c r="H166" s="27">
        <f>600-600</f>
        <v>0</v>
      </c>
      <c r="I166" s="20" t="e">
        <f t="shared" si="5"/>
        <v>#DIV/0!</v>
      </c>
    </row>
    <row r="167" spans="1:9" ht="28.5" hidden="1">
      <c r="A167" s="109" t="s">
        <v>457</v>
      </c>
      <c r="B167" s="165"/>
      <c r="C167" s="165" t="s">
        <v>638</v>
      </c>
      <c r="D167" s="165" t="s">
        <v>239</v>
      </c>
      <c r="E167" s="165" t="s">
        <v>458</v>
      </c>
      <c r="F167" s="156" t="s">
        <v>599</v>
      </c>
      <c r="G167" s="92">
        <f>900-900</f>
        <v>0</v>
      </c>
      <c r="H167" s="27">
        <f>900-900</f>
        <v>0</v>
      </c>
      <c r="I167" s="20" t="e">
        <f t="shared" si="5"/>
        <v>#DIV/0!</v>
      </c>
    </row>
    <row r="168" spans="1:9" ht="15" hidden="1">
      <c r="A168" s="106" t="s">
        <v>598</v>
      </c>
      <c r="B168" s="165"/>
      <c r="C168" s="165" t="s">
        <v>638</v>
      </c>
      <c r="D168" s="165" t="s">
        <v>239</v>
      </c>
      <c r="E168" s="165" t="s">
        <v>1037</v>
      </c>
      <c r="F168" s="156" t="s">
        <v>599</v>
      </c>
      <c r="G168" s="92">
        <f>5825.2-5825.2</f>
        <v>0</v>
      </c>
      <c r="H168" s="27"/>
      <c r="I168" s="20" t="e">
        <f t="shared" si="5"/>
        <v>#DIV/0!</v>
      </c>
    </row>
    <row r="169" spans="1:9" ht="42.75" hidden="1">
      <c r="A169" s="106" t="s">
        <v>298</v>
      </c>
      <c r="B169" s="165"/>
      <c r="C169" s="165" t="s">
        <v>638</v>
      </c>
      <c r="D169" s="165" t="s">
        <v>239</v>
      </c>
      <c r="E169" s="165" t="s">
        <v>243</v>
      </c>
      <c r="F169" s="156"/>
      <c r="G169" s="92">
        <f>SUM(G170+G171)</f>
        <v>0</v>
      </c>
      <c r="H169" s="27"/>
      <c r="I169" s="20"/>
    </row>
    <row r="170" spans="1:9" ht="17.25" customHeight="1" hidden="1">
      <c r="A170" s="106" t="s">
        <v>351</v>
      </c>
      <c r="B170" s="165"/>
      <c r="C170" s="165" t="s">
        <v>638</v>
      </c>
      <c r="D170" s="165" t="s">
        <v>239</v>
      </c>
      <c r="E170" s="165" t="s">
        <v>243</v>
      </c>
      <c r="F170" s="156" t="s">
        <v>352</v>
      </c>
      <c r="G170" s="92"/>
      <c r="H170" s="27"/>
      <c r="I170" s="20"/>
    </row>
    <row r="171" spans="1:9" ht="17.25" customHeight="1" hidden="1">
      <c r="A171" s="106" t="s">
        <v>598</v>
      </c>
      <c r="B171" s="165"/>
      <c r="C171" s="165" t="s">
        <v>638</v>
      </c>
      <c r="D171" s="165" t="s">
        <v>239</v>
      </c>
      <c r="E171" s="165" t="s">
        <v>243</v>
      </c>
      <c r="F171" s="156" t="s">
        <v>599</v>
      </c>
      <c r="G171" s="92"/>
      <c r="H171" s="27"/>
      <c r="I171" s="20"/>
    </row>
    <row r="172" spans="1:9" ht="28.5" hidden="1">
      <c r="A172" s="127" t="s">
        <v>461</v>
      </c>
      <c r="B172" s="165"/>
      <c r="C172" s="165" t="s">
        <v>638</v>
      </c>
      <c r="D172" s="165" t="s">
        <v>239</v>
      </c>
      <c r="E172" s="165" t="s">
        <v>462</v>
      </c>
      <c r="F172" s="156"/>
      <c r="G172" s="92">
        <f>SUM(G173)</f>
        <v>0</v>
      </c>
      <c r="H172" s="27">
        <f>SUM(H173)</f>
        <v>0</v>
      </c>
      <c r="I172" s="20" t="e">
        <f t="shared" si="5"/>
        <v>#DIV/0!</v>
      </c>
    </row>
    <row r="173" spans="1:9" ht="15" hidden="1">
      <c r="A173" s="109" t="s">
        <v>453</v>
      </c>
      <c r="B173" s="165"/>
      <c r="C173" s="165" t="s">
        <v>638</v>
      </c>
      <c r="D173" s="165" t="s">
        <v>239</v>
      </c>
      <c r="E173" s="165" t="s">
        <v>463</v>
      </c>
      <c r="F173" s="156"/>
      <c r="G173" s="92">
        <f>SUM(G174)</f>
        <v>0</v>
      </c>
      <c r="H173" s="27">
        <f>SUM(H174)</f>
        <v>0</v>
      </c>
      <c r="I173" s="20" t="e">
        <f t="shared" si="5"/>
        <v>#DIV/0!</v>
      </c>
    </row>
    <row r="174" spans="1:9" ht="19.5" customHeight="1" hidden="1">
      <c r="A174" s="106" t="s">
        <v>598</v>
      </c>
      <c r="B174" s="165"/>
      <c r="C174" s="165" t="s">
        <v>638</v>
      </c>
      <c r="D174" s="165" t="s">
        <v>239</v>
      </c>
      <c r="E174" s="165" t="s">
        <v>463</v>
      </c>
      <c r="F174" s="156" t="s">
        <v>599</v>
      </c>
      <c r="G174" s="92">
        <f>4200.9-4200.9</f>
        <v>0</v>
      </c>
      <c r="H174" s="27">
        <f>4200.9-4200.9</f>
        <v>0</v>
      </c>
      <c r="I174" s="20" t="e">
        <f t="shared" si="5"/>
        <v>#DIV/0!</v>
      </c>
    </row>
    <row r="175" spans="1:9" s="84" customFormat="1" ht="16.5" customHeight="1" hidden="1">
      <c r="A175" s="105" t="s">
        <v>464</v>
      </c>
      <c r="B175" s="159"/>
      <c r="C175" s="159" t="s">
        <v>638</v>
      </c>
      <c r="D175" s="159" t="s">
        <v>601</v>
      </c>
      <c r="E175" s="159"/>
      <c r="F175" s="157"/>
      <c r="G175" s="91">
        <f>SUM(G178+G195)+G176+G194</f>
        <v>0</v>
      </c>
      <c r="H175" s="20">
        <f>SUM(H178+H195)+H176</f>
        <v>71482.59999999999</v>
      </c>
      <c r="I175" s="20" t="e">
        <f t="shared" si="5"/>
        <v>#DIV/0!</v>
      </c>
    </row>
    <row r="176" spans="1:9" s="36" customFormat="1" ht="19.5" customHeight="1" hidden="1">
      <c r="A176" s="105" t="s">
        <v>537</v>
      </c>
      <c r="B176" s="159"/>
      <c r="C176" s="159" t="s">
        <v>638</v>
      </c>
      <c r="D176" s="159" t="s">
        <v>601</v>
      </c>
      <c r="E176" s="159" t="s">
        <v>538</v>
      </c>
      <c r="F176" s="157"/>
      <c r="G176" s="91">
        <f>SUM(G177)</f>
        <v>0</v>
      </c>
      <c r="H176" s="20">
        <f>SUM(H177)</f>
        <v>0</v>
      </c>
      <c r="I176" s="20" t="e">
        <f t="shared" si="5"/>
        <v>#DIV/0!</v>
      </c>
    </row>
    <row r="177" spans="1:9" s="36" customFormat="1" ht="19.5" customHeight="1" hidden="1">
      <c r="A177" s="105" t="s">
        <v>539</v>
      </c>
      <c r="B177" s="159"/>
      <c r="C177" s="159" t="s">
        <v>638</v>
      </c>
      <c r="D177" s="159" t="s">
        <v>601</v>
      </c>
      <c r="E177" s="159" t="s">
        <v>538</v>
      </c>
      <c r="F177" s="157" t="s">
        <v>540</v>
      </c>
      <c r="G177" s="91"/>
      <c r="H177" s="20"/>
      <c r="I177" s="20" t="e">
        <f t="shared" si="5"/>
        <v>#DIV/0!</v>
      </c>
    </row>
    <row r="178" spans="1:9" s="36" customFormat="1" ht="18.75" customHeight="1" hidden="1">
      <c r="A178" s="105" t="s">
        <v>464</v>
      </c>
      <c r="B178" s="165"/>
      <c r="C178" s="159" t="s">
        <v>638</v>
      </c>
      <c r="D178" s="159" t="s">
        <v>601</v>
      </c>
      <c r="E178" s="165" t="s">
        <v>541</v>
      </c>
      <c r="F178" s="166"/>
      <c r="G178" s="91">
        <f>SUM(G179+G184+G189+G192)+G187</f>
        <v>0</v>
      </c>
      <c r="H178" s="20">
        <f>SUM(H179+H184+H189+H192)+H187</f>
        <v>71087.2</v>
      </c>
      <c r="I178" s="20" t="e">
        <f t="shared" si="5"/>
        <v>#DIV/0!</v>
      </c>
    </row>
    <row r="179" spans="1:9" s="36" customFormat="1" ht="15.75" customHeight="1" hidden="1">
      <c r="A179" s="109" t="s">
        <v>542</v>
      </c>
      <c r="B179" s="165"/>
      <c r="C179" s="159" t="s">
        <v>638</v>
      </c>
      <c r="D179" s="159" t="s">
        <v>601</v>
      </c>
      <c r="E179" s="165" t="s">
        <v>543</v>
      </c>
      <c r="F179" s="166"/>
      <c r="G179" s="91">
        <f>SUM(G180:G182)</f>
        <v>0</v>
      </c>
      <c r="H179" s="20">
        <f>SUM(H181:H182)</f>
        <v>20816.7</v>
      </c>
      <c r="I179" s="20" t="e">
        <f t="shared" si="5"/>
        <v>#DIV/0!</v>
      </c>
    </row>
    <row r="180" spans="1:9" s="36" customFormat="1" ht="19.5" customHeight="1" hidden="1">
      <c r="A180" s="106" t="s">
        <v>351</v>
      </c>
      <c r="B180" s="165"/>
      <c r="C180" s="159" t="s">
        <v>638</v>
      </c>
      <c r="D180" s="159" t="s">
        <v>601</v>
      </c>
      <c r="E180" s="165" t="s">
        <v>543</v>
      </c>
      <c r="F180" s="166" t="s">
        <v>352</v>
      </c>
      <c r="G180" s="91"/>
      <c r="H180" s="20"/>
      <c r="I180" s="20"/>
    </row>
    <row r="181" spans="1:9" s="36" customFormat="1" ht="15" hidden="1">
      <c r="A181" s="106" t="s">
        <v>598</v>
      </c>
      <c r="B181" s="165"/>
      <c r="C181" s="159" t="s">
        <v>638</v>
      </c>
      <c r="D181" s="159" t="s">
        <v>601</v>
      </c>
      <c r="E181" s="165" t="s">
        <v>543</v>
      </c>
      <c r="F181" s="166" t="s">
        <v>599</v>
      </c>
      <c r="G181" s="91"/>
      <c r="H181" s="20">
        <v>20816.7</v>
      </c>
      <c r="I181" s="20" t="e">
        <f>SUM(H181/G181*100)</f>
        <v>#DIV/0!</v>
      </c>
    </row>
    <row r="182" spans="1:9" s="36" customFormat="1" ht="19.5" customHeight="1" hidden="1">
      <c r="A182" s="106" t="s">
        <v>410</v>
      </c>
      <c r="B182" s="165"/>
      <c r="C182" s="159" t="s">
        <v>638</v>
      </c>
      <c r="D182" s="159" t="s">
        <v>601</v>
      </c>
      <c r="E182" s="165" t="s">
        <v>544</v>
      </c>
      <c r="F182" s="166"/>
      <c r="G182" s="91">
        <f>SUM(G183)</f>
        <v>0</v>
      </c>
      <c r="H182" s="20">
        <f>SUM(H183)</f>
        <v>0</v>
      </c>
      <c r="I182" s="20" t="e">
        <f>SUM(H182/G182*100)</f>
        <v>#DIV/0!</v>
      </c>
    </row>
    <row r="183" spans="1:9" s="36" customFormat="1" ht="15" hidden="1">
      <c r="A183" s="106" t="s">
        <v>598</v>
      </c>
      <c r="B183" s="165"/>
      <c r="C183" s="159" t="s">
        <v>638</v>
      </c>
      <c r="D183" s="159" t="s">
        <v>601</v>
      </c>
      <c r="E183" s="165" t="s">
        <v>544</v>
      </c>
      <c r="F183" s="166" t="s">
        <v>599</v>
      </c>
      <c r="G183" s="91"/>
      <c r="H183" s="20"/>
      <c r="I183" s="20" t="e">
        <f>SUM(H183/G183*100)</f>
        <v>#DIV/0!</v>
      </c>
    </row>
    <row r="184" spans="1:9" s="36" customFormat="1" ht="19.5" customHeight="1" hidden="1">
      <c r="A184" s="109" t="s">
        <v>438</v>
      </c>
      <c r="B184" s="165"/>
      <c r="C184" s="159" t="s">
        <v>638</v>
      </c>
      <c r="D184" s="159" t="s">
        <v>601</v>
      </c>
      <c r="E184" s="165" t="s">
        <v>439</v>
      </c>
      <c r="F184" s="166"/>
      <c r="G184" s="91">
        <f>SUM(G186+G185)</f>
        <v>0</v>
      </c>
      <c r="H184" s="20">
        <f>SUM(H186)</f>
        <v>43097.5</v>
      </c>
      <c r="I184" s="20" t="e">
        <f>SUM(H184/G184*100)</f>
        <v>#DIV/0!</v>
      </c>
    </row>
    <row r="185" spans="1:9" s="25" customFormat="1" ht="15" hidden="1">
      <c r="A185" s="106" t="s">
        <v>641</v>
      </c>
      <c r="B185" s="165"/>
      <c r="C185" s="159" t="s">
        <v>638</v>
      </c>
      <c r="D185" s="159" t="s">
        <v>601</v>
      </c>
      <c r="E185" s="165" t="s">
        <v>439</v>
      </c>
      <c r="F185" s="166" t="s">
        <v>642</v>
      </c>
      <c r="G185" s="91"/>
      <c r="H185" s="20"/>
      <c r="I185" s="20"/>
    </row>
    <row r="186" spans="1:9" s="36" customFormat="1" ht="15" hidden="1">
      <c r="A186" s="106" t="s">
        <v>598</v>
      </c>
      <c r="B186" s="165"/>
      <c r="C186" s="159" t="s">
        <v>638</v>
      </c>
      <c r="D186" s="159" t="s">
        <v>601</v>
      </c>
      <c r="E186" s="165" t="s">
        <v>439</v>
      </c>
      <c r="F186" s="166" t="s">
        <v>599</v>
      </c>
      <c r="G186" s="91"/>
      <c r="H186" s="20">
        <v>43097.5</v>
      </c>
      <c r="I186" s="20" t="e">
        <f>SUM(H186/G186*100)</f>
        <v>#DIV/0!</v>
      </c>
    </row>
    <row r="187" spans="1:9" ht="57" hidden="1">
      <c r="A187" s="106" t="s">
        <v>440</v>
      </c>
      <c r="B187" s="165"/>
      <c r="C187" s="159" t="s">
        <v>638</v>
      </c>
      <c r="D187" s="159" t="s">
        <v>601</v>
      </c>
      <c r="E187" s="165" t="s">
        <v>441</v>
      </c>
      <c r="F187" s="166"/>
      <c r="G187" s="91">
        <f>SUM(G188)</f>
        <v>0</v>
      </c>
      <c r="H187" s="20">
        <f>SUM(H188)</f>
        <v>482.9</v>
      </c>
      <c r="I187" s="20" t="e">
        <f>SUM(H187/G187*100)</f>
        <v>#DIV/0!</v>
      </c>
    </row>
    <row r="188" spans="1:9" ht="15" hidden="1">
      <c r="A188" s="106" t="s">
        <v>598</v>
      </c>
      <c r="B188" s="165"/>
      <c r="C188" s="159" t="s">
        <v>638</v>
      </c>
      <c r="D188" s="159" t="s">
        <v>601</v>
      </c>
      <c r="E188" s="165" t="s">
        <v>441</v>
      </c>
      <c r="F188" s="166" t="s">
        <v>599</v>
      </c>
      <c r="G188" s="91"/>
      <c r="H188" s="20">
        <v>482.9</v>
      </c>
      <c r="I188" s="20" t="e">
        <f>SUM(H188/G188*100)</f>
        <v>#DIV/0!</v>
      </c>
    </row>
    <row r="189" spans="1:9" ht="16.5" customHeight="1" hidden="1">
      <c r="A189" s="109" t="s">
        <v>442</v>
      </c>
      <c r="B189" s="165"/>
      <c r="C189" s="159" t="s">
        <v>638</v>
      </c>
      <c r="D189" s="159" t="s">
        <v>601</v>
      </c>
      <c r="E189" s="165" t="s">
        <v>443</v>
      </c>
      <c r="F189" s="166"/>
      <c r="G189" s="91">
        <f>SUM(G191+G190)</f>
        <v>0</v>
      </c>
      <c r="H189" s="20">
        <f>SUM(H191)</f>
        <v>489.8</v>
      </c>
      <c r="I189" s="20" t="e">
        <f>SUM(H189/G189*100)</f>
        <v>#DIV/0!</v>
      </c>
    </row>
    <row r="190" spans="1:9" ht="19.5" customHeight="1" hidden="1">
      <c r="A190" s="106" t="s">
        <v>351</v>
      </c>
      <c r="B190" s="165"/>
      <c r="C190" s="159" t="s">
        <v>638</v>
      </c>
      <c r="D190" s="159" t="s">
        <v>601</v>
      </c>
      <c r="E190" s="165" t="s">
        <v>443</v>
      </c>
      <c r="F190" s="166" t="s">
        <v>352</v>
      </c>
      <c r="G190" s="91"/>
      <c r="H190" s="20"/>
      <c r="I190" s="20"/>
    </row>
    <row r="191" spans="1:9" s="84" customFormat="1" ht="20.25" customHeight="1" hidden="1">
      <c r="A191" s="106" t="s">
        <v>598</v>
      </c>
      <c r="B191" s="165"/>
      <c r="C191" s="159" t="s">
        <v>638</v>
      </c>
      <c r="D191" s="159" t="s">
        <v>601</v>
      </c>
      <c r="E191" s="165" t="s">
        <v>443</v>
      </c>
      <c r="F191" s="166" t="s">
        <v>599</v>
      </c>
      <c r="G191" s="91"/>
      <c r="H191" s="20">
        <v>489.8</v>
      </c>
      <c r="I191" s="20" t="e">
        <f>SUM(H191/G191*100)</f>
        <v>#DIV/0!</v>
      </c>
    </row>
    <row r="192" spans="1:9" s="84" customFormat="1" ht="15" hidden="1">
      <c r="A192" s="109" t="s">
        <v>444</v>
      </c>
      <c r="B192" s="165"/>
      <c r="C192" s="159" t="s">
        <v>638</v>
      </c>
      <c r="D192" s="159" t="s">
        <v>601</v>
      </c>
      <c r="E192" s="165" t="s">
        <v>445</v>
      </c>
      <c r="F192" s="166"/>
      <c r="G192" s="91">
        <f>SUM(G193)</f>
        <v>0</v>
      </c>
      <c r="H192" s="20">
        <f>SUM(H194)</f>
        <v>6200.3</v>
      </c>
      <c r="I192" s="20" t="e">
        <f>SUM(H192/G192*100)</f>
        <v>#DIV/0!</v>
      </c>
    </row>
    <row r="193" spans="1:9" s="84" customFormat="1" ht="15" hidden="1">
      <c r="A193" s="106" t="s">
        <v>598</v>
      </c>
      <c r="B193" s="165"/>
      <c r="C193" s="159" t="s">
        <v>638</v>
      </c>
      <c r="D193" s="159" t="s">
        <v>601</v>
      </c>
      <c r="E193" s="165" t="s">
        <v>445</v>
      </c>
      <c r="F193" s="166" t="s">
        <v>599</v>
      </c>
      <c r="G193" s="91"/>
      <c r="H193" s="20"/>
      <c r="I193" s="20"/>
    </row>
    <row r="194" spans="1:9" s="84" customFormat="1" ht="15" hidden="1">
      <c r="A194" s="109" t="s">
        <v>634</v>
      </c>
      <c r="B194" s="165"/>
      <c r="C194" s="159" t="s">
        <v>638</v>
      </c>
      <c r="D194" s="159" t="s">
        <v>601</v>
      </c>
      <c r="E194" s="165" t="s">
        <v>635</v>
      </c>
      <c r="F194" s="166"/>
      <c r="G194" s="91">
        <f>SUM(G202)</f>
        <v>0</v>
      </c>
      <c r="H194" s="20">
        <v>6200.3</v>
      </c>
      <c r="I194" s="20" t="e">
        <f aca="true" t="shared" si="7" ref="I194:I199">SUM(H194/G194*100)</f>
        <v>#DIV/0!</v>
      </c>
    </row>
    <row r="195" spans="1:9" s="84" customFormat="1" ht="15" hidden="1">
      <c r="A195" s="109" t="s">
        <v>634</v>
      </c>
      <c r="B195" s="165"/>
      <c r="C195" s="159" t="s">
        <v>638</v>
      </c>
      <c r="D195" s="159" t="s">
        <v>601</v>
      </c>
      <c r="E195" s="165" t="s">
        <v>635</v>
      </c>
      <c r="F195" s="166"/>
      <c r="G195" s="91">
        <f>SUM(G196,G200)</f>
        <v>0</v>
      </c>
      <c r="H195" s="20">
        <f>SUM(H196)</f>
        <v>395.4</v>
      </c>
      <c r="I195" s="20" t="e">
        <f t="shared" si="7"/>
        <v>#DIV/0!</v>
      </c>
    </row>
    <row r="196" spans="1:9" s="84" customFormat="1" ht="28.5" hidden="1">
      <c r="A196" s="106" t="s">
        <v>448</v>
      </c>
      <c r="B196" s="165"/>
      <c r="C196" s="159" t="s">
        <v>638</v>
      </c>
      <c r="D196" s="159" t="s">
        <v>601</v>
      </c>
      <c r="E196" s="165" t="s">
        <v>456</v>
      </c>
      <c r="F196" s="166"/>
      <c r="G196" s="91">
        <f>SUM(G198)+G197</f>
        <v>0</v>
      </c>
      <c r="H196" s="20">
        <f>SUM(H198)+H197</f>
        <v>395.4</v>
      </c>
      <c r="I196" s="20" t="e">
        <f t="shared" si="7"/>
        <v>#DIV/0!</v>
      </c>
    </row>
    <row r="197" spans="1:9" s="84" customFormat="1" ht="15" hidden="1">
      <c r="A197" s="106" t="s">
        <v>598</v>
      </c>
      <c r="B197" s="165"/>
      <c r="C197" s="159" t="s">
        <v>638</v>
      </c>
      <c r="D197" s="159" t="s">
        <v>601</v>
      </c>
      <c r="E197" s="165" t="s">
        <v>456</v>
      </c>
      <c r="F197" s="156" t="s">
        <v>599</v>
      </c>
      <c r="G197" s="92"/>
      <c r="H197" s="27">
        <v>395.4</v>
      </c>
      <c r="I197" s="20" t="e">
        <f t="shared" si="7"/>
        <v>#DIV/0!</v>
      </c>
    </row>
    <row r="198" spans="1:9" s="84" customFormat="1" ht="28.5" hidden="1">
      <c r="A198" s="109" t="s">
        <v>446</v>
      </c>
      <c r="B198" s="170"/>
      <c r="C198" s="159" t="s">
        <v>638</v>
      </c>
      <c r="D198" s="159" t="s">
        <v>601</v>
      </c>
      <c r="E198" s="165" t="s">
        <v>447</v>
      </c>
      <c r="F198" s="166" t="s">
        <v>599</v>
      </c>
      <c r="G198" s="92"/>
      <c r="H198" s="27"/>
      <c r="I198" s="20" t="e">
        <f t="shared" si="7"/>
        <v>#DIV/0!</v>
      </c>
    </row>
    <row r="199" spans="1:9" s="84" customFormat="1" ht="42.75" hidden="1">
      <c r="A199" s="127" t="s">
        <v>498</v>
      </c>
      <c r="B199" s="170"/>
      <c r="C199" s="159" t="s">
        <v>638</v>
      </c>
      <c r="D199" s="159" t="s">
        <v>601</v>
      </c>
      <c r="E199" s="165" t="s">
        <v>499</v>
      </c>
      <c r="F199" s="166" t="s">
        <v>599</v>
      </c>
      <c r="G199" s="92"/>
      <c r="H199" s="27"/>
      <c r="I199" s="20" t="e">
        <f t="shared" si="7"/>
        <v>#DIV/0!</v>
      </c>
    </row>
    <row r="200" spans="1:9" ht="15" hidden="1">
      <c r="A200" s="105" t="s">
        <v>436</v>
      </c>
      <c r="B200" s="155"/>
      <c r="C200" s="171" t="s">
        <v>638</v>
      </c>
      <c r="D200" s="171" t="s">
        <v>601</v>
      </c>
      <c r="E200" s="171" t="s">
        <v>176</v>
      </c>
      <c r="F200" s="157"/>
      <c r="G200" s="92">
        <f>SUM(G201)</f>
        <v>0</v>
      </c>
      <c r="H200" s="27"/>
      <c r="I200" s="20"/>
    </row>
    <row r="201" spans="1:9" ht="15" hidden="1">
      <c r="A201" s="105" t="s">
        <v>351</v>
      </c>
      <c r="B201" s="155"/>
      <c r="C201" s="171" t="s">
        <v>638</v>
      </c>
      <c r="D201" s="171" t="s">
        <v>601</v>
      </c>
      <c r="E201" s="171" t="s">
        <v>530</v>
      </c>
      <c r="F201" s="157" t="s">
        <v>352</v>
      </c>
      <c r="G201" s="92"/>
      <c r="H201" s="27"/>
      <c r="I201" s="20"/>
    </row>
    <row r="202" spans="1:9" ht="42.75" hidden="1">
      <c r="A202" s="105" t="s">
        <v>674</v>
      </c>
      <c r="B202" s="155"/>
      <c r="C202" s="171" t="s">
        <v>638</v>
      </c>
      <c r="D202" s="171" t="s">
        <v>601</v>
      </c>
      <c r="E202" s="165" t="s">
        <v>675</v>
      </c>
      <c r="F202" s="157"/>
      <c r="G202" s="92">
        <f>SUM(G203)</f>
        <v>0</v>
      </c>
      <c r="H202" s="27"/>
      <c r="I202" s="20"/>
    </row>
    <row r="203" spans="1:9" ht="15" hidden="1">
      <c r="A203" s="106" t="s">
        <v>598</v>
      </c>
      <c r="B203" s="155"/>
      <c r="C203" s="171" t="s">
        <v>638</v>
      </c>
      <c r="D203" s="171" t="s">
        <v>601</v>
      </c>
      <c r="E203" s="165" t="s">
        <v>675</v>
      </c>
      <c r="F203" s="157" t="s">
        <v>599</v>
      </c>
      <c r="G203" s="92"/>
      <c r="H203" s="27"/>
      <c r="I203" s="20"/>
    </row>
    <row r="204" spans="1:9" ht="15" hidden="1">
      <c r="A204" s="131" t="s">
        <v>500</v>
      </c>
      <c r="B204" s="155"/>
      <c r="C204" s="159" t="s">
        <v>638</v>
      </c>
      <c r="D204" s="159" t="s">
        <v>638</v>
      </c>
      <c r="E204" s="159"/>
      <c r="F204" s="158"/>
      <c r="G204" s="91">
        <f>SUM(G205+G208+G224+G212)+G220</f>
        <v>0</v>
      </c>
      <c r="H204" s="20" t="e">
        <f>SUM(H205+H208+H224+H212)+H220</f>
        <v>#REF!</v>
      </c>
      <c r="I204" s="20" t="e">
        <f aca="true" t="shared" si="8" ref="I204:I272">SUM(H204/G204*100)</f>
        <v>#REF!</v>
      </c>
    </row>
    <row r="205" spans="1:9" s="25" customFormat="1" ht="41.25" customHeight="1" hidden="1">
      <c r="A205" s="106" t="s">
        <v>594</v>
      </c>
      <c r="B205" s="159"/>
      <c r="C205" s="159" t="s">
        <v>638</v>
      </c>
      <c r="D205" s="159" t="s">
        <v>638</v>
      </c>
      <c r="E205" s="155" t="s">
        <v>595</v>
      </c>
      <c r="F205" s="157"/>
      <c r="G205" s="91">
        <f>SUM(G206+G209)</f>
        <v>0</v>
      </c>
      <c r="H205" s="20">
        <f>SUM(H206+H209)</f>
        <v>0</v>
      </c>
      <c r="I205" s="20" t="e">
        <f t="shared" si="8"/>
        <v>#DIV/0!</v>
      </c>
    </row>
    <row r="206" spans="1:9" s="25" customFormat="1" ht="21" customHeight="1" hidden="1">
      <c r="A206" s="106" t="s">
        <v>602</v>
      </c>
      <c r="B206" s="159"/>
      <c r="C206" s="159" t="s">
        <v>638</v>
      </c>
      <c r="D206" s="159" t="s">
        <v>638</v>
      </c>
      <c r="E206" s="155" t="s">
        <v>604</v>
      </c>
      <c r="F206" s="157"/>
      <c r="G206" s="91">
        <f>SUM(G207)</f>
        <v>0</v>
      </c>
      <c r="H206" s="20">
        <f>SUM(H207)</f>
        <v>0</v>
      </c>
      <c r="I206" s="20" t="e">
        <f t="shared" si="8"/>
        <v>#DIV/0!</v>
      </c>
    </row>
    <row r="207" spans="1:9" s="25" customFormat="1" ht="25.5" customHeight="1" hidden="1">
      <c r="A207" s="106" t="s">
        <v>598</v>
      </c>
      <c r="B207" s="159"/>
      <c r="C207" s="159" t="s">
        <v>638</v>
      </c>
      <c r="D207" s="159" t="s">
        <v>638</v>
      </c>
      <c r="E207" s="155" t="s">
        <v>604</v>
      </c>
      <c r="F207" s="157" t="s">
        <v>599</v>
      </c>
      <c r="G207" s="91"/>
      <c r="H207" s="20"/>
      <c r="I207" s="20" t="e">
        <f t="shared" si="8"/>
        <v>#DIV/0!</v>
      </c>
    </row>
    <row r="208" spans="1:9" ht="19.5" customHeight="1" hidden="1">
      <c r="A208" s="133" t="s">
        <v>505</v>
      </c>
      <c r="B208" s="155"/>
      <c r="C208" s="159" t="s">
        <v>638</v>
      </c>
      <c r="D208" s="159" t="s">
        <v>638</v>
      </c>
      <c r="E208" s="159" t="s">
        <v>506</v>
      </c>
      <c r="F208" s="158"/>
      <c r="G208" s="91"/>
      <c r="H208" s="20"/>
      <c r="I208" s="20" t="e">
        <f t="shared" si="8"/>
        <v>#DIV/0!</v>
      </c>
    </row>
    <row r="209" spans="1:9" ht="19.5" customHeight="1" hidden="1">
      <c r="A209" s="133" t="s">
        <v>184</v>
      </c>
      <c r="B209" s="155"/>
      <c r="C209" s="159" t="s">
        <v>638</v>
      </c>
      <c r="D209" s="159" t="s">
        <v>638</v>
      </c>
      <c r="E209" s="159" t="s">
        <v>501</v>
      </c>
      <c r="F209" s="158"/>
      <c r="G209" s="91">
        <f>SUM(G211)</f>
        <v>0</v>
      </c>
      <c r="H209" s="20">
        <f>SUM(H211)</f>
        <v>0</v>
      </c>
      <c r="I209" s="20" t="e">
        <f t="shared" si="8"/>
        <v>#DIV/0!</v>
      </c>
    </row>
    <row r="210" spans="1:9" ht="19.5" customHeight="1" hidden="1">
      <c r="A210" s="133" t="s">
        <v>502</v>
      </c>
      <c r="B210" s="155"/>
      <c r="C210" s="159" t="s">
        <v>638</v>
      </c>
      <c r="D210" s="159" t="s">
        <v>638</v>
      </c>
      <c r="E210" s="159" t="s">
        <v>503</v>
      </c>
      <c r="F210" s="158"/>
      <c r="G210" s="91">
        <f>SUM(G211)</f>
        <v>0</v>
      </c>
      <c r="H210" s="20">
        <f>SUM(H211)</f>
        <v>0</v>
      </c>
      <c r="I210" s="20" t="e">
        <f t="shared" si="8"/>
        <v>#DIV/0!</v>
      </c>
    </row>
    <row r="211" spans="1:9" ht="19.5" customHeight="1" hidden="1">
      <c r="A211" s="105" t="s">
        <v>504</v>
      </c>
      <c r="B211" s="155"/>
      <c r="C211" s="159" t="s">
        <v>638</v>
      </c>
      <c r="D211" s="159" t="s">
        <v>638</v>
      </c>
      <c r="E211" s="159" t="s">
        <v>503</v>
      </c>
      <c r="F211" s="157" t="s">
        <v>642</v>
      </c>
      <c r="G211" s="92"/>
      <c r="H211" s="27"/>
      <c r="I211" s="20" t="e">
        <f t="shared" si="8"/>
        <v>#DIV/0!</v>
      </c>
    </row>
    <row r="212" spans="1:9" ht="19.5" customHeight="1" hidden="1">
      <c r="A212" s="133" t="s">
        <v>340</v>
      </c>
      <c r="B212" s="165"/>
      <c r="C212" s="159" t="s">
        <v>638</v>
      </c>
      <c r="D212" s="159" t="s">
        <v>638</v>
      </c>
      <c r="E212" s="165" t="s">
        <v>341</v>
      </c>
      <c r="F212" s="157"/>
      <c r="G212" s="92">
        <f>SUM(G213+G218)</f>
        <v>0</v>
      </c>
      <c r="H212" s="27">
        <f>SUM(H213+H218)</f>
        <v>4731.200000000001</v>
      </c>
      <c r="I212" s="20" t="e">
        <f t="shared" si="8"/>
        <v>#DIV/0!</v>
      </c>
    </row>
    <row r="213" spans="1:9" ht="19.5" customHeight="1" hidden="1">
      <c r="A213" s="106" t="s">
        <v>225</v>
      </c>
      <c r="B213" s="165"/>
      <c r="C213" s="159" t="s">
        <v>638</v>
      </c>
      <c r="D213" s="159" t="s">
        <v>638</v>
      </c>
      <c r="E213" s="165" t="s">
        <v>226</v>
      </c>
      <c r="F213" s="157"/>
      <c r="G213" s="92">
        <f>SUM(G214+G216)</f>
        <v>0</v>
      </c>
      <c r="H213" s="27">
        <f>SUM(H214+H216)</f>
        <v>4731.200000000001</v>
      </c>
      <c r="I213" s="20" t="e">
        <f t="shared" si="8"/>
        <v>#DIV/0!</v>
      </c>
    </row>
    <row r="214" spans="1:9" ht="15" hidden="1">
      <c r="A214" s="133" t="s">
        <v>453</v>
      </c>
      <c r="B214" s="155"/>
      <c r="C214" s="159" t="s">
        <v>638</v>
      </c>
      <c r="D214" s="159" t="s">
        <v>638</v>
      </c>
      <c r="E214" s="165" t="s">
        <v>454</v>
      </c>
      <c r="F214" s="157"/>
      <c r="G214" s="92">
        <f>SUM(G215,G223)</f>
        <v>0</v>
      </c>
      <c r="H214" s="27">
        <f>SUM(H215,H223)</f>
        <v>4731.200000000001</v>
      </c>
      <c r="I214" s="20" t="e">
        <f t="shared" si="8"/>
        <v>#DIV/0!</v>
      </c>
    </row>
    <row r="215" spans="1:9" ht="19.5" customHeight="1" hidden="1">
      <c r="A215" s="105" t="s">
        <v>504</v>
      </c>
      <c r="B215" s="155"/>
      <c r="C215" s="159" t="s">
        <v>638</v>
      </c>
      <c r="D215" s="159" t="s">
        <v>638</v>
      </c>
      <c r="E215" s="165" t="s">
        <v>454</v>
      </c>
      <c r="F215" s="157" t="s">
        <v>642</v>
      </c>
      <c r="G215" s="92"/>
      <c r="H215" s="27">
        <v>2740.8</v>
      </c>
      <c r="I215" s="20" t="e">
        <f t="shared" si="8"/>
        <v>#DIV/0!</v>
      </c>
    </row>
    <row r="216" spans="1:9" ht="19.5" customHeight="1" hidden="1">
      <c r="A216" s="105" t="s">
        <v>508</v>
      </c>
      <c r="B216" s="155"/>
      <c r="C216" s="159" t="s">
        <v>638</v>
      </c>
      <c r="D216" s="159" t="s">
        <v>638</v>
      </c>
      <c r="E216" s="165" t="s">
        <v>509</v>
      </c>
      <c r="F216" s="157"/>
      <c r="G216" s="92">
        <f>SUM(G217)</f>
        <v>0</v>
      </c>
      <c r="H216" s="27">
        <f>SUM(H217)</f>
        <v>0</v>
      </c>
      <c r="I216" s="20" t="e">
        <f t="shared" si="8"/>
        <v>#DIV/0!</v>
      </c>
    </row>
    <row r="217" spans="1:9" ht="19.5" customHeight="1" hidden="1">
      <c r="A217" s="105" t="s">
        <v>504</v>
      </c>
      <c r="B217" s="155"/>
      <c r="C217" s="159" t="s">
        <v>638</v>
      </c>
      <c r="D217" s="159" t="s">
        <v>638</v>
      </c>
      <c r="E217" s="165" t="s">
        <v>509</v>
      </c>
      <c r="F217" s="157" t="s">
        <v>642</v>
      </c>
      <c r="G217" s="92"/>
      <c r="H217" s="27"/>
      <c r="I217" s="20" t="e">
        <f t="shared" si="8"/>
        <v>#DIV/0!</v>
      </c>
    </row>
    <row r="218" spans="1:9" ht="19.5" customHeight="1" hidden="1">
      <c r="A218" s="105" t="s">
        <v>510</v>
      </c>
      <c r="B218" s="155"/>
      <c r="C218" s="159" t="s">
        <v>638</v>
      </c>
      <c r="D218" s="159" t="s">
        <v>638</v>
      </c>
      <c r="E218" s="165" t="s">
        <v>511</v>
      </c>
      <c r="F218" s="157"/>
      <c r="G218" s="92">
        <f>SUM(G219)</f>
        <v>0</v>
      </c>
      <c r="H218" s="27">
        <f>SUM(H219)</f>
        <v>0</v>
      </c>
      <c r="I218" s="20" t="e">
        <f t="shared" si="8"/>
        <v>#DIV/0!</v>
      </c>
    </row>
    <row r="219" spans="1:9" ht="19.5" customHeight="1" hidden="1">
      <c r="A219" s="105" t="s">
        <v>504</v>
      </c>
      <c r="B219" s="155"/>
      <c r="C219" s="159" t="s">
        <v>638</v>
      </c>
      <c r="D219" s="159" t="s">
        <v>638</v>
      </c>
      <c r="E219" s="165" t="s">
        <v>511</v>
      </c>
      <c r="F219" s="157" t="s">
        <v>642</v>
      </c>
      <c r="G219" s="92"/>
      <c r="H219" s="27"/>
      <c r="I219" s="20" t="e">
        <f t="shared" si="8"/>
        <v>#DIV/0!</v>
      </c>
    </row>
    <row r="220" spans="1:9" ht="19.5" customHeight="1" hidden="1">
      <c r="A220" s="105" t="s">
        <v>512</v>
      </c>
      <c r="B220" s="155"/>
      <c r="C220" s="159" t="s">
        <v>638</v>
      </c>
      <c r="D220" s="159" t="s">
        <v>638</v>
      </c>
      <c r="E220" s="165" t="s">
        <v>513</v>
      </c>
      <c r="F220" s="157"/>
      <c r="G220" s="92">
        <f>SUM(G221)</f>
        <v>0</v>
      </c>
      <c r="H220" s="27">
        <f>SUM(H221)</f>
        <v>0</v>
      </c>
      <c r="I220" s="20" t="e">
        <f t="shared" si="8"/>
        <v>#DIV/0!</v>
      </c>
    </row>
    <row r="221" spans="1:9" ht="19.5" customHeight="1" hidden="1">
      <c r="A221" s="105" t="s">
        <v>514</v>
      </c>
      <c r="B221" s="155"/>
      <c r="C221" s="159" t="s">
        <v>638</v>
      </c>
      <c r="D221" s="159" t="s">
        <v>638</v>
      </c>
      <c r="E221" s="165" t="s">
        <v>515</v>
      </c>
      <c r="F221" s="157"/>
      <c r="G221" s="92">
        <f>SUM(G222)</f>
        <v>0</v>
      </c>
      <c r="H221" s="27">
        <f>SUM(H222)</f>
        <v>0</v>
      </c>
      <c r="I221" s="20" t="e">
        <f t="shared" si="8"/>
        <v>#DIV/0!</v>
      </c>
    </row>
    <row r="222" spans="1:9" ht="19.5" customHeight="1" hidden="1">
      <c r="A222" s="105" t="s">
        <v>504</v>
      </c>
      <c r="B222" s="155"/>
      <c r="C222" s="159" t="s">
        <v>638</v>
      </c>
      <c r="D222" s="159" t="s">
        <v>638</v>
      </c>
      <c r="E222" s="165" t="s">
        <v>515</v>
      </c>
      <c r="F222" s="157" t="s">
        <v>642</v>
      </c>
      <c r="G222" s="92"/>
      <c r="H222" s="27"/>
      <c r="I222" s="20" t="e">
        <f t="shared" si="8"/>
        <v>#DIV/0!</v>
      </c>
    </row>
    <row r="223" spans="1:9" ht="19.5" customHeight="1" hidden="1">
      <c r="A223" s="106" t="s">
        <v>598</v>
      </c>
      <c r="B223" s="155"/>
      <c r="C223" s="159" t="s">
        <v>638</v>
      </c>
      <c r="D223" s="159" t="s">
        <v>638</v>
      </c>
      <c r="E223" s="165" t="s">
        <v>454</v>
      </c>
      <c r="F223" s="157" t="s">
        <v>599</v>
      </c>
      <c r="G223" s="92"/>
      <c r="H223" s="27">
        <v>1990.4</v>
      </c>
      <c r="I223" s="20" t="e">
        <f t="shared" si="8"/>
        <v>#DIV/0!</v>
      </c>
    </row>
    <row r="224" spans="1:9" ht="15" hidden="1">
      <c r="A224" s="106" t="s">
        <v>634</v>
      </c>
      <c r="B224" s="155"/>
      <c r="C224" s="159" t="s">
        <v>638</v>
      </c>
      <c r="D224" s="159" t="s">
        <v>638</v>
      </c>
      <c r="E224" s="155" t="s">
        <v>635</v>
      </c>
      <c r="F224" s="158"/>
      <c r="G224" s="91">
        <f>SUM(G225+G229)</f>
        <v>0</v>
      </c>
      <c r="H224" s="20" t="e">
        <f>SUM(H226+H228+H229+#REF!)</f>
        <v>#REF!</v>
      </c>
      <c r="I224" s="20" t="e">
        <f t="shared" si="8"/>
        <v>#REF!</v>
      </c>
    </row>
    <row r="225" spans="1:9" ht="15" hidden="1">
      <c r="A225" s="105" t="s">
        <v>504</v>
      </c>
      <c r="B225" s="155"/>
      <c r="C225" s="159" t="s">
        <v>638</v>
      </c>
      <c r="D225" s="159" t="s">
        <v>638</v>
      </c>
      <c r="E225" s="155" t="s">
        <v>635</v>
      </c>
      <c r="F225" s="158" t="s">
        <v>642</v>
      </c>
      <c r="G225" s="91">
        <f>SUM(G226)</f>
        <v>0</v>
      </c>
      <c r="H225" s="20">
        <f>SUM(H226)</f>
        <v>492.1</v>
      </c>
      <c r="I225" s="20" t="e">
        <f t="shared" si="8"/>
        <v>#DIV/0!</v>
      </c>
    </row>
    <row r="226" spans="1:9" ht="19.5" customHeight="1" hidden="1">
      <c r="A226" s="127" t="s">
        <v>516</v>
      </c>
      <c r="B226" s="165"/>
      <c r="C226" s="172" t="s">
        <v>638</v>
      </c>
      <c r="D226" s="172" t="s">
        <v>638</v>
      </c>
      <c r="E226" s="165" t="s">
        <v>517</v>
      </c>
      <c r="F226" s="158" t="s">
        <v>642</v>
      </c>
      <c r="G226" s="205"/>
      <c r="H226" s="31">
        <v>492.1</v>
      </c>
      <c r="I226" s="20" t="e">
        <f t="shared" si="8"/>
        <v>#DIV/0!</v>
      </c>
    </row>
    <row r="227" spans="1:9" ht="15" hidden="1">
      <c r="A227" s="106" t="s">
        <v>598</v>
      </c>
      <c r="B227" s="165"/>
      <c r="C227" s="172" t="s">
        <v>638</v>
      </c>
      <c r="D227" s="172" t="s">
        <v>638</v>
      </c>
      <c r="E227" s="165" t="s">
        <v>635</v>
      </c>
      <c r="F227" s="166" t="s">
        <v>599</v>
      </c>
      <c r="G227" s="91">
        <f>SUM(G228)</f>
        <v>0</v>
      </c>
      <c r="H227" s="20">
        <f>SUM(H228)</f>
        <v>0</v>
      </c>
      <c r="I227" s="20" t="e">
        <f t="shared" si="8"/>
        <v>#DIV/0!</v>
      </c>
    </row>
    <row r="228" spans="1:9" ht="28.5" hidden="1">
      <c r="A228" s="109" t="s">
        <v>457</v>
      </c>
      <c r="B228" s="165"/>
      <c r="C228" s="172" t="s">
        <v>638</v>
      </c>
      <c r="D228" s="172" t="s">
        <v>638</v>
      </c>
      <c r="E228" s="165" t="s">
        <v>458</v>
      </c>
      <c r="F228" s="156" t="s">
        <v>599</v>
      </c>
      <c r="G228" s="92"/>
      <c r="H228" s="27"/>
      <c r="I228" s="20" t="e">
        <f t="shared" si="8"/>
        <v>#DIV/0!</v>
      </c>
    </row>
    <row r="229" spans="1:9" ht="19.5" customHeight="1" hidden="1">
      <c r="A229" s="105" t="s">
        <v>471</v>
      </c>
      <c r="B229" s="155"/>
      <c r="C229" s="159" t="s">
        <v>638</v>
      </c>
      <c r="D229" s="159" t="s">
        <v>638</v>
      </c>
      <c r="E229" s="155" t="s">
        <v>462</v>
      </c>
      <c r="F229" s="158"/>
      <c r="G229" s="91">
        <f>SUM(G230+G233)</f>
        <v>0</v>
      </c>
      <c r="H229" s="20">
        <f>SUM(H230+H233)</f>
        <v>2038.3</v>
      </c>
      <c r="I229" s="20" t="e">
        <f t="shared" si="8"/>
        <v>#DIV/0!</v>
      </c>
    </row>
    <row r="230" spans="1:9" ht="19.5" customHeight="1" hidden="1">
      <c r="A230" s="127" t="s">
        <v>453</v>
      </c>
      <c r="B230" s="165"/>
      <c r="C230" s="159" t="s">
        <v>638</v>
      </c>
      <c r="D230" s="159" t="s">
        <v>638</v>
      </c>
      <c r="E230" s="155" t="s">
        <v>463</v>
      </c>
      <c r="F230" s="158"/>
      <c r="G230" s="205">
        <f>SUM(G231:G232)</f>
        <v>0</v>
      </c>
      <c r="H230" s="31">
        <f>SUM(H231:H232)</f>
        <v>1157.5</v>
      </c>
      <c r="I230" s="20" t="e">
        <f t="shared" si="8"/>
        <v>#DIV/0!</v>
      </c>
    </row>
    <row r="231" spans="1:9" ht="19.5" customHeight="1" hidden="1">
      <c r="A231" s="105" t="s">
        <v>504</v>
      </c>
      <c r="B231" s="155"/>
      <c r="C231" s="159" t="s">
        <v>638</v>
      </c>
      <c r="D231" s="159" t="s">
        <v>638</v>
      </c>
      <c r="E231" s="155" t="s">
        <v>463</v>
      </c>
      <c r="F231" s="157" t="s">
        <v>642</v>
      </c>
      <c r="G231" s="92"/>
      <c r="H231" s="27">
        <v>1157.5</v>
      </c>
      <c r="I231" s="20" t="e">
        <f t="shared" si="8"/>
        <v>#DIV/0!</v>
      </c>
    </row>
    <row r="232" spans="1:9" ht="19.5" customHeight="1" hidden="1">
      <c r="A232" s="106" t="s">
        <v>598</v>
      </c>
      <c r="B232" s="165"/>
      <c r="C232" s="159" t="s">
        <v>638</v>
      </c>
      <c r="D232" s="159" t="s">
        <v>638</v>
      </c>
      <c r="E232" s="155" t="s">
        <v>463</v>
      </c>
      <c r="F232" s="166" t="s">
        <v>599</v>
      </c>
      <c r="G232" s="91"/>
      <c r="H232" s="20"/>
      <c r="I232" s="20" t="e">
        <f t="shared" si="8"/>
        <v>#DIV/0!</v>
      </c>
    </row>
    <row r="233" spans="1:9" ht="19.5" customHeight="1" hidden="1">
      <c r="A233" s="109" t="s">
        <v>518</v>
      </c>
      <c r="B233" s="155"/>
      <c r="C233" s="159" t="s">
        <v>638</v>
      </c>
      <c r="D233" s="159" t="s">
        <v>638</v>
      </c>
      <c r="E233" s="155" t="s">
        <v>196</v>
      </c>
      <c r="F233" s="158"/>
      <c r="G233" s="91">
        <f>SUM(G234)</f>
        <v>0</v>
      </c>
      <c r="H233" s="20">
        <f>SUM(H234)</f>
        <v>880.8</v>
      </c>
      <c r="I233" s="20" t="e">
        <f t="shared" si="8"/>
        <v>#DIV/0!</v>
      </c>
    </row>
    <row r="234" spans="1:9" ht="19.5" customHeight="1" hidden="1">
      <c r="A234" s="105" t="s">
        <v>504</v>
      </c>
      <c r="B234" s="155"/>
      <c r="C234" s="159" t="s">
        <v>638</v>
      </c>
      <c r="D234" s="159" t="s">
        <v>638</v>
      </c>
      <c r="E234" s="155" t="s">
        <v>196</v>
      </c>
      <c r="F234" s="157" t="s">
        <v>642</v>
      </c>
      <c r="G234" s="92"/>
      <c r="H234" s="27">
        <v>880.8</v>
      </c>
      <c r="I234" s="20" t="e">
        <f t="shared" si="8"/>
        <v>#DIV/0!</v>
      </c>
    </row>
    <row r="235" spans="1:9" ht="21" customHeight="1">
      <c r="A235" s="173" t="s">
        <v>788</v>
      </c>
      <c r="B235" s="174" t="s">
        <v>789</v>
      </c>
      <c r="C235" s="175"/>
      <c r="D235" s="175"/>
      <c r="E235" s="175"/>
      <c r="F235" s="176"/>
      <c r="G235" s="203">
        <f>SUM(G236+G314+G352+G399+G548+G568+G665)+G627</f>
        <v>541856.4</v>
      </c>
      <c r="H235" s="81" t="e">
        <f>SUM(H236+H314+H352+H399+H548+H568+H588+H627+#REF!)</f>
        <v>#REF!</v>
      </c>
      <c r="I235" s="26" t="e">
        <f t="shared" si="8"/>
        <v>#REF!</v>
      </c>
    </row>
    <row r="236" spans="1:9" ht="15">
      <c r="A236" s="106" t="s">
        <v>236</v>
      </c>
      <c r="B236" s="155"/>
      <c r="C236" s="155" t="s">
        <v>237</v>
      </c>
      <c r="D236" s="155"/>
      <c r="E236" s="155"/>
      <c r="F236" s="156"/>
      <c r="G236" s="91">
        <f>SUM(G237+G265+G271+G258+G261)</f>
        <v>148876.4</v>
      </c>
      <c r="H236" s="20">
        <f>SUM(H237+H265+H271+H258+H261)</f>
        <v>63770.40000000001</v>
      </c>
      <c r="I236" s="20">
        <f t="shared" si="8"/>
        <v>42.834458651606305</v>
      </c>
    </row>
    <row r="237" spans="1:9" ht="28.5">
      <c r="A237" s="106" t="s">
        <v>411</v>
      </c>
      <c r="B237" s="155"/>
      <c r="C237" s="155" t="s">
        <v>237</v>
      </c>
      <c r="D237" s="155" t="s">
        <v>625</v>
      </c>
      <c r="E237" s="155"/>
      <c r="F237" s="156"/>
      <c r="G237" s="91">
        <f>SUM(G238)+G255+G253</f>
        <v>90093</v>
      </c>
      <c r="H237" s="20">
        <f>SUM(H238)+H255+H253</f>
        <v>52319.90000000001</v>
      </c>
      <c r="I237" s="20">
        <f t="shared" si="8"/>
        <v>58.07321323521252</v>
      </c>
    </row>
    <row r="238" spans="1:9" ht="43.5" customHeight="1">
      <c r="A238" s="106" t="s">
        <v>594</v>
      </c>
      <c r="B238" s="155"/>
      <c r="C238" s="155" t="s">
        <v>237</v>
      </c>
      <c r="D238" s="155" t="s">
        <v>625</v>
      </c>
      <c r="E238" s="155" t="s">
        <v>595</v>
      </c>
      <c r="F238" s="157"/>
      <c r="G238" s="91">
        <f>SUM(G239+G251)</f>
        <v>90093</v>
      </c>
      <c r="H238" s="20">
        <f>SUM(H239+H251)</f>
        <v>51899.200000000004</v>
      </c>
      <c r="I238" s="20">
        <f t="shared" si="8"/>
        <v>57.606251318082435</v>
      </c>
    </row>
    <row r="239" spans="1:9" ht="14.25" customHeight="1">
      <c r="A239" s="106" t="s">
        <v>602</v>
      </c>
      <c r="B239" s="155"/>
      <c r="C239" s="155" t="s">
        <v>237</v>
      </c>
      <c r="D239" s="155" t="s">
        <v>625</v>
      </c>
      <c r="E239" s="155" t="s">
        <v>604</v>
      </c>
      <c r="F239" s="157"/>
      <c r="G239" s="91">
        <f>SUM(G240+G241+G245+G247+G249)</f>
        <v>88942</v>
      </c>
      <c r="H239" s="20">
        <f>SUM(H240:H240+H241+H243+H245)+H242+H247</f>
        <v>51161.8</v>
      </c>
      <c r="I239" s="20">
        <f t="shared" si="8"/>
        <v>57.522655213509935</v>
      </c>
    </row>
    <row r="240" spans="1:9" ht="23.25" customHeight="1">
      <c r="A240" s="106" t="s">
        <v>598</v>
      </c>
      <c r="B240" s="155"/>
      <c r="C240" s="155" t="s">
        <v>237</v>
      </c>
      <c r="D240" s="155" t="s">
        <v>625</v>
      </c>
      <c r="E240" s="155" t="s">
        <v>604</v>
      </c>
      <c r="F240" s="156" t="s">
        <v>599</v>
      </c>
      <c r="G240" s="91">
        <v>87001.9</v>
      </c>
      <c r="H240" s="20">
        <v>50612.1</v>
      </c>
      <c r="I240" s="20">
        <f t="shared" si="8"/>
        <v>58.17355712921213</v>
      </c>
    </row>
    <row r="241" spans="1:9" ht="37.5" customHeight="1">
      <c r="A241" s="106" t="s">
        <v>630</v>
      </c>
      <c r="B241" s="155"/>
      <c r="C241" s="155" t="s">
        <v>237</v>
      </c>
      <c r="D241" s="155" t="s">
        <v>625</v>
      </c>
      <c r="E241" s="155" t="s">
        <v>631</v>
      </c>
      <c r="F241" s="156"/>
      <c r="G241" s="91">
        <f>SUM(G242)</f>
        <v>1326</v>
      </c>
      <c r="H241" s="20">
        <v>507.8</v>
      </c>
      <c r="I241" s="20">
        <f t="shared" si="8"/>
        <v>38.29562594268477</v>
      </c>
    </row>
    <row r="242" spans="1:9" ht="20.25" customHeight="1">
      <c r="A242" s="106" t="s">
        <v>598</v>
      </c>
      <c r="B242" s="155"/>
      <c r="C242" s="155" t="s">
        <v>237</v>
      </c>
      <c r="D242" s="155" t="s">
        <v>625</v>
      </c>
      <c r="E242" s="155" t="s">
        <v>631</v>
      </c>
      <c r="F242" s="156" t="s">
        <v>599</v>
      </c>
      <c r="G242" s="91">
        <v>1326</v>
      </c>
      <c r="H242" s="20"/>
      <c r="I242" s="20">
        <f t="shared" si="8"/>
        <v>0</v>
      </c>
    </row>
    <row r="243" spans="1:9" ht="19.5" customHeight="1" hidden="1">
      <c r="A243" s="106" t="s">
        <v>632</v>
      </c>
      <c r="B243" s="155"/>
      <c r="C243" s="155" t="s">
        <v>237</v>
      </c>
      <c r="D243" s="155" t="s">
        <v>625</v>
      </c>
      <c r="E243" s="155" t="s">
        <v>633</v>
      </c>
      <c r="F243" s="156"/>
      <c r="G243" s="91"/>
      <c r="H243" s="20">
        <v>41.9</v>
      </c>
      <c r="I243" s="20" t="e">
        <f t="shared" si="8"/>
        <v>#DIV/0!</v>
      </c>
    </row>
    <row r="244" spans="1:9" ht="19.5" customHeight="1" hidden="1">
      <c r="A244" s="106" t="s">
        <v>598</v>
      </c>
      <c r="B244" s="155"/>
      <c r="C244" s="155" t="s">
        <v>237</v>
      </c>
      <c r="D244" s="155" t="s">
        <v>625</v>
      </c>
      <c r="E244" s="155" t="s">
        <v>633</v>
      </c>
      <c r="F244" s="156" t="s">
        <v>599</v>
      </c>
      <c r="G244" s="91"/>
      <c r="H244" s="20"/>
      <c r="I244" s="20"/>
    </row>
    <row r="245" spans="1:9" ht="51.75" customHeight="1">
      <c r="A245" s="106" t="s">
        <v>124</v>
      </c>
      <c r="B245" s="155"/>
      <c r="C245" s="155" t="s">
        <v>237</v>
      </c>
      <c r="D245" s="155" t="s">
        <v>625</v>
      </c>
      <c r="E245" s="155" t="s">
        <v>125</v>
      </c>
      <c r="F245" s="156"/>
      <c r="G245" s="91">
        <f>SUM(G246)</f>
        <v>90.3</v>
      </c>
      <c r="H245" s="20"/>
      <c r="I245" s="20">
        <f>SUM(H245/G245*100)</f>
        <v>0</v>
      </c>
    </row>
    <row r="246" spans="1:9" ht="22.5" customHeight="1">
      <c r="A246" s="106" t="s">
        <v>598</v>
      </c>
      <c r="B246" s="155"/>
      <c r="C246" s="155" t="s">
        <v>237</v>
      </c>
      <c r="D246" s="155" t="s">
        <v>625</v>
      </c>
      <c r="E246" s="155" t="s">
        <v>125</v>
      </c>
      <c r="F246" s="156" t="s">
        <v>599</v>
      </c>
      <c r="G246" s="91">
        <v>90.3</v>
      </c>
      <c r="H246" s="20"/>
      <c r="I246" s="20"/>
    </row>
    <row r="247" spans="1:9" s="25" customFormat="1" ht="37.5" customHeight="1">
      <c r="A247" s="105" t="s">
        <v>489</v>
      </c>
      <c r="B247" s="159"/>
      <c r="C247" s="159" t="s">
        <v>237</v>
      </c>
      <c r="D247" s="159" t="s">
        <v>625</v>
      </c>
      <c r="E247" s="159" t="s">
        <v>490</v>
      </c>
      <c r="F247" s="157"/>
      <c r="G247" s="91">
        <f>SUM(G248)</f>
        <v>179.5</v>
      </c>
      <c r="H247" s="20"/>
      <c r="I247" s="20">
        <f>SUM(H247/G247*100)</f>
        <v>0</v>
      </c>
    </row>
    <row r="248" spans="1:9" s="25" customFormat="1" ht="26.25" customHeight="1">
      <c r="A248" s="106" t="s">
        <v>598</v>
      </c>
      <c r="B248" s="159"/>
      <c r="C248" s="159" t="s">
        <v>237</v>
      </c>
      <c r="D248" s="159" t="s">
        <v>625</v>
      </c>
      <c r="E248" s="159" t="s">
        <v>490</v>
      </c>
      <c r="F248" s="157" t="s">
        <v>599</v>
      </c>
      <c r="G248" s="91">
        <v>179.5</v>
      </c>
      <c r="H248" s="20"/>
      <c r="I248" s="20"/>
    </row>
    <row r="249" spans="1:9" s="25" customFormat="1" ht="37.5" customHeight="1">
      <c r="A249" s="105" t="s">
        <v>676</v>
      </c>
      <c r="B249" s="159"/>
      <c r="C249" s="159" t="s">
        <v>237</v>
      </c>
      <c r="D249" s="159" t="s">
        <v>625</v>
      </c>
      <c r="E249" s="159" t="s">
        <v>677</v>
      </c>
      <c r="F249" s="157"/>
      <c r="G249" s="91">
        <f>SUM(G250)</f>
        <v>344.3</v>
      </c>
      <c r="H249" s="20"/>
      <c r="I249" s="20"/>
    </row>
    <row r="250" spans="1:9" s="25" customFormat="1" ht="21" customHeight="1">
      <c r="A250" s="106" t="s">
        <v>598</v>
      </c>
      <c r="B250" s="159"/>
      <c r="C250" s="159" t="s">
        <v>237</v>
      </c>
      <c r="D250" s="159" t="s">
        <v>625</v>
      </c>
      <c r="E250" s="159" t="s">
        <v>677</v>
      </c>
      <c r="F250" s="157" t="s">
        <v>599</v>
      </c>
      <c r="G250" s="91">
        <v>344.3</v>
      </c>
      <c r="H250" s="20"/>
      <c r="I250" s="20"/>
    </row>
    <row r="251" spans="1:9" s="22" customFormat="1" ht="40.5" customHeight="1">
      <c r="A251" s="106" t="s">
        <v>126</v>
      </c>
      <c r="B251" s="155"/>
      <c r="C251" s="155" t="s">
        <v>603</v>
      </c>
      <c r="D251" s="155" t="s">
        <v>625</v>
      </c>
      <c r="E251" s="155" t="s">
        <v>127</v>
      </c>
      <c r="F251" s="157"/>
      <c r="G251" s="91">
        <f>SUM(G252)</f>
        <v>1151</v>
      </c>
      <c r="H251" s="20">
        <f>SUM(H252)</f>
        <v>737.4</v>
      </c>
      <c r="I251" s="20">
        <f t="shared" si="8"/>
        <v>64.06602953953085</v>
      </c>
    </row>
    <row r="252" spans="1:9" s="22" customFormat="1" ht="25.5" customHeight="1">
      <c r="A252" s="106" t="s">
        <v>598</v>
      </c>
      <c r="B252" s="155"/>
      <c r="C252" s="155" t="s">
        <v>237</v>
      </c>
      <c r="D252" s="155" t="s">
        <v>625</v>
      </c>
      <c r="E252" s="155" t="s">
        <v>127</v>
      </c>
      <c r="F252" s="156" t="s">
        <v>599</v>
      </c>
      <c r="G252" s="91">
        <v>1151</v>
      </c>
      <c r="H252" s="20">
        <v>737.4</v>
      </c>
      <c r="I252" s="20">
        <f t="shared" si="8"/>
        <v>64.06602953953085</v>
      </c>
    </row>
    <row r="253" spans="1:9" s="22" customFormat="1" ht="19.5" customHeight="1" hidden="1">
      <c r="A253" s="106" t="s">
        <v>128</v>
      </c>
      <c r="B253" s="155"/>
      <c r="C253" s="155" t="s">
        <v>237</v>
      </c>
      <c r="D253" s="155" t="s">
        <v>625</v>
      </c>
      <c r="E253" s="155" t="s">
        <v>129</v>
      </c>
      <c r="F253" s="156"/>
      <c r="G253" s="91">
        <f>SUM(G254)</f>
        <v>0</v>
      </c>
      <c r="H253" s="20">
        <f>SUM(H254)</f>
        <v>264.8</v>
      </c>
      <c r="I253" s="20" t="e">
        <f t="shared" si="8"/>
        <v>#DIV/0!</v>
      </c>
    </row>
    <row r="254" spans="1:9" s="22" customFormat="1" ht="19.5" customHeight="1" hidden="1">
      <c r="A254" s="106" t="s">
        <v>598</v>
      </c>
      <c r="B254" s="155"/>
      <c r="C254" s="155" t="s">
        <v>237</v>
      </c>
      <c r="D254" s="155" t="s">
        <v>625</v>
      </c>
      <c r="E254" s="155" t="s">
        <v>129</v>
      </c>
      <c r="F254" s="156" t="s">
        <v>599</v>
      </c>
      <c r="G254" s="91"/>
      <c r="H254" s="20">
        <v>264.8</v>
      </c>
      <c r="I254" s="20" t="e">
        <f t="shared" si="8"/>
        <v>#DIV/0!</v>
      </c>
    </row>
    <row r="255" spans="1:9" s="22" customFormat="1" ht="19.5" customHeight="1" hidden="1">
      <c r="A255" s="106" t="s">
        <v>634</v>
      </c>
      <c r="B255" s="155"/>
      <c r="C255" s="155" t="s">
        <v>237</v>
      </c>
      <c r="D255" s="155" t="s">
        <v>625</v>
      </c>
      <c r="E255" s="155" t="s">
        <v>635</v>
      </c>
      <c r="F255" s="157"/>
      <c r="G255" s="91">
        <f>SUM(G256)</f>
        <v>0</v>
      </c>
      <c r="H255" s="20">
        <f>SUM(H256)</f>
        <v>155.9</v>
      </c>
      <c r="I255" s="20" t="e">
        <f t="shared" si="8"/>
        <v>#DIV/0!</v>
      </c>
    </row>
    <row r="256" spans="1:9" s="22" customFormat="1" ht="24.75" customHeight="1" hidden="1">
      <c r="A256" s="106" t="s">
        <v>558</v>
      </c>
      <c r="B256" s="155"/>
      <c r="C256" s="155" t="s">
        <v>237</v>
      </c>
      <c r="D256" s="155" t="s">
        <v>625</v>
      </c>
      <c r="E256" s="155" t="s">
        <v>636</v>
      </c>
      <c r="F256" s="157"/>
      <c r="G256" s="91">
        <f>SUM(G257)</f>
        <v>0</v>
      </c>
      <c r="H256" s="20">
        <f>SUM(H257:H258)</f>
        <v>155.9</v>
      </c>
      <c r="I256" s="20" t="e">
        <f t="shared" si="8"/>
        <v>#DIV/0!</v>
      </c>
    </row>
    <row r="257" spans="1:9" s="22" customFormat="1" ht="24.75" customHeight="1" hidden="1">
      <c r="A257" s="106" t="s">
        <v>598</v>
      </c>
      <c r="B257" s="155"/>
      <c r="C257" s="155" t="s">
        <v>237</v>
      </c>
      <c r="D257" s="155" t="s">
        <v>625</v>
      </c>
      <c r="E257" s="155" t="s">
        <v>636</v>
      </c>
      <c r="F257" s="157" t="s">
        <v>599</v>
      </c>
      <c r="G257" s="91"/>
      <c r="H257" s="20">
        <v>155.9</v>
      </c>
      <c r="I257" s="20" t="e">
        <f t="shared" si="8"/>
        <v>#DIV/0!</v>
      </c>
    </row>
    <row r="258" spans="1:9" s="22" customFormat="1" ht="15.75" customHeight="1" hidden="1">
      <c r="A258" s="106" t="s">
        <v>637</v>
      </c>
      <c r="B258" s="155"/>
      <c r="C258" s="155" t="s">
        <v>237</v>
      </c>
      <c r="D258" s="155" t="s">
        <v>638</v>
      </c>
      <c r="E258" s="155"/>
      <c r="F258" s="157"/>
      <c r="G258" s="91">
        <f>SUM(G259)</f>
        <v>0</v>
      </c>
      <c r="H258" s="20">
        <f>SUM(H259)</f>
        <v>0</v>
      </c>
      <c r="I258" s="20" t="e">
        <f t="shared" si="8"/>
        <v>#DIV/0!</v>
      </c>
    </row>
    <row r="259" spans="1:9" ht="42" customHeight="1" hidden="1">
      <c r="A259" s="133" t="s">
        <v>945</v>
      </c>
      <c r="B259" s="155"/>
      <c r="C259" s="155" t="s">
        <v>237</v>
      </c>
      <c r="D259" s="155" t="s">
        <v>638</v>
      </c>
      <c r="E259" s="155" t="s">
        <v>130</v>
      </c>
      <c r="F259" s="157"/>
      <c r="G259" s="91">
        <f>SUM(G260)</f>
        <v>0</v>
      </c>
      <c r="H259" s="20">
        <f>SUM(H260)</f>
        <v>0</v>
      </c>
      <c r="I259" s="20" t="e">
        <f t="shared" si="8"/>
        <v>#DIV/0!</v>
      </c>
    </row>
    <row r="260" spans="1:9" ht="25.5" customHeight="1" hidden="1">
      <c r="A260" s="106" t="s">
        <v>598</v>
      </c>
      <c r="B260" s="155"/>
      <c r="C260" s="155" t="s">
        <v>237</v>
      </c>
      <c r="D260" s="155" t="s">
        <v>638</v>
      </c>
      <c r="E260" s="155" t="s">
        <v>130</v>
      </c>
      <c r="F260" s="156" t="s">
        <v>599</v>
      </c>
      <c r="G260" s="91"/>
      <c r="H260" s="20"/>
      <c r="I260" s="20" t="e">
        <f t="shared" si="8"/>
        <v>#DIV/0!</v>
      </c>
    </row>
    <row r="261" spans="1:9" ht="19.5" customHeight="1" hidden="1">
      <c r="A261" s="106" t="s">
        <v>790</v>
      </c>
      <c r="B261" s="155"/>
      <c r="C261" s="155" t="s">
        <v>237</v>
      </c>
      <c r="D261" s="155" t="s">
        <v>132</v>
      </c>
      <c r="E261" s="155"/>
      <c r="F261" s="156"/>
      <c r="G261" s="91">
        <f aca="true" t="shared" si="9" ref="G261:H263">SUM(G262)</f>
        <v>0</v>
      </c>
      <c r="H261" s="20">
        <f t="shared" si="9"/>
        <v>0</v>
      </c>
      <c r="I261" s="20" t="e">
        <f t="shared" si="8"/>
        <v>#DIV/0!</v>
      </c>
    </row>
    <row r="262" spans="1:9" ht="19.5" customHeight="1" hidden="1">
      <c r="A262" s="106" t="s">
        <v>594</v>
      </c>
      <c r="B262" s="155"/>
      <c r="C262" s="155" t="s">
        <v>237</v>
      </c>
      <c r="D262" s="155" t="s">
        <v>132</v>
      </c>
      <c r="E262" s="155" t="s">
        <v>595</v>
      </c>
      <c r="F262" s="156"/>
      <c r="G262" s="91">
        <f t="shared" si="9"/>
        <v>0</v>
      </c>
      <c r="H262" s="20">
        <f t="shared" si="9"/>
        <v>0</v>
      </c>
      <c r="I262" s="20" t="e">
        <f t="shared" si="8"/>
        <v>#DIV/0!</v>
      </c>
    </row>
    <row r="263" spans="1:9" ht="19.5" customHeight="1" hidden="1">
      <c r="A263" s="106" t="s">
        <v>602</v>
      </c>
      <c r="B263" s="155"/>
      <c r="C263" s="155" t="s">
        <v>237</v>
      </c>
      <c r="D263" s="155" t="s">
        <v>132</v>
      </c>
      <c r="E263" s="155" t="s">
        <v>604</v>
      </c>
      <c r="F263" s="156"/>
      <c r="G263" s="91">
        <f t="shared" si="9"/>
        <v>0</v>
      </c>
      <c r="H263" s="20">
        <f t="shared" si="9"/>
        <v>0</v>
      </c>
      <c r="I263" s="20" t="e">
        <f t="shared" si="8"/>
        <v>#DIV/0!</v>
      </c>
    </row>
    <row r="264" spans="1:9" ht="19.5" customHeight="1" hidden="1">
      <c r="A264" s="106" t="s">
        <v>598</v>
      </c>
      <c r="B264" s="155"/>
      <c r="C264" s="155" t="s">
        <v>603</v>
      </c>
      <c r="D264" s="155" t="s">
        <v>132</v>
      </c>
      <c r="E264" s="155" t="s">
        <v>604</v>
      </c>
      <c r="F264" s="158" t="s">
        <v>599</v>
      </c>
      <c r="G264" s="91"/>
      <c r="H264" s="20"/>
      <c r="I264" s="20" t="e">
        <f t="shared" si="8"/>
        <v>#DIV/0!</v>
      </c>
    </row>
    <row r="265" spans="1:9" ht="18" customHeight="1">
      <c r="A265" s="105" t="s">
        <v>137</v>
      </c>
      <c r="B265" s="159"/>
      <c r="C265" s="159" t="s">
        <v>237</v>
      </c>
      <c r="D265" s="159" t="s">
        <v>614</v>
      </c>
      <c r="E265" s="159"/>
      <c r="F265" s="157"/>
      <c r="G265" s="91">
        <f>SUM(G266)</f>
        <v>340</v>
      </c>
      <c r="H265" s="20">
        <f>SUM(H266)</f>
        <v>4219.8</v>
      </c>
      <c r="I265" s="20">
        <f t="shared" si="8"/>
        <v>1241.1176470588236</v>
      </c>
    </row>
    <row r="266" spans="1:9" ht="18.75" customHeight="1" hidden="1">
      <c r="A266" s="105" t="s">
        <v>137</v>
      </c>
      <c r="B266" s="159"/>
      <c r="C266" s="159" t="s">
        <v>237</v>
      </c>
      <c r="D266" s="159" t="s">
        <v>614</v>
      </c>
      <c r="E266" s="159" t="s">
        <v>138</v>
      </c>
      <c r="F266" s="157"/>
      <c r="G266" s="91">
        <f>SUM(G267+G269)</f>
        <v>340</v>
      </c>
      <c r="H266" s="20">
        <f>SUM(H267+H269)</f>
        <v>4219.8</v>
      </c>
      <c r="I266" s="20">
        <f t="shared" si="8"/>
        <v>1241.1176470588236</v>
      </c>
    </row>
    <row r="267" spans="1:9" ht="28.5" hidden="1">
      <c r="A267" s="106" t="s">
        <v>139</v>
      </c>
      <c r="B267" s="159"/>
      <c r="C267" s="159" t="s">
        <v>237</v>
      </c>
      <c r="D267" s="159" t="s">
        <v>614</v>
      </c>
      <c r="E267" s="159" t="s">
        <v>140</v>
      </c>
      <c r="F267" s="157"/>
      <c r="G267" s="91">
        <f>SUM(G268:G268)</f>
        <v>0</v>
      </c>
      <c r="H267" s="20">
        <f>SUM(H268:H268)</f>
        <v>2142.4</v>
      </c>
      <c r="I267" s="20" t="e">
        <f t="shared" si="8"/>
        <v>#DIV/0!</v>
      </c>
    </row>
    <row r="268" spans="1:9" ht="27.75" customHeight="1" hidden="1">
      <c r="A268" s="106" t="s">
        <v>598</v>
      </c>
      <c r="B268" s="159"/>
      <c r="C268" s="159" t="s">
        <v>237</v>
      </c>
      <c r="D268" s="159" t="s">
        <v>614</v>
      </c>
      <c r="E268" s="159" t="s">
        <v>140</v>
      </c>
      <c r="F268" s="157" t="s">
        <v>599</v>
      </c>
      <c r="G268" s="91"/>
      <c r="H268" s="20">
        <v>2142.4</v>
      </c>
      <c r="I268" s="20" t="e">
        <f t="shared" si="8"/>
        <v>#DIV/0!</v>
      </c>
    </row>
    <row r="269" spans="1:9" ht="17.25" customHeight="1">
      <c r="A269" s="106" t="s">
        <v>128</v>
      </c>
      <c r="B269" s="155"/>
      <c r="C269" s="155" t="s">
        <v>237</v>
      </c>
      <c r="D269" s="159" t="s">
        <v>614</v>
      </c>
      <c r="E269" s="155" t="s">
        <v>129</v>
      </c>
      <c r="F269" s="156"/>
      <c r="G269" s="91">
        <f>SUM(G270)</f>
        <v>340</v>
      </c>
      <c r="H269" s="20">
        <f>SUM(H270)</f>
        <v>2077.4</v>
      </c>
      <c r="I269" s="20">
        <f t="shared" si="8"/>
        <v>611</v>
      </c>
    </row>
    <row r="270" spans="1:9" ht="17.25" customHeight="1">
      <c r="A270" s="106" t="s">
        <v>598</v>
      </c>
      <c r="B270" s="159"/>
      <c r="C270" s="159" t="s">
        <v>237</v>
      </c>
      <c r="D270" s="159" t="s">
        <v>614</v>
      </c>
      <c r="E270" s="155" t="s">
        <v>129</v>
      </c>
      <c r="F270" s="157" t="s">
        <v>599</v>
      </c>
      <c r="G270" s="91">
        <v>340</v>
      </c>
      <c r="H270" s="20">
        <v>2077.4</v>
      </c>
      <c r="I270" s="20">
        <f t="shared" si="8"/>
        <v>611</v>
      </c>
    </row>
    <row r="271" spans="1:9" ht="21" customHeight="1">
      <c r="A271" s="106" t="s">
        <v>607</v>
      </c>
      <c r="B271" s="155"/>
      <c r="C271" s="155" t="s">
        <v>237</v>
      </c>
      <c r="D271" s="155" t="s">
        <v>904</v>
      </c>
      <c r="E271" s="155"/>
      <c r="F271" s="157"/>
      <c r="G271" s="91">
        <f>SUM(G272+G283+G290+G293+G296+G310+G280)+G277+G275+G286+G288</f>
        <v>58443.399999999994</v>
      </c>
      <c r="H271" s="20">
        <f>SUM(H272+H283+H290+H293+H296+H310+H280)+H277+H275</f>
        <v>7230.699999999999</v>
      </c>
      <c r="I271" s="20">
        <f t="shared" si="8"/>
        <v>12.372141251193462</v>
      </c>
    </row>
    <row r="272" spans="1:9" ht="15" hidden="1">
      <c r="A272" s="106" t="s">
        <v>153</v>
      </c>
      <c r="B272" s="155"/>
      <c r="C272" s="155" t="s">
        <v>237</v>
      </c>
      <c r="D272" s="155" t="s">
        <v>904</v>
      </c>
      <c r="E272" s="155" t="s">
        <v>154</v>
      </c>
      <c r="F272" s="156"/>
      <c r="G272" s="91">
        <f>SUM(G273)</f>
        <v>0</v>
      </c>
      <c r="H272" s="20">
        <f>SUM(H273)</f>
        <v>2749.5</v>
      </c>
      <c r="I272" s="20" t="e">
        <f t="shared" si="8"/>
        <v>#DIV/0!</v>
      </c>
    </row>
    <row r="273" spans="1:9" ht="15" hidden="1">
      <c r="A273" s="106" t="s">
        <v>926</v>
      </c>
      <c r="B273" s="155"/>
      <c r="C273" s="155" t="s">
        <v>237</v>
      </c>
      <c r="D273" s="155" t="s">
        <v>904</v>
      </c>
      <c r="E273" s="155" t="s">
        <v>927</v>
      </c>
      <c r="F273" s="156"/>
      <c r="G273" s="91">
        <f>SUM(G274)</f>
        <v>0</v>
      </c>
      <c r="H273" s="20">
        <f>SUM(H274)</f>
        <v>2749.5</v>
      </c>
      <c r="I273" s="20" t="e">
        <f aca="true" t="shared" si="10" ref="I273:I359">SUM(H273/G273*100)</f>
        <v>#DIV/0!</v>
      </c>
    </row>
    <row r="274" spans="1:9" ht="19.5" customHeight="1" hidden="1">
      <c r="A274" s="106" t="s">
        <v>598</v>
      </c>
      <c r="B274" s="155"/>
      <c r="C274" s="155" t="s">
        <v>237</v>
      </c>
      <c r="D274" s="155" t="s">
        <v>904</v>
      </c>
      <c r="E274" s="155" t="s">
        <v>927</v>
      </c>
      <c r="F274" s="156" t="s">
        <v>599</v>
      </c>
      <c r="G274" s="91"/>
      <c r="H274" s="20">
        <v>2749.5</v>
      </c>
      <c r="I274" s="20" t="e">
        <f t="shared" si="10"/>
        <v>#DIV/0!</v>
      </c>
    </row>
    <row r="275" spans="1:9" ht="19.5" customHeight="1" hidden="1">
      <c r="A275" s="106" t="s">
        <v>928</v>
      </c>
      <c r="B275" s="155"/>
      <c r="C275" s="155" t="s">
        <v>237</v>
      </c>
      <c r="D275" s="155" t="s">
        <v>904</v>
      </c>
      <c r="E275" s="155" t="s">
        <v>929</v>
      </c>
      <c r="F275" s="156"/>
      <c r="G275" s="91">
        <f>SUM(G276)</f>
        <v>0</v>
      </c>
      <c r="H275" s="20">
        <f>SUM(H276)</f>
        <v>0</v>
      </c>
      <c r="I275" s="20" t="e">
        <f t="shared" si="10"/>
        <v>#DIV/0!</v>
      </c>
    </row>
    <row r="276" spans="1:9" ht="19.5" customHeight="1" hidden="1">
      <c r="A276" s="106" t="s">
        <v>598</v>
      </c>
      <c r="B276" s="155"/>
      <c r="C276" s="155" t="s">
        <v>237</v>
      </c>
      <c r="D276" s="155" t="s">
        <v>904</v>
      </c>
      <c r="E276" s="155" t="s">
        <v>929</v>
      </c>
      <c r="F276" s="156" t="s">
        <v>599</v>
      </c>
      <c r="G276" s="91"/>
      <c r="H276" s="20"/>
      <c r="I276" s="20" t="e">
        <f t="shared" si="10"/>
        <v>#DIV/0!</v>
      </c>
    </row>
    <row r="277" spans="1:9" ht="19.5" customHeight="1" hidden="1">
      <c r="A277" s="106" t="s">
        <v>153</v>
      </c>
      <c r="B277" s="155"/>
      <c r="C277" s="155" t="s">
        <v>237</v>
      </c>
      <c r="D277" s="155" t="s">
        <v>904</v>
      </c>
      <c r="E277" s="155" t="s">
        <v>595</v>
      </c>
      <c r="F277" s="157"/>
      <c r="G277" s="91">
        <f>SUM(G278)</f>
        <v>0</v>
      </c>
      <c r="H277" s="20">
        <f>SUM(H278)</f>
        <v>836.4</v>
      </c>
      <c r="I277" s="20" t="e">
        <f t="shared" si="10"/>
        <v>#DIV/0!</v>
      </c>
    </row>
    <row r="278" spans="1:9" ht="19.5" customHeight="1" hidden="1">
      <c r="A278" s="106" t="s">
        <v>930</v>
      </c>
      <c r="B278" s="155"/>
      <c r="C278" s="155" t="s">
        <v>237</v>
      </c>
      <c r="D278" s="155" t="s">
        <v>904</v>
      </c>
      <c r="E278" s="155" t="s">
        <v>931</v>
      </c>
      <c r="F278" s="157"/>
      <c r="G278" s="91">
        <f>SUM(G279)</f>
        <v>0</v>
      </c>
      <c r="H278" s="20">
        <f>SUM(H279)</f>
        <v>836.4</v>
      </c>
      <c r="I278" s="20" t="e">
        <f t="shared" si="10"/>
        <v>#DIV/0!</v>
      </c>
    </row>
    <row r="279" spans="1:9" ht="19.5" customHeight="1" hidden="1">
      <c r="A279" s="108" t="s">
        <v>932</v>
      </c>
      <c r="B279" s="155"/>
      <c r="C279" s="155" t="s">
        <v>237</v>
      </c>
      <c r="D279" s="155" t="s">
        <v>904</v>
      </c>
      <c r="E279" s="155" t="s">
        <v>931</v>
      </c>
      <c r="F279" s="157" t="s">
        <v>933</v>
      </c>
      <c r="G279" s="91"/>
      <c r="H279" s="20">
        <v>836.4</v>
      </c>
      <c r="I279" s="20" t="e">
        <f t="shared" si="10"/>
        <v>#DIV/0!</v>
      </c>
    </row>
    <row r="280" spans="1:9" ht="19.5" customHeight="1" hidden="1">
      <c r="A280" s="106" t="s">
        <v>148</v>
      </c>
      <c r="B280" s="155"/>
      <c r="C280" s="155" t="s">
        <v>237</v>
      </c>
      <c r="D280" s="155" t="s">
        <v>904</v>
      </c>
      <c r="E280" s="155" t="s">
        <v>150</v>
      </c>
      <c r="F280" s="156"/>
      <c r="G280" s="91">
        <f>SUM(G282)</f>
        <v>0</v>
      </c>
      <c r="H280" s="20">
        <f>SUM(H282)</f>
        <v>536.9</v>
      </c>
      <c r="I280" s="20" t="e">
        <f t="shared" si="10"/>
        <v>#DIV/0!</v>
      </c>
    </row>
    <row r="281" spans="1:9" ht="19.5" customHeight="1" hidden="1">
      <c r="A281" s="106" t="s">
        <v>128</v>
      </c>
      <c r="B281" s="155"/>
      <c r="C281" s="155" t="s">
        <v>237</v>
      </c>
      <c r="D281" s="155" t="s">
        <v>904</v>
      </c>
      <c r="E281" s="155" t="s">
        <v>129</v>
      </c>
      <c r="F281" s="156"/>
      <c r="G281" s="91">
        <f>SUM(G282)</f>
        <v>0</v>
      </c>
      <c r="H281" s="20">
        <f>SUM(H282)</f>
        <v>536.9</v>
      </c>
      <c r="I281" s="20" t="e">
        <f t="shared" si="10"/>
        <v>#DIV/0!</v>
      </c>
    </row>
    <row r="282" spans="1:9" ht="19.5" customHeight="1" hidden="1">
      <c r="A282" s="106" t="s">
        <v>598</v>
      </c>
      <c r="B282" s="155"/>
      <c r="C282" s="155" t="s">
        <v>237</v>
      </c>
      <c r="D282" s="155" t="s">
        <v>904</v>
      </c>
      <c r="E282" s="155" t="s">
        <v>129</v>
      </c>
      <c r="F282" s="156" t="s">
        <v>599</v>
      </c>
      <c r="G282" s="91"/>
      <c r="H282" s="20">
        <f>423.2+113.7</f>
        <v>536.9</v>
      </c>
      <c r="I282" s="20" t="e">
        <f t="shared" si="10"/>
        <v>#DIV/0!</v>
      </c>
    </row>
    <row r="283" spans="1:9" ht="38.25" customHeight="1">
      <c r="A283" s="133" t="s">
        <v>934</v>
      </c>
      <c r="B283" s="155"/>
      <c r="C283" s="155" t="s">
        <v>237</v>
      </c>
      <c r="D283" s="155" t="s">
        <v>904</v>
      </c>
      <c r="E283" s="155" t="s">
        <v>621</v>
      </c>
      <c r="F283" s="156"/>
      <c r="G283" s="91">
        <f>SUM(G284)</f>
        <v>8321</v>
      </c>
      <c r="H283" s="20">
        <f>SUM(H284)</f>
        <v>917.7</v>
      </c>
      <c r="I283" s="20">
        <f t="shared" si="10"/>
        <v>11.028722509313784</v>
      </c>
    </row>
    <row r="284" spans="1:9" ht="42" customHeight="1">
      <c r="A284" s="133" t="s">
        <v>622</v>
      </c>
      <c r="B284" s="155"/>
      <c r="C284" s="155" t="s">
        <v>237</v>
      </c>
      <c r="D284" s="155" t="s">
        <v>904</v>
      </c>
      <c r="E284" s="155" t="s">
        <v>935</v>
      </c>
      <c r="F284" s="156"/>
      <c r="G284" s="91">
        <f>SUM(G285)</f>
        <v>8321</v>
      </c>
      <c r="H284" s="20">
        <f>SUM(H285)</f>
        <v>917.7</v>
      </c>
      <c r="I284" s="20">
        <f t="shared" si="10"/>
        <v>11.028722509313784</v>
      </c>
    </row>
    <row r="285" spans="1:9" ht="19.5" customHeight="1">
      <c r="A285" s="106" t="s">
        <v>598</v>
      </c>
      <c r="B285" s="155"/>
      <c r="C285" s="155" t="s">
        <v>237</v>
      </c>
      <c r="D285" s="155" t="s">
        <v>904</v>
      </c>
      <c r="E285" s="155" t="s">
        <v>935</v>
      </c>
      <c r="F285" s="156" t="s">
        <v>599</v>
      </c>
      <c r="G285" s="91">
        <v>8321</v>
      </c>
      <c r="H285" s="20">
        <v>917.7</v>
      </c>
      <c r="I285" s="20">
        <f t="shared" si="10"/>
        <v>11.028722509313784</v>
      </c>
    </row>
    <row r="286" spans="1:9" ht="19.5" customHeight="1">
      <c r="A286" s="106" t="s">
        <v>306</v>
      </c>
      <c r="B286" s="155"/>
      <c r="C286" s="155" t="s">
        <v>237</v>
      </c>
      <c r="D286" s="155" t="s">
        <v>904</v>
      </c>
      <c r="E286" s="155" t="s">
        <v>307</v>
      </c>
      <c r="F286" s="156"/>
      <c r="G286" s="30">
        <f>SUM(G287)</f>
        <v>5197.1</v>
      </c>
      <c r="H286" s="20"/>
      <c r="I286" s="20"/>
    </row>
    <row r="287" spans="1:9" ht="19.5" customHeight="1">
      <c r="A287" s="106" t="s">
        <v>598</v>
      </c>
      <c r="B287" s="155"/>
      <c r="C287" s="155" t="s">
        <v>237</v>
      </c>
      <c r="D287" s="155" t="s">
        <v>904</v>
      </c>
      <c r="E287" s="155" t="s">
        <v>307</v>
      </c>
      <c r="F287" s="156" t="s">
        <v>599</v>
      </c>
      <c r="G287" s="30">
        <v>5197.1</v>
      </c>
      <c r="H287" s="20"/>
      <c r="I287" s="20"/>
    </row>
    <row r="288" spans="1:9" ht="19.5" customHeight="1">
      <c r="A288" s="106" t="s">
        <v>308</v>
      </c>
      <c r="B288" s="155"/>
      <c r="C288" s="155" t="s">
        <v>237</v>
      </c>
      <c r="D288" s="155" t="s">
        <v>904</v>
      </c>
      <c r="E288" s="155" t="s">
        <v>309</v>
      </c>
      <c r="F288" s="156"/>
      <c r="G288" s="30">
        <f>SUM(G289)</f>
        <v>17546.7</v>
      </c>
      <c r="H288" s="20"/>
      <c r="I288" s="20"/>
    </row>
    <row r="289" spans="1:9" ht="19.5" customHeight="1">
      <c r="A289" s="106" t="s">
        <v>598</v>
      </c>
      <c r="B289" s="155"/>
      <c r="C289" s="155" t="s">
        <v>237</v>
      </c>
      <c r="D289" s="155" t="s">
        <v>904</v>
      </c>
      <c r="E289" s="155" t="s">
        <v>309</v>
      </c>
      <c r="F289" s="156" t="s">
        <v>599</v>
      </c>
      <c r="G289" s="30">
        <f>15773.1+1773.6</f>
        <v>17546.7</v>
      </c>
      <c r="H289" s="20"/>
      <c r="I289" s="20"/>
    </row>
    <row r="290" spans="1:9" ht="33" customHeight="1">
      <c r="A290" s="106" t="s">
        <v>609</v>
      </c>
      <c r="B290" s="155"/>
      <c r="C290" s="155" t="s">
        <v>237</v>
      </c>
      <c r="D290" s="155" t="s">
        <v>904</v>
      </c>
      <c r="E290" s="155" t="s">
        <v>610</v>
      </c>
      <c r="F290" s="158"/>
      <c r="G290" s="91">
        <f>SUM(G291)</f>
        <v>24607.199999999997</v>
      </c>
      <c r="H290" s="20">
        <f>SUM(H291)</f>
        <v>872.8</v>
      </c>
      <c r="I290" s="20">
        <f t="shared" si="10"/>
        <v>3.5469293540102087</v>
      </c>
    </row>
    <row r="291" spans="1:9" ht="19.5" customHeight="1">
      <c r="A291" s="106" t="s">
        <v>611</v>
      </c>
      <c r="B291" s="155"/>
      <c r="C291" s="155" t="s">
        <v>237</v>
      </c>
      <c r="D291" s="155" t="s">
        <v>904</v>
      </c>
      <c r="E291" s="155" t="s">
        <v>936</v>
      </c>
      <c r="F291" s="158"/>
      <c r="G291" s="91">
        <f>SUM(G292)</f>
        <v>24607.199999999997</v>
      </c>
      <c r="H291" s="20">
        <f>SUM(H292)</f>
        <v>872.8</v>
      </c>
      <c r="I291" s="20">
        <f t="shared" si="10"/>
        <v>3.5469293540102087</v>
      </c>
    </row>
    <row r="292" spans="1:9" ht="27" customHeight="1">
      <c r="A292" s="106" t="s">
        <v>598</v>
      </c>
      <c r="B292" s="155"/>
      <c r="C292" s="155" t="s">
        <v>237</v>
      </c>
      <c r="D292" s="155" t="s">
        <v>904</v>
      </c>
      <c r="E292" s="155" t="s">
        <v>936</v>
      </c>
      <c r="F292" s="158" t="s">
        <v>599</v>
      </c>
      <c r="G292" s="91">
        <f>24699.6+1196.5-1288.9</f>
        <v>24607.199999999997</v>
      </c>
      <c r="H292" s="20">
        <v>872.8</v>
      </c>
      <c r="I292" s="20">
        <f t="shared" si="10"/>
        <v>3.5469293540102087</v>
      </c>
    </row>
    <row r="293" spans="1:9" ht="28.5" hidden="1">
      <c r="A293" s="105" t="s">
        <v>937</v>
      </c>
      <c r="B293" s="155"/>
      <c r="C293" s="155" t="s">
        <v>237</v>
      </c>
      <c r="D293" s="155" t="s">
        <v>904</v>
      </c>
      <c r="E293" s="155" t="s">
        <v>183</v>
      </c>
      <c r="F293" s="156"/>
      <c r="G293" s="91">
        <f>SUM(G295)</f>
        <v>0</v>
      </c>
      <c r="H293" s="20">
        <f>SUM(H295)</f>
        <v>0</v>
      </c>
      <c r="I293" s="20" t="e">
        <f t="shared" si="10"/>
        <v>#DIV/0!</v>
      </c>
    </row>
    <row r="294" spans="1:9" ht="28.5" hidden="1">
      <c r="A294" s="105" t="s">
        <v>639</v>
      </c>
      <c r="B294" s="155"/>
      <c r="C294" s="155" t="s">
        <v>237</v>
      </c>
      <c r="D294" s="155" t="s">
        <v>904</v>
      </c>
      <c r="E294" s="155" t="s">
        <v>640</v>
      </c>
      <c r="F294" s="156"/>
      <c r="G294" s="91">
        <f>SUM(G295)</f>
        <v>0</v>
      </c>
      <c r="H294" s="20">
        <f>SUM(H295)</f>
        <v>0</v>
      </c>
      <c r="I294" s="20" t="e">
        <f t="shared" si="10"/>
        <v>#DIV/0!</v>
      </c>
    </row>
    <row r="295" spans="1:9" ht="15" hidden="1">
      <c r="A295" s="105" t="s">
        <v>641</v>
      </c>
      <c r="B295" s="155"/>
      <c r="C295" s="155" t="s">
        <v>237</v>
      </c>
      <c r="D295" s="155" t="s">
        <v>904</v>
      </c>
      <c r="E295" s="155" t="s">
        <v>640</v>
      </c>
      <c r="F295" s="156" t="s">
        <v>642</v>
      </c>
      <c r="G295" s="91"/>
      <c r="H295" s="20"/>
      <c r="I295" s="20" t="e">
        <f t="shared" si="10"/>
        <v>#DIV/0!</v>
      </c>
    </row>
    <row r="296" spans="1:9" ht="28.5">
      <c r="A296" s="105" t="s">
        <v>629</v>
      </c>
      <c r="B296" s="155"/>
      <c r="C296" s="155" t="s">
        <v>237</v>
      </c>
      <c r="D296" s="155" t="s">
        <v>904</v>
      </c>
      <c r="E296" s="159" t="s">
        <v>643</v>
      </c>
      <c r="F296" s="157"/>
      <c r="G296" s="91">
        <f>SUM(G297)</f>
        <v>2771.4</v>
      </c>
      <c r="H296" s="20">
        <f>SUM(H297)</f>
        <v>1317.4</v>
      </c>
      <c r="I296" s="20">
        <f t="shared" si="10"/>
        <v>47.535541603521686</v>
      </c>
    </row>
    <row r="297" spans="1:9" ht="27.75" customHeight="1">
      <c r="A297" s="106" t="s">
        <v>361</v>
      </c>
      <c r="B297" s="155"/>
      <c r="C297" s="155" t="s">
        <v>237</v>
      </c>
      <c r="D297" s="155" t="s">
        <v>904</v>
      </c>
      <c r="E297" s="159" t="s">
        <v>808</v>
      </c>
      <c r="F297" s="157"/>
      <c r="G297" s="91">
        <f>SUM(G300+G302)</f>
        <v>2771.4</v>
      </c>
      <c r="H297" s="20">
        <f>SUM(H301)</f>
        <v>1317.4</v>
      </c>
      <c r="I297" s="20">
        <f t="shared" si="10"/>
        <v>47.535541603521686</v>
      </c>
    </row>
    <row r="298" spans="1:9" ht="19.5" customHeight="1" hidden="1">
      <c r="A298" s="106" t="s">
        <v>632</v>
      </c>
      <c r="B298" s="155"/>
      <c r="C298" s="155" t="s">
        <v>237</v>
      </c>
      <c r="D298" s="155" t="s">
        <v>904</v>
      </c>
      <c r="E298" s="155" t="s">
        <v>570</v>
      </c>
      <c r="F298" s="156"/>
      <c r="G298" s="91">
        <f>SUM(G299)</f>
        <v>0</v>
      </c>
      <c r="H298" s="20">
        <v>41.9</v>
      </c>
      <c r="I298" s="20" t="e">
        <f t="shared" si="10"/>
        <v>#DIV/0!</v>
      </c>
    </row>
    <row r="299" spans="1:9" ht="19.5" customHeight="1" hidden="1">
      <c r="A299" s="106" t="s">
        <v>363</v>
      </c>
      <c r="B299" s="155"/>
      <c r="C299" s="155" t="s">
        <v>237</v>
      </c>
      <c r="D299" s="155" t="s">
        <v>904</v>
      </c>
      <c r="E299" s="159" t="s">
        <v>570</v>
      </c>
      <c r="F299" s="157" t="s">
        <v>875</v>
      </c>
      <c r="G299" s="91"/>
      <c r="H299" s="20">
        <v>1317.4</v>
      </c>
      <c r="I299" s="20" t="e">
        <f>SUM(H299/G299*100)</f>
        <v>#DIV/0!</v>
      </c>
    </row>
    <row r="300" spans="1:9" ht="28.5">
      <c r="A300" s="106" t="s">
        <v>809</v>
      </c>
      <c r="B300" s="155"/>
      <c r="C300" s="155" t="s">
        <v>237</v>
      </c>
      <c r="D300" s="155" t="s">
        <v>904</v>
      </c>
      <c r="E300" s="159" t="s">
        <v>810</v>
      </c>
      <c r="F300" s="157"/>
      <c r="G300" s="91">
        <f>SUM(G301)</f>
        <v>2690.8</v>
      </c>
      <c r="H300" s="20"/>
      <c r="I300" s="20"/>
    </row>
    <row r="301" spans="1:9" ht="52.5" customHeight="1">
      <c r="A301" s="106" t="s">
        <v>362</v>
      </c>
      <c r="B301" s="155"/>
      <c r="C301" s="155" t="s">
        <v>237</v>
      </c>
      <c r="D301" s="155" t="s">
        <v>904</v>
      </c>
      <c r="E301" s="159" t="s">
        <v>810</v>
      </c>
      <c r="F301" s="157" t="s">
        <v>485</v>
      </c>
      <c r="G301" s="91">
        <v>2690.8</v>
      </c>
      <c r="H301" s="20">
        <v>1317.4</v>
      </c>
      <c r="I301" s="20">
        <f t="shared" si="10"/>
        <v>48.95941727367325</v>
      </c>
    </row>
    <row r="302" spans="1:9" ht="21.75" customHeight="1">
      <c r="A302" s="106" t="s">
        <v>711</v>
      </c>
      <c r="B302" s="155"/>
      <c r="C302" s="155" t="s">
        <v>237</v>
      </c>
      <c r="D302" s="155" t="s">
        <v>904</v>
      </c>
      <c r="E302" s="155" t="s">
        <v>160</v>
      </c>
      <c r="F302" s="156"/>
      <c r="G302" s="91">
        <f>SUM(G304+G306+G308)</f>
        <v>80.6</v>
      </c>
      <c r="H302" s="20"/>
      <c r="I302" s="20"/>
    </row>
    <row r="303" spans="1:9" ht="31.5" customHeight="1" hidden="1">
      <c r="A303" s="106" t="s">
        <v>711</v>
      </c>
      <c r="B303" s="155"/>
      <c r="C303" s="155" t="s">
        <v>237</v>
      </c>
      <c r="D303" s="155" t="s">
        <v>904</v>
      </c>
      <c r="E303" s="155" t="s">
        <v>160</v>
      </c>
      <c r="F303" s="156" t="s">
        <v>566</v>
      </c>
      <c r="G303" s="91"/>
      <c r="H303" s="20"/>
      <c r="I303" s="20"/>
    </row>
    <row r="304" spans="1:9" ht="38.25" customHeight="1">
      <c r="A304" s="106" t="s">
        <v>437</v>
      </c>
      <c r="B304" s="155"/>
      <c r="C304" s="155" t="s">
        <v>237</v>
      </c>
      <c r="D304" s="155" t="s">
        <v>904</v>
      </c>
      <c r="E304" s="155" t="s">
        <v>161</v>
      </c>
      <c r="F304" s="156"/>
      <c r="G304" s="91">
        <f>SUM(G305)</f>
        <v>40.3</v>
      </c>
      <c r="H304" s="20"/>
      <c r="I304" s="20"/>
    </row>
    <row r="305" spans="1:9" ht="29.25" customHeight="1">
      <c r="A305" s="106" t="s">
        <v>711</v>
      </c>
      <c r="B305" s="155"/>
      <c r="C305" s="155" t="s">
        <v>237</v>
      </c>
      <c r="D305" s="155" t="s">
        <v>904</v>
      </c>
      <c r="E305" s="155" t="s">
        <v>161</v>
      </c>
      <c r="F305" s="156" t="s">
        <v>566</v>
      </c>
      <c r="G305" s="91">
        <v>40.3</v>
      </c>
      <c r="H305" s="20"/>
      <c r="I305" s="20"/>
    </row>
    <row r="306" spans="1:9" ht="38.25" customHeight="1">
      <c r="A306" s="106" t="s">
        <v>159</v>
      </c>
      <c r="B306" s="155"/>
      <c r="C306" s="155" t="s">
        <v>237</v>
      </c>
      <c r="D306" s="155" t="s">
        <v>904</v>
      </c>
      <c r="E306" s="155" t="s">
        <v>158</v>
      </c>
      <c r="F306" s="156"/>
      <c r="G306" s="91">
        <f>SUM(G307)</f>
        <v>40.3</v>
      </c>
      <c r="H306" s="20"/>
      <c r="I306" s="20"/>
    </row>
    <row r="307" spans="1:9" ht="29.25" customHeight="1">
      <c r="A307" s="106" t="s">
        <v>711</v>
      </c>
      <c r="B307" s="155"/>
      <c r="C307" s="155" t="s">
        <v>237</v>
      </c>
      <c r="D307" s="155" t="s">
        <v>904</v>
      </c>
      <c r="E307" s="155" t="s">
        <v>158</v>
      </c>
      <c r="F307" s="156" t="s">
        <v>566</v>
      </c>
      <c r="G307" s="91">
        <v>40.3</v>
      </c>
      <c r="H307" s="20"/>
      <c r="I307" s="20"/>
    </row>
    <row r="308" spans="1:9" ht="28.5" customHeight="1" hidden="1">
      <c r="A308" s="106" t="s">
        <v>838</v>
      </c>
      <c r="B308" s="155"/>
      <c r="C308" s="155" t="s">
        <v>237</v>
      </c>
      <c r="D308" s="155" t="s">
        <v>904</v>
      </c>
      <c r="E308" s="155" t="s">
        <v>839</v>
      </c>
      <c r="F308" s="156"/>
      <c r="G308" s="91">
        <f>SUM(G309)</f>
        <v>0</v>
      </c>
      <c r="H308" s="20"/>
      <c r="I308" s="20"/>
    </row>
    <row r="309" spans="1:9" ht="29.25" customHeight="1" hidden="1">
      <c r="A309" s="106" t="s">
        <v>711</v>
      </c>
      <c r="B309" s="155"/>
      <c r="C309" s="155" t="s">
        <v>237</v>
      </c>
      <c r="D309" s="155" t="s">
        <v>904</v>
      </c>
      <c r="E309" s="155" t="s">
        <v>839</v>
      </c>
      <c r="F309" s="156" t="s">
        <v>566</v>
      </c>
      <c r="G309" s="91"/>
      <c r="H309" s="20"/>
      <c r="I309" s="20"/>
    </row>
    <row r="310" spans="1:9" s="4" customFormat="1" ht="19.5" customHeight="1" hidden="1">
      <c r="A310" s="177" t="s">
        <v>634</v>
      </c>
      <c r="B310" s="178"/>
      <c r="C310" s="178" t="s">
        <v>237</v>
      </c>
      <c r="D310" s="178" t="s">
        <v>904</v>
      </c>
      <c r="E310" s="178" t="s">
        <v>635</v>
      </c>
      <c r="F310" s="179"/>
      <c r="G310" s="206">
        <f>SUM(G311)</f>
        <v>0</v>
      </c>
      <c r="H310" s="132">
        <f>SUM(H311)</f>
        <v>0</v>
      </c>
      <c r="I310" s="132" t="e">
        <f t="shared" si="10"/>
        <v>#DIV/0!</v>
      </c>
    </row>
    <row r="311" spans="1:9" s="4" customFormat="1" ht="19.5" customHeight="1" hidden="1">
      <c r="A311" s="177" t="s">
        <v>598</v>
      </c>
      <c r="B311" s="178"/>
      <c r="C311" s="178" t="s">
        <v>237</v>
      </c>
      <c r="D311" s="178" t="s">
        <v>904</v>
      </c>
      <c r="E311" s="178" t="s">
        <v>635</v>
      </c>
      <c r="F311" s="179" t="s">
        <v>599</v>
      </c>
      <c r="G311" s="206">
        <f>SUM(G312:G313)</f>
        <v>0</v>
      </c>
      <c r="H311" s="132">
        <f>SUM(H312:H313)</f>
        <v>0</v>
      </c>
      <c r="I311" s="132" t="e">
        <f t="shared" si="10"/>
        <v>#DIV/0!</v>
      </c>
    </row>
    <row r="312" spans="1:9" ht="19.5" customHeight="1" hidden="1">
      <c r="A312" s="106" t="s">
        <v>645</v>
      </c>
      <c r="B312" s="155"/>
      <c r="C312" s="155" t="s">
        <v>237</v>
      </c>
      <c r="D312" s="155" t="s">
        <v>904</v>
      </c>
      <c r="E312" s="155" t="s">
        <v>646</v>
      </c>
      <c r="F312" s="158" t="s">
        <v>599</v>
      </c>
      <c r="G312" s="91"/>
      <c r="H312" s="20"/>
      <c r="I312" s="20" t="e">
        <f t="shared" si="10"/>
        <v>#DIV/0!</v>
      </c>
    </row>
    <row r="313" spans="1:9" ht="19.5" customHeight="1" hidden="1">
      <c r="A313" s="106" t="s">
        <v>647</v>
      </c>
      <c r="B313" s="155"/>
      <c r="C313" s="155" t="s">
        <v>237</v>
      </c>
      <c r="D313" s="155" t="s">
        <v>152</v>
      </c>
      <c r="E313" s="155" t="s">
        <v>648</v>
      </c>
      <c r="F313" s="158" t="s">
        <v>599</v>
      </c>
      <c r="G313" s="91"/>
      <c r="H313" s="20"/>
      <c r="I313" s="20" t="e">
        <f t="shared" si="10"/>
        <v>#DIV/0!</v>
      </c>
    </row>
    <row r="314" spans="1:9" ht="24.75" customHeight="1">
      <c r="A314" s="106" t="s">
        <v>649</v>
      </c>
      <c r="B314" s="155"/>
      <c r="C314" s="159" t="s">
        <v>601</v>
      </c>
      <c r="D314" s="159"/>
      <c r="E314" s="159"/>
      <c r="F314" s="157"/>
      <c r="G314" s="91">
        <f>SUM(G319)+G315+G337</f>
        <v>26731.699999999997</v>
      </c>
      <c r="H314" s="20">
        <f>SUM(H319)+H316+H337</f>
        <v>15879.199999999997</v>
      </c>
      <c r="I314" s="20">
        <f t="shared" si="10"/>
        <v>59.402133048029114</v>
      </c>
    </row>
    <row r="315" spans="1:9" s="25" customFormat="1" ht="18.75" customHeight="1">
      <c r="A315" s="106" t="s">
        <v>488</v>
      </c>
      <c r="B315" s="159"/>
      <c r="C315" s="159" t="s">
        <v>601</v>
      </c>
      <c r="D315" s="159" t="s">
        <v>625</v>
      </c>
      <c r="E315" s="159"/>
      <c r="F315" s="157"/>
      <c r="G315" s="91">
        <f>SUM(G317)</f>
        <v>4716.4</v>
      </c>
      <c r="H315" s="20">
        <f>SUM(H317)</f>
        <v>0</v>
      </c>
      <c r="I315" s="20">
        <f t="shared" si="10"/>
        <v>0</v>
      </c>
    </row>
    <row r="316" spans="1:9" s="25" customFormat="1" ht="27.75" customHeight="1">
      <c r="A316" s="105" t="s">
        <v>153</v>
      </c>
      <c r="B316" s="159"/>
      <c r="C316" s="159" t="s">
        <v>601</v>
      </c>
      <c r="D316" s="159" t="s">
        <v>625</v>
      </c>
      <c r="E316" s="159" t="s">
        <v>154</v>
      </c>
      <c r="F316" s="157"/>
      <c r="G316" s="91">
        <f>SUM(G317)</f>
        <v>4716.4</v>
      </c>
      <c r="H316" s="20"/>
      <c r="I316" s="20"/>
    </row>
    <row r="317" spans="1:9" s="25" customFormat="1" ht="15">
      <c r="A317" s="105" t="s">
        <v>926</v>
      </c>
      <c r="B317" s="159"/>
      <c r="C317" s="159" t="s">
        <v>601</v>
      </c>
      <c r="D317" s="159" t="s">
        <v>625</v>
      </c>
      <c r="E317" s="159" t="s">
        <v>927</v>
      </c>
      <c r="F317" s="157"/>
      <c r="G317" s="91">
        <f>SUM(G318)</f>
        <v>4716.4</v>
      </c>
      <c r="H317" s="20">
        <f>SUM(H318)</f>
        <v>0</v>
      </c>
      <c r="I317" s="20">
        <f t="shared" si="10"/>
        <v>0</v>
      </c>
    </row>
    <row r="318" spans="1:9" s="25" customFormat="1" ht="15">
      <c r="A318" s="105" t="s">
        <v>598</v>
      </c>
      <c r="B318" s="159"/>
      <c r="C318" s="159" t="s">
        <v>601</v>
      </c>
      <c r="D318" s="159" t="s">
        <v>625</v>
      </c>
      <c r="E318" s="159" t="s">
        <v>927</v>
      </c>
      <c r="F318" s="157" t="s">
        <v>599</v>
      </c>
      <c r="G318" s="91">
        <v>4716.4</v>
      </c>
      <c r="H318" s="20"/>
      <c r="I318" s="20">
        <f t="shared" si="10"/>
        <v>0</v>
      </c>
    </row>
    <row r="319" spans="1:9" ht="39.75" customHeight="1">
      <c r="A319" s="133" t="s">
        <v>0</v>
      </c>
      <c r="B319" s="155"/>
      <c r="C319" s="159" t="s">
        <v>601</v>
      </c>
      <c r="D319" s="159" t="s">
        <v>1</v>
      </c>
      <c r="E319" s="159"/>
      <c r="F319" s="157"/>
      <c r="G319" s="91">
        <f>SUM(G323+G328+G331+G334)+G321+G341</f>
        <v>22015.3</v>
      </c>
      <c r="H319" s="20">
        <f>SUM(H323+H328+H331+H334)+H321</f>
        <v>15879.199999999997</v>
      </c>
      <c r="I319" s="20">
        <f t="shared" si="10"/>
        <v>72.1280200587773</v>
      </c>
    </row>
    <row r="320" spans="1:9" s="28" customFormat="1" ht="19.5" customHeight="1" hidden="1">
      <c r="A320" s="106" t="s">
        <v>148</v>
      </c>
      <c r="B320" s="155"/>
      <c r="C320" s="159" t="s">
        <v>601</v>
      </c>
      <c r="D320" s="159" t="s">
        <v>1</v>
      </c>
      <c r="E320" s="159" t="s">
        <v>150</v>
      </c>
      <c r="F320" s="157"/>
      <c r="G320" s="91">
        <f>SUM(G321)</f>
        <v>0</v>
      </c>
      <c r="H320" s="20">
        <f>SUM(H321)</f>
        <v>0</v>
      </c>
      <c r="I320" s="20" t="e">
        <f t="shared" si="10"/>
        <v>#DIV/0!</v>
      </c>
    </row>
    <row r="321" spans="1:9" ht="19.5" customHeight="1" hidden="1">
      <c r="A321" s="106" t="s">
        <v>128</v>
      </c>
      <c r="B321" s="155"/>
      <c r="C321" s="159" t="s">
        <v>601</v>
      </c>
      <c r="D321" s="159" t="s">
        <v>1</v>
      </c>
      <c r="E321" s="159" t="s">
        <v>129</v>
      </c>
      <c r="F321" s="157"/>
      <c r="G321" s="91">
        <f>SUM(G322)</f>
        <v>0</v>
      </c>
      <c r="H321" s="20">
        <f>SUM(H322)</f>
        <v>0</v>
      </c>
      <c r="I321" s="20" t="e">
        <f t="shared" si="10"/>
        <v>#DIV/0!</v>
      </c>
    </row>
    <row r="322" spans="1:9" ht="15" hidden="1">
      <c r="A322" s="106" t="s">
        <v>598</v>
      </c>
      <c r="B322" s="155"/>
      <c r="C322" s="159" t="s">
        <v>601</v>
      </c>
      <c r="D322" s="159" t="s">
        <v>1</v>
      </c>
      <c r="E322" s="159" t="s">
        <v>129</v>
      </c>
      <c r="F322" s="157" t="s">
        <v>599</v>
      </c>
      <c r="G322" s="91"/>
      <c r="H322" s="20"/>
      <c r="I322" s="20" t="e">
        <f t="shared" si="10"/>
        <v>#DIV/0!</v>
      </c>
    </row>
    <row r="323" spans="1:9" ht="34.5" customHeight="1">
      <c r="A323" s="133" t="s">
        <v>2</v>
      </c>
      <c r="B323" s="155"/>
      <c r="C323" s="159" t="s">
        <v>601</v>
      </c>
      <c r="D323" s="159" t="s">
        <v>1</v>
      </c>
      <c r="E323" s="159" t="s">
        <v>3</v>
      </c>
      <c r="F323" s="157"/>
      <c r="G323" s="91">
        <f>SUM(G324+G326)</f>
        <v>6332.5</v>
      </c>
      <c r="H323" s="20">
        <f>SUM(H324+H326)</f>
        <v>10264.099999999999</v>
      </c>
      <c r="I323" s="20">
        <f t="shared" si="10"/>
        <v>162.08606395578363</v>
      </c>
    </row>
    <row r="324" spans="1:9" ht="28.5">
      <c r="A324" s="133" t="s">
        <v>4</v>
      </c>
      <c r="B324" s="155"/>
      <c r="C324" s="159" t="s">
        <v>601</v>
      </c>
      <c r="D324" s="159" t="s">
        <v>1</v>
      </c>
      <c r="E324" s="159" t="s">
        <v>5</v>
      </c>
      <c r="F324" s="157"/>
      <c r="G324" s="91">
        <f>SUM(G325)</f>
        <v>1332.5</v>
      </c>
      <c r="H324" s="20">
        <f>SUM(H325)</f>
        <v>438.8</v>
      </c>
      <c r="I324" s="20">
        <f t="shared" si="10"/>
        <v>32.930581613508444</v>
      </c>
    </row>
    <row r="325" spans="1:9" ht="15">
      <c r="A325" s="106" t="s">
        <v>598</v>
      </c>
      <c r="B325" s="155"/>
      <c r="C325" s="159" t="s">
        <v>601</v>
      </c>
      <c r="D325" s="159" t="s">
        <v>1</v>
      </c>
      <c r="E325" s="159" t="s">
        <v>5</v>
      </c>
      <c r="F325" s="157" t="s">
        <v>599</v>
      </c>
      <c r="G325" s="91">
        <v>1332.5</v>
      </c>
      <c r="H325" s="20">
        <v>438.8</v>
      </c>
      <c r="I325" s="20">
        <f t="shared" si="10"/>
        <v>32.930581613508444</v>
      </c>
    </row>
    <row r="326" spans="1:9" ht="28.5">
      <c r="A326" s="106" t="s">
        <v>332</v>
      </c>
      <c r="B326" s="155"/>
      <c r="C326" s="159" t="s">
        <v>601</v>
      </c>
      <c r="D326" s="159" t="s">
        <v>1</v>
      </c>
      <c r="E326" s="159" t="s">
        <v>333</v>
      </c>
      <c r="F326" s="159"/>
      <c r="G326" s="91">
        <f>SUM(G327)</f>
        <v>5000</v>
      </c>
      <c r="H326" s="20">
        <f>SUM(H327)</f>
        <v>9825.3</v>
      </c>
      <c r="I326" s="20">
        <f t="shared" si="10"/>
        <v>196.50599999999997</v>
      </c>
    </row>
    <row r="327" spans="1:9" ht="15">
      <c r="A327" s="106" t="s">
        <v>146</v>
      </c>
      <c r="B327" s="155"/>
      <c r="C327" s="159" t="s">
        <v>601</v>
      </c>
      <c r="D327" s="159" t="s">
        <v>1</v>
      </c>
      <c r="E327" s="159" t="s">
        <v>333</v>
      </c>
      <c r="F327" s="159" t="s">
        <v>147</v>
      </c>
      <c r="G327" s="91">
        <f>2000+3000</f>
        <v>5000</v>
      </c>
      <c r="H327" s="20">
        <v>9825.3</v>
      </c>
      <c r="I327" s="20">
        <f t="shared" si="10"/>
        <v>196.50599999999997</v>
      </c>
    </row>
    <row r="328" spans="1:9" ht="15">
      <c r="A328" s="133" t="s">
        <v>334</v>
      </c>
      <c r="B328" s="165"/>
      <c r="C328" s="165" t="s">
        <v>601</v>
      </c>
      <c r="D328" s="165" t="s">
        <v>1</v>
      </c>
      <c r="E328" s="165" t="s">
        <v>335</v>
      </c>
      <c r="F328" s="166"/>
      <c r="G328" s="91">
        <f>SUM(G329)</f>
        <v>346.9</v>
      </c>
      <c r="H328" s="20">
        <f>SUM(H329)</f>
        <v>227.3</v>
      </c>
      <c r="I328" s="20">
        <f t="shared" si="10"/>
        <v>65.52320553473623</v>
      </c>
    </row>
    <row r="329" spans="1:9" ht="27" customHeight="1">
      <c r="A329" s="133" t="s">
        <v>336</v>
      </c>
      <c r="B329" s="165"/>
      <c r="C329" s="165" t="s">
        <v>601</v>
      </c>
      <c r="D329" s="165" t="s">
        <v>1</v>
      </c>
      <c r="E329" s="165" t="s">
        <v>337</v>
      </c>
      <c r="F329" s="166"/>
      <c r="G329" s="91">
        <f>SUM(G330)</f>
        <v>346.9</v>
      </c>
      <c r="H329" s="20">
        <f>SUM(H330)</f>
        <v>227.3</v>
      </c>
      <c r="I329" s="20">
        <f t="shared" si="10"/>
        <v>65.52320553473623</v>
      </c>
    </row>
    <row r="330" spans="1:9" ht="19.5" customHeight="1">
      <c r="A330" s="106" t="s">
        <v>598</v>
      </c>
      <c r="B330" s="165"/>
      <c r="C330" s="165" t="s">
        <v>601</v>
      </c>
      <c r="D330" s="165" t="s">
        <v>1</v>
      </c>
      <c r="E330" s="165" t="s">
        <v>337</v>
      </c>
      <c r="F330" s="166" t="s">
        <v>599</v>
      </c>
      <c r="G330" s="91">
        <v>346.9</v>
      </c>
      <c r="H330" s="20">
        <v>227.3</v>
      </c>
      <c r="I330" s="20">
        <f t="shared" si="10"/>
        <v>65.52320553473623</v>
      </c>
    </row>
    <row r="331" spans="1:9" ht="28.5">
      <c r="A331" s="106" t="s">
        <v>484</v>
      </c>
      <c r="B331" s="155"/>
      <c r="C331" s="159" t="s">
        <v>601</v>
      </c>
      <c r="D331" s="159" t="s">
        <v>1</v>
      </c>
      <c r="E331" s="159" t="s">
        <v>338</v>
      </c>
      <c r="F331" s="157"/>
      <c r="G331" s="91">
        <f>SUM(G332)</f>
        <v>13053.9</v>
      </c>
      <c r="H331" s="20">
        <f>SUM(H332)</f>
        <v>5387.8</v>
      </c>
      <c r="I331" s="20">
        <f t="shared" si="10"/>
        <v>41.27348914883675</v>
      </c>
    </row>
    <row r="332" spans="1:9" ht="28.5">
      <c r="A332" s="106" t="s">
        <v>482</v>
      </c>
      <c r="B332" s="155"/>
      <c r="C332" s="159" t="s">
        <v>601</v>
      </c>
      <c r="D332" s="159" t="s">
        <v>1</v>
      </c>
      <c r="E332" s="159" t="s">
        <v>339</v>
      </c>
      <c r="F332" s="157"/>
      <c r="G332" s="91">
        <f>SUM(G333)</f>
        <v>13053.9</v>
      </c>
      <c r="H332" s="20">
        <f>SUM(H333)</f>
        <v>5387.8</v>
      </c>
      <c r="I332" s="20">
        <f t="shared" si="10"/>
        <v>41.27348914883675</v>
      </c>
    </row>
    <row r="333" spans="1:9" ht="18" customHeight="1">
      <c r="A333" s="108" t="s">
        <v>483</v>
      </c>
      <c r="B333" s="120"/>
      <c r="C333" s="180" t="s">
        <v>601</v>
      </c>
      <c r="D333" s="180" t="s">
        <v>1</v>
      </c>
      <c r="E333" s="180" t="s">
        <v>339</v>
      </c>
      <c r="F333" s="158" t="s">
        <v>933</v>
      </c>
      <c r="G333" s="91">
        <v>13053.9</v>
      </c>
      <c r="H333" s="20">
        <v>5387.8</v>
      </c>
      <c r="I333" s="20">
        <f t="shared" si="10"/>
        <v>41.27348914883675</v>
      </c>
    </row>
    <row r="334" spans="1:9" ht="19.5" customHeight="1" hidden="1">
      <c r="A334" s="106" t="s">
        <v>340</v>
      </c>
      <c r="B334" s="120"/>
      <c r="C334" s="180" t="s">
        <v>601</v>
      </c>
      <c r="D334" s="180" t="s">
        <v>1</v>
      </c>
      <c r="E334" s="180" t="s">
        <v>341</v>
      </c>
      <c r="F334" s="158"/>
      <c r="G334" s="91">
        <f>SUM(G336)</f>
        <v>0</v>
      </c>
      <c r="H334" s="20">
        <f>SUM(H336)</f>
        <v>0</v>
      </c>
      <c r="I334" s="20" t="e">
        <f t="shared" si="10"/>
        <v>#DIV/0!</v>
      </c>
    </row>
    <row r="335" spans="1:9" ht="57" hidden="1">
      <c r="A335" s="133" t="s">
        <v>342</v>
      </c>
      <c r="B335" s="155"/>
      <c r="C335" s="159" t="s">
        <v>601</v>
      </c>
      <c r="D335" s="159" t="s">
        <v>1</v>
      </c>
      <c r="E335" s="165" t="s">
        <v>343</v>
      </c>
      <c r="F335" s="157"/>
      <c r="G335" s="91">
        <f>SUM(G336)</f>
        <v>0</v>
      </c>
      <c r="H335" s="20">
        <f>SUM(H336)</f>
        <v>0</v>
      </c>
      <c r="I335" s="20" t="e">
        <f t="shared" si="10"/>
        <v>#DIV/0!</v>
      </c>
    </row>
    <row r="336" spans="1:9" ht="19.5" customHeight="1" hidden="1">
      <c r="A336" s="133" t="s">
        <v>344</v>
      </c>
      <c r="B336" s="155"/>
      <c r="C336" s="159" t="s">
        <v>601</v>
      </c>
      <c r="D336" s="159" t="s">
        <v>1</v>
      </c>
      <c r="E336" s="165" t="s">
        <v>343</v>
      </c>
      <c r="F336" s="157" t="s">
        <v>345</v>
      </c>
      <c r="G336" s="91"/>
      <c r="H336" s="20"/>
      <c r="I336" s="20" t="e">
        <f t="shared" si="10"/>
        <v>#DIV/0!</v>
      </c>
    </row>
    <row r="337" spans="1:9" ht="28.5" hidden="1">
      <c r="A337" s="133" t="s">
        <v>346</v>
      </c>
      <c r="B337" s="155"/>
      <c r="C337" s="159" t="s">
        <v>601</v>
      </c>
      <c r="D337" s="159" t="s">
        <v>152</v>
      </c>
      <c r="E337" s="165"/>
      <c r="F337" s="157"/>
      <c r="G337" s="91">
        <f aca="true" t="shared" si="11" ref="G337:H339">SUM(G338)</f>
        <v>0</v>
      </c>
      <c r="H337" s="20">
        <f t="shared" si="11"/>
        <v>0</v>
      </c>
      <c r="I337" s="20" t="e">
        <f t="shared" si="10"/>
        <v>#DIV/0!</v>
      </c>
    </row>
    <row r="338" spans="1:9" ht="15" hidden="1">
      <c r="A338" s="133" t="s">
        <v>340</v>
      </c>
      <c r="B338" s="155"/>
      <c r="C338" s="159" t="s">
        <v>601</v>
      </c>
      <c r="D338" s="159" t="s">
        <v>152</v>
      </c>
      <c r="E338" s="165" t="s">
        <v>341</v>
      </c>
      <c r="F338" s="157"/>
      <c r="G338" s="91">
        <f t="shared" si="11"/>
        <v>0</v>
      </c>
      <c r="H338" s="20">
        <f t="shared" si="11"/>
        <v>0</v>
      </c>
      <c r="I338" s="20" t="e">
        <f t="shared" si="10"/>
        <v>#DIV/0!</v>
      </c>
    </row>
    <row r="339" spans="1:9" ht="28.5" hidden="1">
      <c r="A339" s="133" t="s">
        <v>347</v>
      </c>
      <c r="B339" s="155"/>
      <c r="C339" s="159" t="s">
        <v>601</v>
      </c>
      <c r="D339" s="159" t="s">
        <v>152</v>
      </c>
      <c r="E339" s="165" t="s">
        <v>343</v>
      </c>
      <c r="F339" s="157"/>
      <c r="G339" s="91">
        <f t="shared" si="11"/>
        <v>0</v>
      </c>
      <c r="H339" s="20">
        <f t="shared" si="11"/>
        <v>0</v>
      </c>
      <c r="I339" s="20" t="e">
        <f t="shared" si="10"/>
        <v>#DIV/0!</v>
      </c>
    </row>
    <row r="340" spans="1:9" ht="15" hidden="1">
      <c r="A340" s="105" t="s">
        <v>641</v>
      </c>
      <c r="B340" s="155"/>
      <c r="C340" s="159" t="s">
        <v>601</v>
      </c>
      <c r="D340" s="159" t="s">
        <v>152</v>
      </c>
      <c r="E340" s="165" t="s">
        <v>343</v>
      </c>
      <c r="F340" s="157" t="s">
        <v>642</v>
      </c>
      <c r="G340" s="91"/>
      <c r="H340" s="20"/>
      <c r="I340" s="20" t="e">
        <f t="shared" si="10"/>
        <v>#DIV/0!</v>
      </c>
    </row>
    <row r="341" spans="1:9" s="25" customFormat="1" ht="20.25" customHeight="1">
      <c r="A341" s="105" t="s">
        <v>634</v>
      </c>
      <c r="B341" s="159"/>
      <c r="C341" s="180" t="s">
        <v>601</v>
      </c>
      <c r="D341" s="180" t="s">
        <v>1</v>
      </c>
      <c r="E341" s="159" t="s">
        <v>635</v>
      </c>
      <c r="F341" s="157"/>
      <c r="G341" s="91">
        <f>SUM(G342+G345+G351)</f>
        <v>2282</v>
      </c>
      <c r="H341" s="20">
        <f>SUM(H342+H345+H351+H357)</f>
        <v>30706.4</v>
      </c>
      <c r="I341" s="20">
        <f t="shared" si="10"/>
        <v>1345.5915863277828</v>
      </c>
    </row>
    <row r="342" spans="1:9" ht="15">
      <c r="A342" s="105" t="s">
        <v>693</v>
      </c>
      <c r="B342" s="155"/>
      <c r="C342" s="180" t="s">
        <v>601</v>
      </c>
      <c r="D342" s="180" t="s">
        <v>1</v>
      </c>
      <c r="E342" s="159" t="s">
        <v>646</v>
      </c>
      <c r="F342" s="157"/>
      <c r="G342" s="91">
        <f>SUM(G343)</f>
        <v>1900</v>
      </c>
      <c r="H342" s="20"/>
      <c r="I342" s="20"/>
    </row>
    <row r="343" spans="1:9" ht="15">
      <c r="A343" s="106" t="s">
        <v>598</v>
      </c>
      <c r="B343" s="155"/>
      <c r="C343" s="180" t="s">
        <v>601</v>
      </c>
      <c r="D343" s="180" t="s">
        <v>1</v>
      </c>
      <c r="E343" s="159" t="s">
        <v>646</v>
      </c>
      <c r="F343" s="157" t="s">
        <v>599</v>
      </c>
      <c r="G343" s="91">
        <v>1900</v>
      </c>
      <c r="H343" s="20"/>
      <c r="I343" s="20"/>
    </row>
    <row r="344" spans="1:9" ht="28.5">
      <c r="A344" s="105" t="s">
        <v>829</v>
      </c>
      <c r="B344" s="155"/>
      <c r="C344" s="180" t="s">
        <v>601</v>
      </c>
      <c r="D344" s="180" t="s">
        <v>1</v>
      </c>
      <c r="E344" s="159" t="s">
        <v>679</v>
      </c>
      <c r="F344" s="157"/>
      <c r="G344" s="91">
        <f>SUM(G345)</f>
        <v>382</v>
      </c>
      <c r="H344" s="20"/>
      <c r="I344" s="20"/>
    </row>
    <row r="345" spans="1:9" ht="15">
      <c r="A345" s="106" t="s">
        <v>598</v>
      </c>
      <c r="B345" s="155"/>
      <c r="C345" s="180" t="s">
        <v>601</v>
      </c>
      <c r="D345" s="180" t="s">
        <v>1</v>
      </c>
      <c r="E345" s="159" t="s">
        <v>679</v>
      </c>
      <c r="F345" s="157" t="s">
        <v>599</v>
      </c>
      <c r="G345" s="91">
        <f>132+250</f>
        <v>382</v>
      </c>
      <c r="H345" s="20"/>
      <c r="I345" s="20"/>
    </row>
    <row r="346" spans="1:9" ht="15" hidden="1">
      <c r="A346" s="105"/>
      <c r="B346" s="155"/>
      <c r="C346" s="159"/>
      <c r="D346" s="159"/>
      <c r="E346" s="165"/>
      <c r="F346" s="157"/>
      <c r="G346" s="91"/>
      <c r="H346" s="20"/>
      <c r="I346" s="20"/>
    </row>
    <row r="347" spans="1:9" ht="15" hidden="1">
      <c r="A347" s="105"/>
      <c r="B347" s="155"/>
      <c r="C347" s="159"/>
      <c r="D347" s="159"/>
      <c r="E347" s="165"/>
      <c r="F347" s="157"/>
      <c r="G347" s="91"/>
      <c r="H347" s="20"/>
      <c r="I347" s="20"/>
    </row>
    <row r="348" spans="1:9" ht="15" hidden="1">
      <c r="A348" s="105"/>
      <c r="B348" s="155"/>
      <c r="C348" s="159"/>
      <c r="D348" s="159"/>
      <c r="E348" s="165"/>
      <c r="F348" s="157"/>
      <c r="G348" s="91"/>
      <c r="H348" s="20"/>
      <c r="I348" s="20"/>
    </row>
    <row r="349" spans="1:9" ht="15" hidden="1">
      <c r="A349" s="105"/>
      <c r="B349" s="155"/>
      <c r="C349" s="159"/>
      <c r="D349" s="159"/>
      <c r="E349" s="165"/>
      <c r="F349" s="157"/>
      <c r="G349" s="91"/>
      <c r="H349" s="20"/>
      <c r="I349" s="20"/>
    </row>
    <row r="350" spans="1:9" ht="15" hidden="1">
      <c r="A350" s="105"/>
      <c r="B350" s="155"/>
      <c r="C350" s="159"/>
      <c r="D350" s="159"/>
      <c r="E350" s="165"/>
      <c r="F350" s="157"/>
      <c r="G350" s="91"/>
      <c r="H350" s="20"/>
      <c r="I350" s="20"/>
    </row>
    <row r="351" spans="1:9" ht="15" hidden="1">
      <c r="A351" s="105"/>
      <c r="B351" s="155"/>
      <c r="C351" s="159"/>
      <c r="D351" s="159"/>
      <c r="E351" s="165"/>
      <c r="F351" s="157"/>
      <c r="G351" s="91"/>
      <c r="H351" s="20"/>
      <c r="I351" s="20"/>
    </row>
    <row r="352" spans="1:9" ht="18.75" customHeight="1">
      <c r="A352" s="106" t="s">
        <v>624</v>
      </c>
      <c r="B352" s="155"/>
      <c r="C352" s="155" t="s">
        <v>625</v>
      </c>
      <c r="D352" s="155"/>
      <c r="E352" s="155"/>
      <c r="F352" s="156"/>
      <c r="G352" s="91">
        <f>SUM(G353+G371)+G362</f>
        <v>194888.7</v>
      </c>
      <c r="H352" s="20" t="e">
        <f>SUM(H353+H371)</f>
        <v>#REF!</v>
      </c>
      <c r="I352" s="20" t="e">
        <f t="shared" si="10"/>
        <v>#REF!</v>
      </c>
    </row>
    <row r="353" spans="1:9" ht="15">
      <c r="A353" s="106" t="s">
        <v>626</v>
      </c>
      <c r="B353" s="155"/>
      <c r="C353" s="155" t="s">
        <v>625</v>
      </c>
      <c r="D353" s="155" t="s">
        <v>627</v>
      </c>
      <c r="E353" s="155"/>
      <c r="F353" s="156"/>
      <c r="G353" s="91">
        <f>SUM(G357)+G354</f>
        <v>90500.20000000001</v>
      </c>
      <c r="H353" s="20">
        <f>SUM(H357)+H354</f>
        <v>53329</v>
      </c>
      <c r="I353" s="20">
        <f t="shared" si="10"/>
        <v>58.92694159791911</v>
      </c>
    </row>
    <row r="354" spans="1:9" ht="15">
      <c r="A354" s="106" t="s">
        <v>349</v>
      </c>
      <c r="B354" s="155"/>
      <c r="C354" s="155" t="s">
        <v>625</v>
      </c>
      <c r="D354" s="155" t="s">
        <v>627</v>
      </c>
      <c r="E354" s="159" t="s">
        <v>350</v>
      </c>
      <c r="F354" s="157"/>
      <c r="G354" s="91">
        <f>SUM(G355)+G356</f>
        <v>35509.3</v>
      </c>
      <c r="H354" s="20">
        <f>SUM(H355)+H356</f>
        <v>22622.6</v>
      </c>
      <c r="I354" s="20">
        <f t="shared" si="10"/>
        <v>63.70894385414524</v>
      </c>
    </row>
    <row r="355" spans="1:9" ht="18.75" customHeight="1">
      <c r="A355" s="106" t="s">
        <v>351</v>
      </c>
      <c r="B355" s="155"/>
      <c r="C355" s="155" t="s">
        <v>625</v>
      </c>
      <c r="D355" s="155" t="s">
        <v>627</v>
      </c>
      <c r="E355" s="159" t="s">
        <v>350</v>
      </c>
      <c r="F355" s="156" t="s">
        <v>352</v>
      </c>
      <c r="G355" s="91">
        <v>35509.3</v>
      </c>
      <c r="H355" s="20">
        <v>22622.6</v>
      </c>
      <c r="I355" s="20">
        <f t="shared" si="10"/>
        <v>63.70894385414524</v>
      </c>
    </row>
    <row r="356" spans="1:9" ht="19.5" customHeight="1" hidden="1">
      <c r="A356" s="106" t="s">
        <v>598</v>
      </c>
      <c r="B356" s="155"/>
      <c r="C356" s="155" t="s">
        <v>625</v>
      </c>
      <c r="D356" s="155" t="s">
        <v>627</v>
      </c>
      <c r="E356" s="159" t="s">
        <v>350</v>
      </c>
      <c r="F356" s="156" t="s">
        <v>599</v>
      </c>
      <c r="G356" s="91"/>
      <c r="H356" s="20"/>
      <c r="I356" s="20" t="e">
        <f t="shared" si="10"/>
        <v>#DIV/0!</v>
      </c>
    </row>
    <row r="357" spans="1:9" ht="19.5" customHeight="1">
      <c r="A357" s="106" t="s">
        <v>628</v>
      </c>
      <c r="B357" s="155"/>
      <c r="C357" s="155" t="s">
        <v>625</v>
      </c>
      <c r="D357" s="155" t="s">
        <v>627</v>
      </c>
      <c r="E357" s="155" t="s">
        <v>162</v>
      </c>
      <c r="F357" s="156"/>
      <c r="G357" s="91">
        <f>SUM(G358)</f>
        <v>54990.9</v>
      </c>
      <c r="H357" s="20">
        <f>SUM(H358)</f>
        <v>30706.4</v>
      </c>
      <c r="I357" s="20">
        <f t="shared" si="10"/>
        <v>55.83905700761399</v>
      </c>
    </row>
    <row r="358" spans="1:9" s="25" customFormat="1" ht="19.5" customHeight="1">
      <c r="A358" s="106" t="s">
        <v>361</v>
      </c>
      <c r="B358" s="155"/>
      <c r="C358" s="155" t="s">
        <v>625</v>
      </c>
      <c r="D358" s="155" t="s">
        <v>627</v>
      </c>
      <c r="E358" s="155" t="s">
        <v>551</v>
      </c>
      <c r="F358" s="156"/>
      <c r="G358" s="30">
        <f>SUM(G359)</f>
        <v>54990.9</v>
      </c>
      <c r="H358" s="20">
        <f>SUM(H359+H360)</f>
        <v>30706.4</v>
      </c>
      <c r="I358" s="20">
        <f t="shared" si="10"/>
        <v>55.83905700761399</v>
      </c>
    </row>
    <row r="359" spans="1:9" ht="39" customHeight="1">
      <c r="A359" s="106" t="s">
        <v>809</v>
      </c>
      <c r="B359" s="155"/>
      <c r="C359" s="155" t="s">
        <v>625</v>
      </c>
      <c r="D359" s="155" t="s">
        <v>627</v>
      </c>
      <c r="E359" s="155" t="s">
        <v>552</v>
      </c>
      <c r="F359" s="156"/>
      <c r="G359" s="30">
        <v>54990.9</v>
      </c>
      <c r="H359" s="20">
        <v>30706.4</v>
      </c>
      <c r="I359" s="20">
        <f t="shared" si="10"/>
        <v>55.83905700761399</v>
      </c>
    </row>
    <row r="360" spans="1:9" ht="42" customHeight="1">
      <c r="A360" s="110" t="s">
        <v>362</v>
      </c>
      <c r="B360" s="171"/>
      <c r="C360" s="171" t="s">
        <v>625</v>
      </c>
      <c r="D360" s="171" t="s">
        <v>627</v>
      </c>
      <c r="E360" s="171" t="s">
        <v>552</v>
      </c>
      <c r="F360" s="161" t="s">
        <v>485</v>
      </c>
      <c r="G360" s="225">
        <v>54990.9</v>
      </c>
      <c r="H360" s="20">
        <f>SUM(H361)</f>
        <v>0</v>
      </c>
      <c r="I360" s="20">
        <f aca="true" t="shared" si="12" ref="I360:I445">SUM(H360/G360*100)</f>
        <v>0</v>
      </c>
    </row>
    <row r="361" spans="1:9" ht="19.5" customHeight="1" hidden="1">
      <c r="A361" s="106" t="s">
        <v>351</v>
      </c>
      <c r="B361" s="155"/>
      <c r="C361" s="155" t="s">
        <v>625</v>
      </c>
      <c r="D361" s="155" t="s">
        <v>627</v>
      </c>
      <c r="E361" s="155" t="s">
        <v>190</v>
      </c>
      <c r="F361" s="156" t="s">
        <v>352</v>
      </c>
      <c r="G361" s="91"/>
      <c r="H361" s="20"/>
      <c r="I361" s="20" t="e">
        <f t="shared" si="12"/>
        <v>#DIV/0!</v>
      </c>
    </row>
    <row r="362" spans="1:9" ht="19.5" customHeight="1">
      <c r="A362" s="105" t="s">
        <v>670</v>
      </c>
      <c r="B362" s="159"/>
      <c r="C362" s="159" t="s">
        <v>625</v>
      </c>
      <c r="D362" s="159" t="s">
        <v>1</v>
      </c>
      <c r="E362" s="159"/>
      <c r="F362" s="157"/>
      <c r="G362" s="91">
        <f>SUM(G363+G366)</f>
        <v>83955.5</v>
      </c>
      <c r="H362" s="20"/>
      <c r="I362" s="20"/>
    </row>
    <row r="363" spans="1:9" s="124" customFormat="1" ht="43.5" customHeight="1">
      <c r="A363" s="109" t="s">
        <v>438</v>
      </c>
      <c r="B363" s="165"/>
      <c r="C363" s="159" t="s">
        <v>625</v>
      </c>
      <c r="D363" s="159" t="s">
        <v>1</v>
      </c>
      <c r="E363" s="165" t="s">
        <v>439</v>
      </c>
      <c r="F363" s="166"/>
      <c r="G363" s="91">
        <f>SUM(G364:G365)</f>
        <v>82975.5</v>
      </c>
      <c r="H363" s="123"/>
      <c r="I363" s="123"/>
    </row>
    <row r="364" spans="1:9" s="124" customFormat="1" ht="21" customHeight="1">
      <c r="A364" s="106" t="s">
        <v>641</v>
      </c>
      <c r="B364" s="165"/>
      <c r="C364" s="159" t="s">
        <v>625</v>
      </c>
      <c r="D364" s="159" t="s">
        <v>1</v>
      </c>
      <c r="E364" s="165" t="s">
        <v>439</v>
      </c>
      <c r="F364" s="166" t="s">
        <v>642</v>
      </c>
      <c r="G364" s="91">
        <v>400.9</v>
      </c>
      <c r="H364" s="123"/>
      <c r="I364" s="123"/>
    </row>
    <row r="365" spans="1:9" ht="19.5" customHeight="1">
      <c r="A365" s="106" t="s">
        <v>598</v>
      </c>
      <c r="B365" s="165"/>
      <c r="C365" s="159" t="s">
        <v>625</v>
      </c>
      <c r="D365" s="159" t="s">
        <v>1</v>
      </c>
      <c r="E365" s="165" t="s">
        <v>439</v>
      </c>
      <c r="F365" s="166" t="s">
        <v>599</v>
      </c>
      <c r="G365" s="91">
        <v>82574.6</v>
      </c>
      <c r="H365" s="20"/>
      <c r="I365" s="20"/>
    </row>
    <row r="366" spans="1:9" ht="19.5" customHeight="1">
      <c r="A366" s="106" t="s">
        <v>634</v>
      </c>
      <c r="B366" s="155"/>
      <c r="C366" s="159" t="s">
        <v>625</v>
      </c>
      <c r="D366" s="159" t="s">
        <v>1</v>
      </c>
      <c r="E366" s="155" t="s">
        <v>635</v>
      </c>
      <c r="F366" s="157"/>
      <c r="G366" s="91">
        <f>SUM(G369)+G367</f>
        <v>980</v>
      </c>
      <c r="H366" s="20"/>
      <c r="I366" s="20"/>
    </row>
    <row r="367" spans="1:9" ht="44.25" customHeight="1">
      <c r="A367" s="106" t="s">
        <v>258</v>
      </c>
      <c r="B367" s="155"/>
      <c r="C367" s="159" t="s">
        <v>625</v>
      </c>
      <c r="D367" s="159" t="s">
        <v>1</v>
      </c>
      <c r="E367" s="155" t="s">
        <v>260</v>
      </c>
      <c r="F367" s="157"/>
      <c r="G367" s="91">
        <f>SUM(G368)</f>
        <v>480</v>
      </c>
      <c r="H367" s="20"/>
      <c r="I367" s="20"/>
    </row>
    <row r="368" spans="1:9" ht="19.5" customHeight="1">
      <c r="A368" s="106" t="s">
        <v>598</v>
      </c>
      <c r="B368" s="155"/>
      <c r="C368" s="159" t="s">
        <v>625</v>
      </c>
      <c r="D368" s="159" t="s">
        <v>1</v>
      </c>
      <c r="E368" s="155" t="s">
        <v>260</v>
      </c>
      <c r="F368" s="157" t="s">
        <v>599</v>
      </c>
      <c r="G368" s="91">
        <v>480</v>
      </c>
      <c r="H368" s="20"/>
      <c r="I368" s="20"/>
    </row>
    <row r="369" spans="1:9" ht="42" customHeight="1">
      <c r="A369" s="106" t="s">
        <v>259</v>
      </c>
      <c r="B369" s="155"/>
      <c r="C369" s="159" t="s">
        <v>625</v>
      </c>
      <c r="D369" s="159" t="s">
        <v>1</v>
      </c>
      <c r="E369" s="155" t="s">
        <v>671</v>
      </c>
      <c r="F369" s="157"/>
      <c r="G369" s="91">
        <f>SUM(G370)</f>
        <v>500</v>
      </c>
      <c r="H369" s="20"/>
      <c r="I369" s="20"/>
    </row>
    <row r="370" spans="1:9" ht="24.75" customHeight="1">
      <c r="A370" s="106" t="s">
        <v>598</v>
      </c>
      <c r="B370" s="159"/>
      <c r="C370" s="159" t="s">
        <v>625</v>
      </c>
      <c r="D370" s="159" t="s">
        <v>1</v>
      </c>
      <c r="E370" s="155" t="s">
        <v>671</v>
      </c>
      <c r="F370" s="157" t="s">
        <v>599</v>
      </c>
      <c r="G370" s="92">
        <v>500</v>
      </c>
      <c r="H370" s="20"/>
      <c r="I370" s="20"/>
    </row>
    <row r="371" spans="1:9" ht="20.25" customHeight="1">
      <c r="A371" s="105" t="s">
        <v>165</v>
      </c>
      <c r="B371" s="159"/>
      <c r="C371" s="159" t="s">
        <v>625</v>
      </c>
      <c r="D371" s="159" t="s">
        <v>149</v>
      </c>
      <c r="E371" s="159"/>
      <c r="F371" s="157"/>
      <c r="G371" s="91">
        <f>SUM(G372+G375+G389)+G380</f>
        <v>20433</v>
      </c>
      <c r="H371" s="20" t="e">
        <f>SUM(H375+H377+H389+#REF!)</f>
        <v>#REF!</v>
      </c>
      <c r="I371" s="20" t="e">
        <f t="shared" si="12"/>
        <v>#REF!</v>
      </c>
    </row>
    <row r="372" spans="1:9" s="25" customFormat="1" ht="18.75" customHeight="1">
      <c r="A372" s="106" t="s">
        <v>609</v>
      </c>
      <c r="B372" s="159"/>
      <c r="C372" s="159" t="s">
        <v>625</v>
      </c>
      <c r="D372" s="159" t="s">
        <v>149</v>
      </c>
      <c r="E372" s="155" t="s">
        <v>610</v>
      </c>
      <c r="F372" s="157"/>
      <c r="G372" s="91">
        <f>SUM(G374)</f>
        <v>1771.5</v>
      </c>
      <c r="H372" s="20">
        <f>SUM(H374)</f>
        <v>0</v>
      </c>
      <c r="I372" s="20">
        <f t="shared" si="12"/>
        <v>0</v>
      </c>
    </row>
    <row r="373" spans="1:9" s="25" customFormat="1" ht="31.5" customHeight="1">
      <c r="A373" s="106" t="s">
        <v>431</v>
      </c>
      <c r="B373" s="159"/>
      <c r="C373" s="159" t="s">
        <v>625</v>
      </c>
      <c r="D373" s="159" t="s">
        <v>149</v>
      </c>
      <c r="E373" s="155" t="s">
        <v>432</v>
      </c>
      <c r="F373" s="157"/>
      <c r="G373" s="91">
        <f>SUM(G374)</f>
        <v>1771.5</v>
      </c>
      <c r="H373" s="20"/>
      <c r="I373" s="20"/>
    </row>
    <row r="374" spans="1:9" s="29" customFormat="1" ht="19.5" customHeight="1">
      <c r="A374" s="106" t="s">
        <v>598</v>
      </c>
      <c r="B374" s="159"/>
      <c r="C374" s="159" t="s">
        <v>625</v>
      </c>
      <c r="D374" s="159" t="s">
        <v>149</v>
      </c>
      <c r="E374" s="155" t="s">
        <v>432</v>
      </c>
      <c r="F374" s="157" t="s">
        <v>599</v>
      </c>
      <c r="G374" s="91">
        <v>1771.5</v>
      </c>
      <c r="H374" s="20"/>
      <c r="I374" s="20">
        <f t="shared" si="12"/>
        <v>0</v>
      </c>
    </row>
    <row r="375" spans="1:9" s="28" customFormat="1" ht="27.75" customHeight="1">
      <c r="A375" s="131" t="s">
        <v>191</v>
      </c>
      <c r="B375" s="159"/>
      <c r="C375" s="159" t="s">
        <v>625</v>
      </c>
      <c r="D375" s="159" t="s">
        <v>149</v>
      </c>
      <c r="E375" s="159" t="s">
        <v>192</v>
      </c>
      <c r="F375" s="157"/>
      <c r="G375" s="91">
        <f>SUM(G376,G379)</f>
        <v>0</v>
      </c>
      <c r="H375" s="20">
        <f>SUM(H376)</f>
        <v>0</v>
      </c>
      <c r="I375" s="20" t="e">
        <f t="shared" si="12"/>
        <v>#DIV/0!</v>
      </c>
    </row>
    <row r="376" spans="1:9" s="28" customFormat="1" ht="15">
      <c r="A376" s="106" t="s">
        <v>598</v>
      </c>
      <c r="B376" s="159"/>
      <c r="C376" s="159" t="s">
        <v>625</v>
      </c>
      <c r="D376" s="159" t="s">
        <v>149</v>
      </c>
      <c r="E376" s="159" t="s">
        <v>192</v>
      </c>
      <c r="F376" s="157" t="s">
        <v>599</v>
      </c>
      <c r="G376" s="91"/>
      <c r="H376" s="20">
        <f>5050-2000-3050</f>
        <v>0</v>
      </c>
      <c r="I376" s="20" t="e">
        <f t="shared" si="12"/>
        <v>#DIV/0!</v>
      </c>
    </row>
    <row r="377" spans="1:9" s="28" customFormat="1" ht="15">
      <c r="A377" s="106" t="s">
        <v>481</v>
      </c>
      <c r="B377" s="155"/>
      <c r="C377" s="159" t="s">
        <v>625</v>
      </c>
      <c r="D377" s="159" t="s">
        <v>149</v>
      </c>
      <c r="E377" s="155" t="s">
        <v>359</v>
      </c>
      <c r="F377" s="157"/>
      <c r="G377" s="91">
        <f>SUM(G378)</f>
        <v>0</v>
      </c>
      <c r="H377" s="20">
        <f>SUM(H378)</f>
        <v>200</v>
      </c>
      <c r="I377" s="20" t="e">
        <f t="shared" si="12"/>
        <v>#DIV/0!</v>
      </c>
    </row>
    <row r="378" spans="1:9" s="28" customFormat="1" ht="40.5" customHeight="1">
      <c r="A378" s="106" t="s">
        <v>809</v>
      </c>
      <c r="B378" s="155"/>
      <c r="C378" s="159" t="s">
        <v>625</v>
      </c>
      <c r="D378" s="159" t="s">
        <v>149</v>
      </c>
      <c r="E378" s="155" t="s">
        <v>360</v>
      </c>
      <c r="F378" s="157"/>
      <c r="G378" s="91">
        <f>SUM(G379)</f>
        <v>0</v>
      </c>
      <c r="H378" s="20">
        <f>SUM(H379)</f>
        <v>200</v>
      </c>
      <c r="I378" s="20" t="e">
        <f t="shared" si="12"/>
        <v>#DIV/0!</v>
      </c>
    </row>
    <row r="379" spans="1:9" s="28" customFormat="1" ht="51" customHeight="1">
      <c r="A379" s="106" t="s">
        <v>362</v>
      </c>
      <c r="B379" s="155"/>
      <c r="C379" s="159" t="s">
        <v>625</v>
      </c>
      <c r="D379" s="159" t="s">
        <v>149</v>
      </c>
      <c r="E379" s="155" t="s">
        <v>360</v>
      </c>
      <c r="F379" s="157" t="s">
        <v>485</v>
      </c>
      <c r="G379" s="91"/>
      <c r="H379" s="20">
        <v>200</v>
      </c>
      <c r="I379" s="20" t="e">
        <f t="shared" si="12"/>
        <v>#DIV/0!</v>
      </c>
    </row>
    <row r="380" spans="1:9" s="28" customFormat="1" ht="20.25" customHeight="1">
      <c r="A380" s="106" t="s">
        <v>167</v>
      </c>
      <c r="B380" s="155"/>
      <c r="C380" s="159" t="s">
        <v>625</v>
      </c>
      <c r="D380" s="159" t="s">
        <v>149</v>
      </c>
      <c r="E380" s="155" t="s">
        <v>168</v>
      </c>
      <c r="F380" s="157"/>
      <c r="G380" s="30">
        <f>SUM(G381)+G383</f>
        <v>9648.3</v>
      </c>
      <c r="H380" s="20"/>
      <c r="I380" s="20"/>
    </row>
    <row r="381" spans="1:9" s="28" customFormat="1" ht="40.5" customHeight="1">
      <c r="A381" s="106" t="s">
        <v>193</v>
      </c>
      <c r="B381" s="155"/>
      <c r="C381" s="159" t="s">
        <v>625</v>
      </c>
      <c r="D381" s="159" t="s">
        <v>149</v>
      </c>
      <c r="E381" s="155" t="s">
        <v>194</v>
      </c>
      <c r="F381" s="157"/>
      <c r="G381" s="30">
        <f>SUM(G382)</f>
        <v>2968.9</v>
      </c>
      <c r="H381" s="20"/>
      <c r="I381" s="20"/>
    </row>
    <row r="382" spans="1:9" s="82" customFormat="1" ht="13.5" customHeight="1">
      <c r="A382" s="106" t="s">
        <v>598</v>
      </c>
      <c r="B382" s="155"/>
      <c r="C382" s="159" t="s">
        <v>625</v>
      </c>
      <c r="D382" s="159" t="s">
        <v>149</v>
      </c>
      <c r="E382" s="155" t="s">
        <v>194</v>
      </c>
      <c r="F382" s="157" t="s">
        <v>599</v>
      </c>
      <c r="G382" s="30">
        <f>4480-1511.1</f>
        <v>2968.9</v>
      </c>
      <c r="H382" s="20">
        <f>SUM(H388)</f>
        <v>0</v>
      </c>
      <c r="I382" s="20">
        <f t="shared" si="12"/>
        <v>0</v>
      </c>
    </row>
    <row r="383" spans="1:9" s="28" customFormat="1" ht="15">
      <c r="A383" s="106" t="s">
        <v>481</v>
      </c>
      <c r="B383" s="155"/>
      <c r="C383" s="159" t="s">
        <v>625</v>
      </c>
      <c r="D383" s="159" t="s">
        <v>149</v>
      </c>
      <c r="E383" s="155" t="s">
        <v>389</v>
      </c>
      <c r="F383" s="157"/>
      <c r="G383" s="91">
        <f>SUM(G384)</f>
        <v>6679.4</v>
      </c>
      <c r="H383" s="20">
        <f>SUM(H384)</f>
        <v>200</v>
      </c>
      <c r="I383" s="20">
        <f>SUM(H383/G383*100)</f>
        <v>2.994280923436237</v>
      </c>
    </row>
    <row r="384" spans="1:9" s="28" customFormat="1" ht="40.5" customHeight="1">
      <c r="A384" s="106" t="s">
        <v>809</v>
      </c>
      <c r="B384" s="155"/>
      <c r="C384" s="159" t="s">
        <v>625</v>
      </c>
      <c r="D384" s="159" t="s">
        <v>149</v>
      </c>
      <c r="E384" s="155" t="s">
        <v>390</v>
      </c>
      <c r="F384" s="157"/>
      <c r="G384" s="91">
        <f>SUM(G385)</f>
        <v>6679.4</v>
      </c>
      <c r="H384" s="20">
        <f>SUM(H385)</f>
        <v>200</v>
      </c>
      <c r="I384" s="20">
        <f>SUM(H384/G384*100)</f>
        <v>2.994280923436237</v>
      </c>
    </row>
    <row r="385" spans="1:9" s="28" customFormat="1" ht="50.25" customHeight="1">
      <c r="A385" s="106" t="s">
        <v>362</v>
      </c>
      <c r="B385" s="155"/>
      <c r="C385" s="159" t="s">
        <v>625</v>
      </c>
      <c r="D385" s="159" t="s">
        <v>149</v>
      </c>
      <c r="E385" s="155" t="s">
        <v>390</v>
      </c>
      <c r="F385" s="157" t="s">
        <v>485</v>
      </c>
      <c r="G385" s="91">
        <f>3879.4+2800</f>
        <v>6679.4</v>
      </c>
      <c r="H385" s="20">
        <v>200</v>
      </c>
      <c r="I385" s="20">
        <f>SUM(H385/G385*100)</f>
        <v>2.994280923436237</v>
      </c>
    </row>
    <row r="386" spans="1:9" s="82" customFormat="1" ht="13.5" customHeight="1" hidden="1">
      <c r="A386" s="106"/>
      <c r="B386" s="155"/>
      <c r="C386" s="159"/>
      <c r="D386" s="159"/>
      <c r="E386" s="155"/>
      <c r="F386" s="157"/>
      <c r="G386" s="30"/>
      <c r="H386" s="20"/>
      <c r="I386" s="20"/>
    </row>
    <row r="387" spans="1:9" s="82" customFormat="1" ht="13.5" customHeight="1" hidden="1">
      <c r="A387" s="106"/>
      <c r="B387" s="155"/>
      <c r="C387" s="159"/>
      <c r="D387" s="159"/>
      <c r="E387" s="155"/>
      <c r="F387" s="157"/>
      <c r="G387" s="30"/>
      <c r="H387" s="20"/>
      <c r="I387" s="20"/>
    </row>
    <row r="388" spans="1:9" s="28" customFormat="1" ht="15" hidden="1">
      <c r="A388" s="106" t="s">
        <v>598</v>
      </c>
      <c r="B388" s="159"/>
      <c r="C388" s="159" t="s">
        <v>625</v>
      </c>
      <c r="D388" s="159" t="s">
        <v>149</v>
      </c>
      <c r="E388" s="172" t="s">
        <v>509</v>
      </c>
      <c r="F388" s="157" t="s">
        <v>599</v>
      </c>
      <c r="G388" s="91"/>
      <c r="H388" s="20"/>
      <c r="I388" s="20" t="e">
        <f t="shared" si="12"/>
        <v>#DIV/0!</v>
      </c>
    </row>
    <row r="389" spans="1:9" s="28" customFormat="1" ht="21" customHeight="1">
      <c r="A389" s="106" t="s">
        <v>634</v>
      </c>
      <c r="B389" s="155"/>
      <c r="C389" s="159" t="s">
        <v>625</v>
      </c>
      <c r="D389" s="159" t="s">
        <v>149</v>
      </c>
      <c r="E389" s="155" t="s">
        <v>635</v>
      </c>
      <c r="F389" s="157"/>
      <c r="G389" s="91">
        <f>SUM(G390)+G397+G392+G394</f>
        <v>9013.2</v>
      </c>
      <c r="H389" s="20">
        <f>SUM(H390)</f>
        <v>0</v>
      </c>
      <c r="I389" s="20">
        <f t="shared" si="12"/>
        <v>0</v>
      </c>
    </row>
    <row r="390" spans="1:9" s="28" customFormat="1" ht="28.5">
      <c r="A390" s="126" t="s">
        <v>302</v>
      </c>
      <c r="B390" s="155"/>
      <c r="C390" s="159" t="s">
        <v>625</v>
      </c>
      <c r="D390" s="159" t="s">
        <v>149</v>
      </c>
      <c r="E390" s="155" t="s">
        <v>195</v>
      </c>
      <c r="F390" s="157"/>
      <c r="G390" s="91">
        <f>SUM(G391)</f>
        <v>900</v>
      </c>
      <c r="H390" s="20">
        <f>SUM(H391:H398)</f>
        <v>0</v>
      </c>
      <c r="I390" s="20">
        <f t="shared" si="12"/>
        <v>0</v>
      </c>
    </row>
    <row r="391" spans="1:9" s="28" customFormat="1" ht="24" customHeight="1">
      <c r="A391" s="106" t="s">
        <v>598</v>
      </c>
      <c r="B391" s="159"/>
      <c r="C391" s="159" t="s">
        <v>625</v>
      </c>
      <c r="D391" s="159" t="s">
        <v>149</v>
      </c>
      <c r="E391" s="155" t="s">
        <v>195</v>
      </c>
      <c r="F391" s="157" t="s">
        <v>599</v>
      </c>
      <c r="G391" s="92">
        <v>900</v>
      </c>
      <c r="H391" s="27"/>
      <c r="I391" s="20">
        <f t="shared" si="12"/>
        <v>0</v>
      </c>
    </row>
    <row r="392" spans="1:9" s="28" customFormat="1" ht="30.75" customHeight="1">
      <c r="A392" s="106" t="s">
        <v>299</v>
      </c>
      <c r="B392" s="159"/>
      <c r="C392" s="159" t="s">
        <v>625</v>
      </c>
      <c r="D392" s="159" t="s">
        <v>149</v>
      </c>
      <c r="E392" s="155" t="s">
        <v>661</v>
      </c>
      <c r="F392" s="157"/>
      <c r="G392" s="92">
        <f>SUM(G393)</f>
        <v>635</v>
      </c>
      <c r="H392" s="27"/>
      <c r="I392" s="20"/>
    </row>
    <row r="393" spans="1:9" s="28" customFormat="1" ht="24.75" customHeight="1">
      <c r="A393" s="106" t="s">
        <v>641</v>
      </c>
      <c r="B393" s="159"/>
      <c r="C393" s="159" t="s">
        <v>625</v>
      </c>
      <c r="D393" s="159" t="s">
        <v>149</v>
      </c>
      <c r="E393" s="155" t="s">
        <v>661</v>
      </c>
      <c r="F393" s="157" t="s">
        <v>642</v>
      </c>
      <c r="G393" s="92">
        <v>635</v>
      </c>
      <c r="H393" s="27"/>
      <c r="I393" s="20"/>
    </row>
    <row r="394" spans="1:9" s="28" customFormat="1" ht="35.25" customHeight="1">
      <c r="A394" s="105" t="s">
        <v>212</v>
      </c>
      <c r="B394" s="159"/>
      <c r="C394" s="159" t="s">
        <v>625</v>
      </c>
      <c r="D394" s="159" t="s">
        <v>149</v>
      </c>
      <c r="E394" s="155" t="s">
        <v>196</v>
      </c>
      <c r="F394" s="157"/>
      <c r="G394" s="92">
        <f>SUM(G395)</f>
        <v>1950</v>
      </c>
      <c r="H394" s="27"/>
      <c r="I394" s="20"/>
    </row>
    <row r="395" spans="1:9" s="28" customFormat="1" ht="37.5" customHeight="1">
      <c r="A395" s="126" t="s">
        <v>508</v>
      </c>
      <c r="B395" s="159"/>
      <c r="C395" s="159" t="s">
        <v>625</v>
      </c>
      <c r="D395" s="159" t="s">
        <v>149</v>
      </c>
      <c r="E395" s="155" t="s">
        <v>196</v>
      </c>
      <c r="F395" s="157"/>
      <c r="G395" s="92">
        <f>SUM(G396)</f>
        <v>1950</v>
      </c>
      <c r="H395" s="27"/>
      <c r="I395" s="20"/>
    </row>
    <row r="396" spans="1:9" s="28" customFormat="1" ht="20.25" customHeight="1">
      <c r="A396" s="106" t="s">
        <v>598</v>
      </c>
      <c r="B396" s="159"/>
      <c r="C396" s="159" t="s">
        <v>625</v>
      </c>
      <c r="D396" s="159" t="s">
        <v>149</v>
      </c>
      <c r="E396" s="155" t="s">
        <v>196</v>
      </c>
      <c r="F396" s="157" t="s">
        <v>599</v>
      </c>
      <c r="G396" s="92">
        <v>1950</v>
      </c>
      <c r="H396" s="27"/>
      <c r="I396" s="20"/>
    </row>
    <row r="397" spans="1:9" s="25" customFormat="1" ht="33.75" customHeight="1">
      <c r="A397" s="106" t="s">
        <v>27</v>
      </c>
      <c r="B397" s="159"/>
      <c r="C397" s="159" t="s">
        <v>625</v>
      </c>
      <c r="D397" s="159" t="s">
        <v>149</v>
      </c>
      <c r="E397" s="155" t="s">
        <v>475</v>
      </c>
      <c r="F397" s="157"/>
      <c r="G397" s="91">
        <f>SUM(G398)</f>
        <v>5528.2</v>
      </c>
      <c r="H397" s="20"/>
      <c r="I397" s="20"/>
    </row>
    <row r="398" spans="1:9" s="29" customFormat="1" ht="47.25" customHeight="1">
      <c r="A398" s="106" t="s">
        <v>362</v>
      </c>
      <c r="B398" s="159"/>
      <c r="C398" s="159" t="s">
        <v>625</v>
      </c>
      <c r="D398" s="159" t="s">
        <v>149</v>
      </c>
      <c r="E398" s="155" t="s">
        <v>475</v>
      </c>
      <c r="F398" s="157" t="s">
        <v>485</v>
      </c>
      <c r="G398" s="91">
        <v>5528.2</v>
      </c>
      <c r="H398" s="20"/>
      <c r="I398" s="20">
        <f>SUM(H398/G398*100)</f>
        <v>0</v>
      </c>
    </row>
    <row r="399" spans="1:9" s="28" customFormat="1" ht="18" customHeight="1">
      <c r="A399" s="105" t="s">
        <v>197</v>
      </c>
      <c r="B399" s="159"/>
      <c r="C399" s="159" t="s">
        <v>638</v>
      </c>
      <c r="D399" s="159"/>
      <c r="E399" s="159"/>
      <c r="F399" s="158"/>
      <c r="G399" s="204">
        <f>SUM(G400+G453+G477+G510+G504)</f>
        <v>147703.5</v>
      </c>
      <c r="H399" s="83" t="e">
        <f>SUM(H400+H453+H477+H510)</f>
        <v>#REF!</v>
      </c>
      <c r="I399" s="20" t="e">
        <f t="shared" si="12"/>
        <v>#REF!</v>
      </c>
    </row>
    <row r="400" spans="1:9" s="28" customFormat="1" ht="18" customHeight="1">
      <c r="A400" s="106" t="s">
        <v>198</v>
      </c>
      <c r="B400" s="155"/>
      <c r="C400" s="155" t="s">
        <v>638</v>
      </c>
      <c r="D400" s="155" t="s">
        <v>237</v>
      </c>
      <c r="E400" s="155"/>
      <c r="F400" s="156"/>
      <c r="G400" s="91">
        <f>SUM(G421+G443+G413+G426+G401+G440)</f>
        <v>3176.3</v>
      </c>
      <c r="H400" s="20">
        <f>SUM(H421+H443+H413+H426+H401)</f>
        <v>25898.3</v>
      </c>
      <c r="I400" s="20">
        <f t="shared" si="12"/>
        <v>815.36063973806</v>
      </c>
    </row>
    <row r="401" spans="1:9" s="25" customFormat="1" ht="39.75" customHeight="1">
      <c r="A401" s="126" t="s">
        <v>199</v>
      </c>
      <c r="B401" s="167"/>
      <c r="C401" s="155" t="s">
        <v>638</v>
      </c>
      <c r="D401" s="155" t="s">
        <v>237</v>
      </c>
      <c r="E401" s="155" t="s">
        <v>200</v>
      </c>
      <c r="F401" s="156"/>
      <c r="G401" s="91">
        <f>SUM(G402+G409)</f>
        <v>3076.3</v>
      </c>
      <c r="H401" s="20">
        <f>SUM(H402+H409)</f>
        <v>25620.2</v>
      </c>
      <c r="I401" s="20">
        <f t="shared" si="12"/>
        <v>832.8251470922861</v>
      </c>
    </row>
    <row r="402" spans="1:9" s="25" customFormat="1" ht="63" customHeight="1" hidden="1">
      <c r="A402" s="126" t="s">
        <v>201</v>
      </c>
      <c r="B402" s="167"/>
      <c r="C402" s="155" t="s">
        <v>638</v>
      </c>
      <c r="D402" s="155" t="s">
        <v>237</v>
      </c>
      <c r="E402" s="155" t="s">
        <v>202</v>
      </c>
      <c r="F402" s="156"/>
      <c r="G402" s="91">
        <f>SUM(G403+G405+G407)</f>
        <v>0</v>
      </c>
      <c r="H402" s="20">
        <f>SUM(H403+H405+H407)</f>
        <v>20414.4</v>
      </c>
      <c r="I402" s="20" t="e">
        <f t="shared" si="12"/>
        <v>#DIV/0!</v>
      </c>
    </row>
    <row r="403" spans="1:9" s="25" customFormat="1" ht="54" customHeight="1" hidden="1">
      <c r="A403" s="126" t="s">
        <v>385</v>
      </c>
      <c r="B403" s="167"/>
      <c r="C403" s="155" t="s">
        <v>638</v>
      </c>
      <c r="D403" s="155" t="s">
        <v>237</v>
      </c>
      <c r="E403" s="155" t="s">
        <v>386</v>
      </c>
      <c r="F403" s="156"/>
      <c r="G403" s="91">
        <f>SUM(G404)</f>
        <v>0</v>
      </c>
      <c r="H403" s="20">
        <f>SUM(H404)</f>
        <v>15652.8</v>
      </c>
      <c r="I403" s="20" t="e">
        <f t="shared" si="12"/>
        <v>#DIV/0!</v>
      </c>
    </row>
    <row r="404" spans="1:9" s="25" customFormat="1" ht="15" hidden="1">
      <c r="A404" s="106" t="s">
        <v>351</v>
      </c>
      <c r="B404" s="155"/>
      <c r="C404" s="155" t="s">
        <v>638</v>
      </c>
      <c r="D404" s="155" t="s">
        <v>237</v>
      </c>
      <c r="E404" s="155" t="s">
        <v>386</v>
      </c>
      <c r="F404" s="156" t="s">
        <v>352</v>
      </c>
      <c r="G404" s="91"/>
      <c r="H404" s="20">
        <v>15652.8</v>
      </c>
      <c r="I404" s="20" t="e">
        <f t="shared" si="12"/>
        <v>#DIV/0!</v>
      </c>
    </row>
    <row r="405" spans="1:9" s="25" customFormat="1" ht="57" hidden="1">
      <c r="A405" s="126" t="s">
        <v>434</v>
      </c>
      <c r="B405" s="167"/>
      <c r="C405" s="155" t="s">
        <v>638</v>
      </c>
      <c r="D405" s="155" t="s">
        <v>237</v>
      </c>
      <c r="E405" s="155" t="s">
        <v>435</v>
      </c>
      <c r="F405" s="156"/>
      <c r="G405" s="91">
        <f>SUM(G406)</f>
        <v>0</v>
      </c>
      <c r="H405" s="20">
        <f>SUM(H406)</f>
        <v>0</v>
      </c>
      <c r="I405" s="20" t="e">
        <f t="shared" si="12"/>
        <v>#DIV/0!</v>
      </c>
    </row>
    <row r="406" spans="1:9" s="25" customFormat="1" ht="15" hidden="1">
      <c r="A406" s="109" t="s">
        <v>641</v>
      </c>
      <c r="B406" s="167"/>
      <c r="C406" s="155" t="s">
        <v>638</v>
      </c>
      <c r="D406" s="155" t="s">
        <v>237</v>
      </c>
      <c r="E406" s="155" t="s">
        <v>435</v>
      </c>
      <c r="F406" s="156" t="s">
        <v>642</v>
      </c>
      <c r="G406" s="91"/>
      <c r="H406" s="20"/>
      <c r="I406" s="20" t="e">
        <f t="shared" si="12"/>
        <v>#DIV/0!</v>
      </c>
    </row>
    <row r="407" spans="1:9" s="25" customFormat="1" ht="83.25" customHeight="1" hidden="1">
      <c r="A407" s="126" t="s">
        <v>317</v>
      </c>
      <c r="B407" s="167"/>
      <c r="C407" s="155" t="s">
        <v>638</v>
      </c>
      <c r="D407" s="155" t="s">
        <v>237</v>
      </c>
      <c r="E407" s="155" t="s">
        <v>652</v>
      </c>
      <c r="F407" s="156"/>
      <c r="G407" s="91">
        <f>SUM(G408)</f>
        <v>0</v>
      </c>
      <c r="H407" s="20">
        <f>SUM(H408)</f>
        <v>4761.6</v>
      </c>
      <c r="I407" s="20" t="e">
        <f t="shared" si="12"/>
        <v>#DIV/0!</v>
      </c>
    </row>
    <row r="408" spans="1:9" s="25" customFormat="1" ht="15" hidden="1">
      <c r="A408" s="109" t="s">
        <v>641</v>
      </c>
      <c r="B408" s="167"/>
      <c r="C408" s="155" t="s">
        <v>638</v>
      </c>
      <c r="D408" s="155" t="s">
        <v>237</v>
      </c>
      <c r="E408" s="155" t="s">
        <v>652</v>
      </c>
      <c r="F408" s="156" t="s">
        <v>642</v>
      </c>
      <c r="G408" s="91"/>
      <c r="H408" s="20">
        <v>4761.6</v>
      </c>
      <c r="I408" s="20" t="e">
        <f t="shared" si="12"/>
        <v>#DIV/0!</v>
      </c>
    </row>
    <row r="409" spans="1:9" s="25" customFormat="1" ht="56.25" customHeight="1">
      <c r="A409" s="105" t="s">
        <v>203</v>
      </c>
      <c r="B409" s="167"/>
      <c r="C409" s="155" t="s">
        <v>638</v>
      </c>
      <c r="D409" s="155" t="s">
        <v>237</v>
      </c>
      <c r="E409" s="155" t="s">
        <v>204</v>
      </c>
      <c r="F409" s="156"/>
      <c r="G409" s="91">
        <f>SUM(G410)+G416+G419</f>
        <v>3076.3</v>
      </c>
      <c r="H409" s="20">
        <f>SUM(H410)+H416+H419</f>
        <v>5205.8</v>
      </c>
      <c r="I409" s="20">
        <f t="shared" si="12"/>
        <v>169.2227676104411</v>
      </c>
    </row>
    <row r="410" spans="1:9" s="25" customFormat="1" ht="32.25" customHeight="1">
      <c r="A410" s="105" t="s">
        <v>205</v>
      </c>
      <c r="B410" s="167"/>
      <c r="C410" s="155" t="s">
        <v>638</v>
      </c>
      <c r="D410" s="155" t="s">
        <v>237</v>
      </c>
      <c r="E410" s="155" t="s">
        <v>206</v>
      </c>
      <c r="F410" s="156"/>
      <c r="G410" s="91">
        <f>SUM(G411+G412)</f>
        <v>100</v>
      </c>
      <c r="H410" s="20">
        <f>SUM(H411+H412)</f>
        <v>1562</v>
      </c>
      <c r="I410" s="20">
        <f t="shared" si="12"/>
        <v>1562</v>
      </c>
    </row>
    <row r="411" spans="1:9" s="25" customFormat="1" ht="18.75" customHeight="1">
      <c r="A411" s="138" t="s">
        <v>351</v>
      </c>
      <c r="B411" s="167"/>
      <c r="C411" s="155" t="s">
        <v>638</v>
      </c>
      <c r="D411" s="155" t="s">
        <v>237</v>
      </c>
      <c r="E411" s="155" t="s">
        <v>206</v>
      </c>
      <c r="F411" s="156" t="s">
        <v>352</v>
      </c>
      <c r="G411" s="91">
        <v>100</v>
      </c>
      <c r="H411" s="20">
        <v>233.9</v>
      </c>
      <c r="I411" s="20">
        <f t="shared" si="12"/>
        <v>233.9</v>
      </c>
    </row>
    <row r="412" spans="1:9" s="25" customFormat="1" ht="19.5" customHeight="1" hidden="1">
      <c r="A412" s="138" t="s">
        <v>207</v>
      </c>
      <c r="B412" s="167"/>
      <c r="C412" s="155" t="s">
        <v>638</v>
      </c>
      <c r="D412" s="155" t="s">
        <v>237</v>
      </c>
      <c r="E412" s="155" t="s">
        <v>206</v>
      </c>
      <c r="F412" s="156" t="s">
        <v>208</v>
      </c>
      <c r="G412" s="91"/>
      <c r="H412" s="20">
        <v>1328.1</v>
      </c>
      <c r="I412" s="20" t="e">
        <f t="shared" si="12"/>
        <v>#DIV/0!</v>
      </c>
    </row>
    <row r="413" spans="1:9" s="25" customFormat="1" ht="19.5" customHeight="1" hidden="1">
      <c r="A413" s="105" t="s">
        <v>937</v>
      </c>
      <c r="B413" s="155"/>
      <c r="C413" s="155" t="s">
        <v>638</v>
      </c>
      <c r="D413" s="155" t="s">
        <v>237</v>
      </c>
      <c r="E413" s="155" t="s">
        <v>183</v>
      </c>
      <c r="F413" s="156"/>
      <c r="G413" s="91">
        <f>SUM(G414)</f>
        <v>0</v>
      </c>
      <c r="H413" s="20">
        <f>SUM(H414)</f>
        <v>0</v>
      </c>
      <c r="I413" s="20" t="e">
        <f t="shared" si="12"/>
        <v>#DIV/0!</v>
      </c>
    </row>
    <row r="414" spans="1:9" s="25" customFormat="1" ht="19.5" customHeight="1" hidden="1">
      <c r="A414" s="105" t="s">
        <v>639</v>
      </c>
      <c r="B414" s="155"/>
      <c r="C414" s="155" t="s">
        <v>638</v>
      </c>
      <c r="D414" s="155" t="s">
        <v>237</v>
      </c>
      <c r="E414" s="155" t="s">
        <v>640</v>
      </c>
      <c r="F414" s="156"/>
      <c r="G414" s="91">
        <f>SUM(G415)</f>
        <v>0</v>
      </c>
      <c r="H414" s="20">
        <f>SUM(H415)</f>
        <v>0</v>
      </c>
      <c r="I414" s="20" t="e">
        <f t="shared" si="12"/>
        <v>#DIV/0!</v>
      </c>
    </row>
    <row r="415" spans="1:9" s="25" customFormat="1" ht="19.5" customHeight="1" hidden="1">
      <c r="A415" s="105" t="s">
        <v>641</v>
      </c>
      <c r="B415" s="155"/>
      <c r="C415" s="155" t="s">
        <v>638</v>
      </c>
      <c r="D415" s="155" t="s">
        <v>237</v>
      </c>
      <c r="E415" s="155" t="s">
        <v>640</v>
      </c>
      <c r="F415" s="156" t="s">
        <v>642</v>
      </c>
      <c r="G415" s="91"/>
      <c r="H415" s="20"/>
      <c r="I415" s="20" t="e">
        <f t="shared" si="12"/>
        <v>#DIV/0!</v>
      </c>
    </row>
    <row r="416" spans="1:9" s="25" customFormat="1" ht="36" customHeight="1">
      <c r="A416" s="105" t="s">
        <v>209</v>
      </c>
      <c r="B416" s="155"/>
      <c r="C416" s="155" t="s">
        <v>638</v>
      </c>
      <c r="D416" s="155" t="s">
        <v>237</v>
      </c>
      <c r="E416" s="155" t="s">
        <v>210</v>
      </c>
      <c r="F416" s="156"/>
      <c r="G416" s="91">
        <f>SUM(G417+G418)</f>
        <v>2976.3</v>
      </c>
      <c r="H416" s="20">
        <f>SUM(H417+H418)</f>
        <v>1821.9</v>
      </c>
      <c r="I416" s="20">
        <f t="shared" si="12"/>
        <v>61.213587339985885</v>
      </c>
    </row>
    <row r="417" spans="1:9" s="25" customFormat="1" ht="18.75" customHeight="1" hidden="1">
      <c r="A417" s="106" t="s">
        <v>362</v>
      </c>
      <c r="B417" s="155"/>
      <c r="C417" s="155" t="s">
        <v>638</v>
      </c>
      <c r="D417" s="155" t="s">
        <v>237</v>
      </c>
      <c r="E417" s="155" t="s">
        <v>210</v>
      </c>
      <c r="F417" s="156" t="s">
        <v>485</v>
      </c>
      <c r="G417" s="91"/>
      <c r="H417" s="20"/>
      <c r="I417" s="20" t="e">
        <f t="shared" si="12"/>
        <v>#DIV/0!</v>
      </c>
    </row>
    <row r="418" spans="1:9" s="25" customFormat="1" ht="19.5" customHeight="1">
      <c r="A418" s="109" t="s">
        <v>641</v>
      </c>
      <c r="B418" s="155"/>
      <c r="C418" s="155" t="s">
        <v>638</v>
      </c>
      <c r="D418" s="155" t="s">
        <v>237</v>
      </c>
      <c r="E418" s="155" t="s">
        <v>210</v>
      </c>
      <c r="F418" s="156" t="s">
        <v>642</v>
      </c>
      <c r="G418" s="91">
        <v>2976.3</v>
      </c>
      <c r="H418" s="20">
        <v>1821.9</v>
      </c>
      <c r="I418" s="20">
        <f>SUM(H418/G418*100)</f>
        <v>61.213587339985885</v>
      </c>
    </row>
    <row r="419" spans="1:9" s="25" customFormat="1" ht="48" customHeight="1" hidden="1">
      <c r="A419" s="105" t="s">
        <v>215</v>
      </c>
      <c r="B419" s="155"/>
      <c r="C419" s="155" t="s">
        <v>638</v>
      </c>
      <c r="D419" s="155" t="s">
        <v>237</v>
      </c>
      <c r="E419" s="155" t="s">
        <v>216</v>
      </c>
      <c r="F419" s="156"/>
      <c r="G419" s="91">
        <f>SUM(G420)</f>
        <v>0</v>
      </c>
      <c r="H419" s="20">
        <f>SUM(H420)</f>
        <v>1821.9</v>
      </c>
      <c r="I419" s="20" t="e">
        <f t="shared" si="12"/>
        <v>#DIV/0!</v>
      </c>
    </row>
    <row r="420" spans="1:9" s="25" customFormat="1" ht="19.5" customHeight="1" hidden="1">
      <c r="A420" s="109" t="s">
        <v>641</v>
      </c>
      <c r="B420" s="155"/>
      <c r="C420" s="155" t="s">
        <v>638</v>
      </c>
      <c r="D420" s="155" t="s">
        <v>237</v>
      </c>
      <c r="E420" s="155" t="s">
        <v>216</v>
      </c>
      <c r="F420" s="156" t="s">
        <v>642</v>
      </c>
      <c r="G420" s="91"/>
      <c r="H420" s="20">
        <v>1821.9</v>
      </c>
      <c r="I420" s="20" t="e">
        <f t="shared" si="12"/>
        <v>#DIV/0!</v>
      </c>
    </row>
    <row r="421" spans="1:9" s="25" customFormat="1" ht="19.5" customHeight="1" hidden="1">
      <c r="A421" s="106" t="s">
        <v>217</v>
      </c>
      <c r="B421" s="155"/>
      <c r="C421" s="155" t="s">
        <v>638</v>
      </c>
      <c r="D421" s="155" t="s">
        <v>237</v>
      </c>
      <c r="E421" s="155" t="s">
        <v>218</v>
      </c>
      <c r="F421" s="156"/>
      <c r="G421" s="91">
        <f>SUM(G422+G424)</f>
        <v>0</v>
      </c>
      <c r="H421" s="20">
        <f>SUM(H422+H424)</f>
        <v>0</v>
      </c>
      <c r="I421" s="20" t="e">
        <f t="shared" si="12"/>
        <v>#DIV/0!</v>
      </c>
    </row>
    <row r="422" spans="1:9" s="25" customFormat="1" ht="19.5" customHeight="1" hidden="1">
      <c r="A422" s="133" t="s">
        <v>219</v>
      </c>
      <c r="B422" s="155"/>
      <c r="C422" s="155" t="s">
        <v>638</v>
      </c>
      <c r="D422" s="155" t="s">
        <v>237</v>
      </c>
      <c r="E422" s="155" t="s">
        <v>220</v>
      </c>
      <c r="F422" s="156"/>
      <c r="G422" s="91">
        <f>SUM(G423)</f>
        <v>0</v>
      </c>
      <c r="H422" s="20">
        <f>SUM(H423)</f>
        <v>0</v>
      </c>
      <c r="I422" s="20" t="e">
        <f t="shared" si="12"/>
        <v>#DIV/0!</v>
      </c>
    </row>
    <row r="423" spans="1:9" s="25" customFormat="1" ht="19.5" customHeight="1" hidden="1">
      <c r="A423" s="106" t="s">
        <v>351</v>
      </c>
      <c r="B423" s="155"/>
      <c r="C423" s="155" t="s">
        <v>638</v>
      </c>
      <c r="D423" s="155" t="s">
        <v>237</v>
      </c>
      <c r="E423" s="155" t="s">
        <v>220</v>
      </c>
      <c r="F423" s="156" t="s">
        <v>352</v>
      </c>
      <c r="G423" s="91"/>
      <c r="H423" s="20"/>
      <c r="I423" s="20" t="e">
        <f t="shared" si="12"/>
        <v>#DIV/0!</v>
      </c>
    </row>
    <row r="424" spans="1:9" s="25" customFormat="1" ht="19.5" customHeight="1" hidden="1">
      <c r="A424" s="133" t="s">
        <v>221</v>
      </c>
      <c r="B424" s="159"/>
      <c r="C424" s="155" t="s">
        <v>638</v>
      </c>
      <c r="D424" s="155" t="s">
        <v>237</v>
      </c>
      <c r="E424" s="155" t="s">
        <v>222</v>
      </c>
      <c r="F424" s="157"/>
      <c r="G424" s="91">
        <f>SUM(G425)</f>
        <v>0</v>
      </c>
      <c r="H424" s="20">
        <f>SUM(H425)</f>
        <v>0</v>
      </c>
      <c r="I424" s="20" t="e">
        <f t="shared" si="12"/>
        <v>#DIV/0!</v>
      </c>
    </row>
    <row r="425" spans="1:9" s="25" customFormat="1" ht="19.5" customHeight="1" hidden="1">
      <c r="A425" s="106" t="s">
        <v>598</v>
      </c>
      <c r="B425" s="168"/>
      <c r="C425" s="155" t="s">
        <v>638</v>
      </c>
      <c r="D425" s="155" t="s">
        <v>237</v>
      </c>
      <c r="E425" s="155" t="s">
        <v>222</v>
      </c>
      <c r="F425" s="166" t="s">
        <v>599</v>
      </c>
      <c r="G425" s="92"/>
      <c r="H425" s="27"/>
      <c r="I425" s="20" t="e">
        <f t="shared" si="12"/>
        <v>#DIV/0!</v>
      </c>
    </row>
    <row r="426" spans="1:9" s="25" customFormat="1" ht="19.5" customHeight="1" hidden="1">
      <c r="A426" s="133" t="s">
        <v>340</v>
      </c>
      <c r="B426" s="165"/>
      <c r="C426" s="165" t="s">
        <v>638</v>
      </c>
      <c r="D426" s="165" t="s">
        <v>237</v>
      </c>
      <c r="E426" s="165" t="s">
        <v>341</v>
      </c>
      <c r="F426" s="166"/>
      <c r="G426" s="91">
        <f>SUM(G430)+G435+G427</f>
        <v>0</v>
      </c>
      <c r="H426" s="30">
        <f>SUM(H430)+H435+H427</f>
        <v>0</v>
      </c>
      <c r="I426" s="20" t="e">
        <f t="shared" si="12"/>
        <v>#DIV/0!</v>
      </c>
    </row>
    <row r="427" spans="1:9" s="25" customFormat="1" ht="19.5" customHeight="1" hidden="1">
      <c r="A427" s="133" t="s">
        <v>223</v>
      </c>
      <c r="B427" s="165"/>
      <c r="C427" s="165" t="s">
        <v>638</v>
      </c>
      <c r="D427" s="165" t="s">
        <v>237</v>
      </c>
      <c r="E427" s="165" t="s">
        <v>224</v>
      </c>
      <c r="F427" s="166"/>
      <c r="G427" s="91">
        <f>SUM(G428)</f>
        <v>0</v>
      </c>
      <c r="H427" s="30">
        <f>SUM(H428)</f>
        <v>0</v>
      </c>
      <c r="I427" s="20" t="e">
        <f t="shared" si="12"/>
        <v>#DIV/0!</v>
      </c>
    </row>
    <row r="428" spans="1:9" s="25" customFormat="1" ht="19.5" customHeight="1" hidden="1">
      <c r="A428" s="133" t="s">
        <v>641</v>
      </c>
      <c r="B428" s="165"/>
      <c r="C428" s="165" t="s">
        <v>638</v>
      </c>
      <c r="D428" s="165" t="s">
        <v>237</v>
      </c>
      <c r="E428" s="165" t="s">
        <v>224</v>
      </c>
      <c r="F428" s="166" t="s">
        <v>642</v>
      </c>
      <c r="G428" s="91"/>
      <c r="H428" s="30"/>
      <c r="I428" s="20" t="e">
        <f t="shared" si="12"/>
        <v>#DIV/0!</v>
      </c>
    </row>
    <row r="429" spans="1:9" s="25" customFormat="1" ht="18" customHeight="1" hidden="1">
      <c r="A429" s="133"/>
      <c r="B429" s="165"/>
      <c r="C429" s="165"/>
      <c r="D429" s="165"/>
      <c r="E429" s="165"/>
      <c r="F429" s="166"/>
      <c r="G429" s="91"/>
      <c r="H429" s="30"/>
      <c r="I429" s="20" t="e">
        <f t="shared" si="12"/>
        <v>#DIV/0!</v>
      </c>
    </row>
    <row r="430" spans="1:9" s="25" customFormat="1" ht="19.5" customHeight="1" hidden="1">
      <c r="A430" s="106" t="s">
        <v>225</v>
      </c>
      <c r="B430" s="165"/>
      <c r="C430" s="165" t="s">
        <v>638</v>
      </c>
      <c r="D430" s="165" t="s">
        <v>237</v>
      </c>
      <c r="E430" s="165" t="s">
        <v>226</v>
      </c>
      <c r="F430" s="166"/>
      <c r="G430" s="91">
        <f>SUM(G431+G433)</f>
        <v>0</v>
      </c>
      <c r="H430" s="30">
        <f>SUM(H431+H433)</f>
        <v>0</v>
      </c>
      <c r="I430" s="20" t="e">
        <f t="shared" si="12"/>
        <v>#DIV/0!</v>
      </c>
    </row>
    <row r="431" spans="1:9" s="25" customFormat="1" ht="28.5" hidden="1">
      <c r="A431" s="133" t="s">
        <v>227</v>
      </c>
      <c r="B431" s="169"/>
      <c r="C431" s="165" t="s">
        <v>638</v>
      </c>
      <c r="D431" s="165" t="s">
        <v>237</v>
      </c>
      <c r="E431" s="165" t="s">
        <v>228</v>
      </c>
      <c r="F431" s="166"/>
      <c r="G431" s="91">
        <f>SUM(G432)</f>
        <v>0</v>
      </c>
      <c r="H431" s="30">
        <f>SUM(H432)</f>
        <v>0</v>
      </c>
      <c r="I431" s="20" t="e">
        <f t="shared" si="12"/>
        <v>#DIV/0!</v>
      </c>
    </row>
    <row r="432" spans="1:9" s="25" customFormat="1" ht="15" hidden="1">
      <c r="A432" s="105" t="s">
        <v>641</v>
      </c>
      <c r="B432" s="165"/>
      <c r="C432" s="165" t="s">
        <v>638</v>
      </c>
      <c r="D432" s="165" t="s">
        <v>237</v>
      </c>
      <c r="E432" s="165" t="s">
        <v>228</v>
      </c>
      <c r="F432" s="166" t="s">
        <v>642</v>
      </c>
      <c r="G432" s="91"/>
      <c r="H432" s="20"/>
      <c r="I432" s="20" t="e">
        <f t="shared" si="12"/>
        <v>#DIV/0!</v>
      </c>
    </row>
    <row r="433" spans="1:9" s="25" customFormat="1" ht="15" hidden="1">
      <c r="A433" s="105" t="s">
        <v>229</v>
      </c>
      <c r="B433" s="165"/>
      <c r="C433" s="165" t="s">
        <v>638</v>
      </c>
      <c r="D433" s="165" t="s">
        <v>237</v>
      </c>
      <c r="E433" s="165" t="s">
        <v>230</v>
      </c>
      <c r="F433" s="166"/>
      <c r="G433" s="91">
        <f>SUM(G434)</f>
        <v>0</v>
      </c>
      <c r="H433" s="20">
        <f>SUM(H434)</f>
        <v>0</v>
      </c>
      <c r="I433" s="20" t="e">
        <f t="shared" si="12"/>
        <v>#DIV/0!</v>
      </c>
    </row>
    <row r="434" spans="1:9" s="25" customFormat="1" ht="15" hidden="1">
      <c r="A434" s="106" t="s">
        <v>598</v>
      </c>
      <c r="B434" s="168"/>
      <c r="C434" s="155" t="s">
        <v>638</v>
      </c>
      <c r="D434" s="155" t="s">
        <v>237</v>
      </c>
      <c r="E434" s="165" t="s">
        <v>230</v>
      </c>
      <c r="F434" s="166" t="s">
        <v>599</v>
      </c>
      <c r="G434" s="91"/>
      <c r="H434" s="20"/>
      <c r="I434" s="20" t="e">
        <f t="shared" si="12"/>
        <v>#DIV/0!</v>
      </c>
    </row>
    <row r="435" spans="1:9" s="25" customFormat="1" ht="28.5" hidden="1">
      <c r="A435" s="106" t="s">
        <v>231</v>
      </c>
      <c r="B435" s="168"/>
      <c r="C435" s="155" t="s">
        <v>638</v>
      </c>
      <c r="D435" s="155" t="s">
        <v>237</v>
      </c>
      <c r="E435" s="165" t="s">
        <v>232</v>
      </c>
      <c r="F435" s="166"/>
      <c r="G435" s="91"/>
      <c r="H435" s="20"/>
      <c r="I435" s="20" t="e">
        <f t="shared" si="12"/>
        <v>#DIV/0!</v>
      </c>
    </row>
    <row r="436" spans="1:9" s="25" customFormat="1" ht="28.5" hidden="1">
      <c r="A436" s="106" t="s">
        <v>465</v>
      </c>
      <c r="B436" s="168"/>
      <c r="C436" s="155" t="s">
        <v>638</v>
      </c>
      <c r="D436" s="155" t="s">
        <v>237</v>
      </c>
      <c r="E436" s="165" t="s">
        <v>466</v>
      </c>
      <c r="F436" s="166"/>
      <c r="G436" s="91">
        <f>SUM(G437)</f>
        <v>0</v>
      </c>
      <c r="H436" s="20">
        <f>SUM(H437)</f>
        <v>0</v>
      </c>
      <c r="I436" s="20" t="e">
        <f t="shared" si="12"/>
        <v>#DIV/0!</v>
      </c>
    </row>
    <row r="437" spans="1:9" s="25" customFormat="1" ht="15" hidden="1">
      <c r="A437" s="106" t="s">
        <v>351</v>
      </c>
      <c r="B437" s="168"/>
      <c r="C437" s="155" t="s">
        <v>638</v>
      </c>
      <c r="D437" s="155" t="s">
        <v>237</v>
      </c>
      <c r="E437" s="165" t="s">
        <v>466</v>
      </c>
      <c r="F437" s="166" t="s">
        <v>352</v>
      </c>
      <c r="G437" s="91"/>
      <c r="H437" s="20"/>
      <c r="I437" s="20" t="e">
        <f t="shared" si="12"/>
        <v>#DIV/0!</v>
      </c>
    </row>
    <row r="438" spans="1:9" s="25" customFormat="1" ht="28.5" hidden="1">
      <c r="A438" s="106" t="s">
        <v>467</v>
      </c>
      <c r="B438" s="168"/>
      <c r="C438" s="155" t="s">
        <v>638</v>
      </c>
      <c r="D438" s="155" t="s">
        <v>237</v>
      </c>
      <c r="E438" s="165" t="s">
        <v>468</v>
      </c>
      <c r="F438" s="166"/>
      <c r="G438" s="91">
        <f>SUM(G439)</f>
        <v>0</v>
      </c>
      <c r="H438" s="20">
        <f>SUM(H439)</f>
        <v>0</v>
      </c>
      <c r="I438" s="20" t="e">
        <f t="shared" si="12"/>
        <v>#DIV/0!</v>
      </c>
    </row>
    <row r="439" spans="1:9" s="25" customFormat="1" ht="19.5" customHeight="1" hidden="1">
      <c r="A439" s="106" t="s">
        <v>351</v>
      </c>
      <c r="B439" s="168"/>
      <c r="C439" s="155" t="s">
        <v>638</v>
      </c>
      <c r="D439" s="155" t="s">
        <v>237</v>
      </c>
      <c r="E439" s="165" t="s">
        <v>468</v>
      </c>
      <c r="F439" s="166" t="s">
        <v>352</v>
      </c>
      <c r="G439" s="91"/>
      <c r="H439" s="20"/>
      <c r="I439" s="20" t="e">
        <f t="shared" si="12"/>
        <v>#DIV/0!</v>
      </c>
    </row>
    <row r="440" spans="1:9" s="25" customFormat="1" ht="19.5" customHeight="1" hidden="1">
      <c r="A440" s="106" t="s">
        <v>217</v>
      </c>
      <c r="B440" s="168"/>
      <c r="C440" s="155" t="s">
        <v>638</v>
      </c>
      <c r="D440" s="155" t="s">
        <v>237</v>
      </c>
      <c r="E440" s="165" t="s">
        <v>218</v>
      </c>
      <c r="F440" s="166"/>
      <c r="G440" s="91">
        <f>SUM(G441)</f>
        <v>0</v>
      </c>
      <c r="H440" s="20"/>
      <c r="I440" s="20"/>
    </row>
    <row r="441" spans="1:9" s="25" customFormat="1" ht="19.5" customHeight="1" hidden="1">
      <c r="A441" s="106" t="s">
        <v>994</v>
      </c>
      <c r="B441" s="168"/>
      <c r="C441" s="155" t="s">
        <v>638</v>
      </c>
      <c r="D441" s="155" t="s">
        <v>237</v>
      </c>
      <c r="E441" s="165" t="s">
        <v>222</v>
      </c>
      <c r="F441" s="166"/>
      <c r="G441" s="91">
        <f>SUM(G442)</f>
        <v>0</v>
      </c>
      <c r="H441" s="20"/>
      <c r="I441" s="20"/>
    </row>
    <row r="442" spans="1:9" s="25" customFormat="1" ht="19.5" customHeight="1" hidden="1">
      <c r="A442" s="106" t="s">
        <v>598</v>
      </c>
      <c r="B442" s="168"/>
      <c r="C442" s="155" t="s">
        <v>638</v>
      </c>
      <c r="D442" s="155" t="s">
        <v>237</v>
      </c>
      <c r="E442" s="165" t="s">
        <v>222</v>
      </c>
      <c r="F442" s="166" t="s">
        <v>599</v>
      </c>
      <c r="G442" s="91"/>
      <c r="H442" s="20"/>
      <c r="I442" s="20"/>
    </row>
    <row r="443" spans="1:9" s="25" customFormat="1" ht="18.75" customHeight="1">
      <c r="A443" s="109" t="s">
        <v>634</v>
      </c>
      <c r="B443" s="165"/>
      <c r="C443" s="165" t="s">
        <v>638</v>
      </c>
      <c r="D443" s="165" t="s">
        <v>237</v>
      </c>
      <c r="E443" s="165" t="s">
        <v>635</v>
      </c>
      <c r="F443" s="166"/>
      <c r="G443" s="91">
        <f>SUM(G444+G447)+G451</f>
        <v>100</v>
      </c>
      <c r="H443" s="20">
        <f>SUM(H444+H447)+H451</f>
        <v>278.1</v>
      </c>
      <c r="I443" s="20">
        <f t="shared" si="12"/>
        <v>278.1</v>
      </c>
    </row>
    <row r="444" spans="1:9" s="25" customFormat="1" ht="47.25" customHeight="1">
      <c r="A444" s="109" t="s">
        <v>315</v>
      </c>
      <c r="B444" s="165"/>
      <c r="C444" s="165" t="s">
        <v>638</v>
      </c>
      <c r="D444" s="165" t="s">
        <v>237</v>
      </c>
      <c r="E444" s="165" t="s">
        <v>1037</v>
      </c>
      <c r="F444" s="166"/>
      <c r="G444" s="226">
        <f>SUM(G445)</f>
        <v>100</v>
      </c>
      <c r="H444" s="31">
        <f>SUM(H445:H446)</f>
        <v>0</v>
      </c>
      <c r="I444" s="20">
        <f t="shared" si="12"/>
        <v>0</v>
      </c>
    </row>
    <row r="445" spans="1:9" s="25" customFormat="1" ht="18.75" customHeight="1">
      <c r="A445" s="138" t="s">
        <v>351</v>
      </c>
      <c r="B445" s="165"/>
      <c r="C445" s="165" t="s">
        <v>638</v>
      </c>
      <c r="D445" s="165" t="s">
        <v>237</v>
      </c>
      <c r="E445" s="165" t="s">
        <v>1037</v>
      </c>
      <c r="F445" s="166" t="s">
        <v>352</v>
      </c>
      <c r="G445" s="226">
        <v>100</v>
      </c>
      <c r="H445" s="31"/>
      <c r="I445" s="20">
        <f t="shared" si="12"/>
        <v>0</v>
      </c>
    </row>
    <row r="446" spans="1:9" s="29" customFormat="1" ht="19.5" customHeight="1" hidden="1">
      <c r="A446" s="109" t="s">
        <v>469</v>
      </c>
      <c r="B446" s="165"/>
      <c r="C446" s="165" t="s">
        <v>638</v>
      </c>
      <c r="D446" s="165" t="s">
        <v>237</v>
      </c>
      <c r="E446" s="165" t="s">
        <v>470</v>
      </c>
      <c r="F446" s="166" t="s">
        <v>599</v>
      </c>
      <c r="G446" s="205"/>
      <c r="H446" s="31"/>
      <c r="I446" s="20" t="e">
        <f aca="true" t="shared" si="13" ref="I446:I512">SUM(H446/G446*100)</f>
        <v>#DIV/0!</v>
      </c>
    </row>
    <row r="447" spans="1:9" s="29" customFormat="1" ht="15" hidden="1">
      <c r="A447" s="109" t="s">
        <v>641</v>
      </c>
      <c r="B447" s="165"/>
      <c r="C447" s="165" t="s">
        <v>638</v>
      </c>
      <c r="D447" s="165" t="s">
        <v>237</v>
      </c>
      <c r="E447" s="165" t="s">
        <v>635</v>
      </c>
      <c r="F447" s="166" t="s">
        <v>642</v>
      </c>
      <c r="G447" s="92">
        <f>SUM(G448)</f>
        <v>0</v>
      </c>
      <c r="H447" s="27">
        <f>SUM(H448)</f>
        <v>167.7</v>
      </c>
      <c r="I447" s="20" t="e">
        <f t="shared" si="13"/>
        <v>#DIV/0!</v>
      </c>
    </row>
    <row r="448" spans="1:9" ht="19.5" customHeight="1" hidden="1">
      <c r="A448" s="105" t="s">
        <v>471</v>
      </c>
      <c r="B448" s="165"/>
      <c r="C448" s="165" t="s">
        <v>638</v>
      </c>
      <c r="D448" s="165" t="s">
        <v>237</v>
      </c>
      <c r="E448" s="165" t="s">
        <v>472</v>
      </c>
      <c r="F448" s="166" t="s">
        <v>642</v>
      </c>
      <c r="G448" s="91">
        <f>SUM(G450)</f>
        <v>0</v>
      </c>
      <c r="H448" s="20">
        <f>SUM(H450)</f>
        <v>167.7</v>
      </c>
      <c r="I448" s="20" t="e">
        <f t="shared" si="13"/>
        <v>#DIV/0!</v>
      </c>
    </row>
    <row r="449" spans="1:9" ht="19.5" customHeight="1" hidden="1">
      <c r="A449" s="105" t="s">
        <v>518</v>
      </c>
      <c r="B449" s="165"/>
      <c r="C449" s="165"/>
      <c r="D449" s="165"/>
      <c r="E449" s="165"/>
      <c r="F449" s="166"/>
      <c r="G449" s="91"/>
      <c r="H449" s="20"/>
      <c r="I449" s="20"/>
    </row>
    <row r="450" spans="1:9" s="25" customFormat="1" ht="19.5" customHeight="1" hidden="1">
      <c r="A450" s="133" t="s">
        <v>227</v>
      </c>
      <c r="B450" s="165"/>
      <c r="C450" s="165" t="s">
        <v>638</v>
      </c>
      <c r="D450" s="165" t="s">
        <v>237</v>
      </c>
      <c r="E450" s="165" t="s">
        <v>473</v>
      </c>
      <c r="F450" s="166" t="s">
        <v>642</v>
      </c>
      <c r="G450" s="91"/>
      <c r="H450" s="20">
        <v>167.7</v>
      </c>
      <c r="I450" s="20" t="e">
        <f t="shared" si="13"/>
        <v>#DIV/0!</v>
      </c>
    </row>
    <row r="451" spans="1:9" s="25" customFormat="1" ht="19.5" customHeight="1" hidden="1">
      <c r="A451" s="127" t="s">
        <v>474</v>
      </c>
      <c r="B451" s="165"/>
      <c r="C451" s="165" t="s">
        <v>638</v>
      </c>
      <c r="D451" s="165" t="s">
        <v>237</v>
      </c>
      <c r="E451" s="165" t="s">
        <v>475</v>
      </c>
      <c r="F451" s="166"/>
      <c r="G451" s="91">
        <f>SUM(G452)</f>
        <v>0</v>
      </c>
      <c r="H451" s="20">
        <f>SUM(H452)</f>
        <v>110.4</v>
      </c>
      <c r="I451" s="20" t="e">
        <f t="shared" si="13"/>
        <v>#DIV/0!</v>
      </c>
    </row>
    <row r="452" spans="1:9" s="25" customFormat="1" ht="19.5" customHeight="1" hidden="1">
      <c r="A452" s="109" t="s">
        <v>641</v>
      </c>
      <c r="B452" s="165"/>
      <c r="C452" s="165" t="s">
        <v>638</v>
      </c>
      <c r="D452" s="165" t="s">
        <v>237</v>
      </c>
      <c r="E452" s="165" t="s">
        <v>475</v>
      </c>
      <c r="F452" s="166" t="s">
        <v>642</v>
      </c>
      <c r="G452" s="91"/>
      <c r="H452" s="20">
        <v>110.4</v>
      </c>
      <c r="I452" s="20" t="e">
        <f t="shared" si="13"/>
        <v>#DIV/0!</v>
      </c>
    </row>
    <row r="453" spans="1:9" ht="19.5" customHeight="1">
      <c r="A453" s="105" t="s">
        <v>476</v>
      </c>
      <c r="B453" s="159"/>
      <c r="C453" s="159" t="s">
        <v>638</v>
      </c>
      <c r="D453" s="159" t="s">
        <v>239</v>
      </c>
      <c r="E453" s="159"/>
      <c r="F453" s="157"/>
      <c r="G453" s="91">
        <f>SUM(G460)+G471</f>
        <v>50658.6</v>
      </c>
      <c r="H453" s="20" t="e">
        <f>SUM(H460+#REF!)+H454+H468+H457</f>
        <v>#REF!</v>
      </c>
      <c r="I453" s="20" t="e">
        <f t="shared" si="13"/>
        <v>#REF!</v>
      </c>
    </row>
    <row r="454" spans="1:9" ht="19.5" customHeight="1" hidden="1">
      <c r="A454" s="106" t="s">
        <v>148</v>
      </c>
      <c r="B454" s="155"/>
      <c r="C454" s="159" t="s">
        <v>638</v>
      </c>
      <c r="D454" s="159" t="s">
        <v>239</v>
      </c>
      <c r="E454" s="159" t="s">
        <v>150</v>
      </c>
      <c r="F454" s="157"/>
      <c r="G454" s="91">
        <f>SUM(G455)</f>
        <v>0</v>
      </c>
      <c r="H454" s="20">
        <f>SUM(H455)</f>
        <v>0</v>
      </c>
      <c r="I454" s="20" t="e">
        <f t="shared" si="13"/>
        <v>#DIV/0!</v>
      </c>
    </row>
    <row r="455" spans="1:9" ht="19.5" customHeight="1" hidden="1">
      <c r="A455" s="106" t="s">
        <v>128</v>
      </c>
      <c r="B455" s="155"/>
      <c r="C455" s="159" t="s">
        <v>638</v>
      </c>
      <c r="D455" s="159" t="s">
        <v>239</v>
      </c>
      <c r="E455" s="159" t="s">
        <v>129</v>
      </c>
      <c r="F455" s="156"/>
      <c r="G455" s="91">
        <f>SUM(G456)</f>
        <v>0</v>
      </c>
      <c r="H455" s="20">
        <f>SUM(H456)</f>
        <v>0</v>
      </c>
      <c r="I455" s="20" t="e">
        <f t="shared" si="13"/>
        <v>#DIV/0!</v>
      </c>
    </row>
    <row r="456" spans="1:9" ht="19.5" customHeight="1" hidden="1">
      <c r="A456" s="106" t="s">
        <v>598</v>
      </c>
      <c r="B456" s="155"/>
      <c r="C456" s="159" t="s">
        <v>638</v>
      </c>
      <c r="D456" s="159" t="s">
        <v>239</v>
      </c>
      <c r="E456" s="159" t="s">
        <v>129</v>
      </c>
      <c r="F456" s="156" t="s">
        <v>599</v>
      </c>
      <c r="G456" s="91"/>
      <c r="H456" s="20"/>
      <c r="I456" s="20" t="e">
        <f t="shared" si="13"/>
        <v>#DIV/0!</v>
      </c>
    </row>
    <row r="457" spans="1:9" ht="19.5" customHeight="1" hidden="1">
      <c r="A457" s="106" t="s">
        <v>1014</v>
      </c>
      <c r="B457" s="155"/>
      <c r="C457" s="159" t="s">
        <v>638</v>
      </c>
      <c r="D457" s="159" t="s">
        <v>239</v>
      </c>
      <c r="E457" s="159" t="s">
        <v>1015</v>
      </c>
      <c r="F457" s="156"/>
      <c r="G457" s="91">
        <f>SUM(G458)</f>
        <v>0</v>
      </c>
      <c r="H457" s="20">
        <f>SUM(H458)</f>
        <v>9483.6</v>
      </c>
      <c r="I457" s="20" t="e">
        <f t="shared" si="13"/>
        <v>#DIV/0!</v>
      </c>
    </row>
    <row r="458" spans="1:9" ht="19.5" customHeight="1" hidden="1">
      <c r="A458" s="106" t="s">
        <v>1016</v>
      </c>
      <c r="B458" s="155"/>
      <c r="C458" s="159" t="s">
        <v>638</v>
      </c>
      <c r="D458" s="159" t="s">
        <v>239</v>
      </c>
      <c r="E458" s="159" t="s">
        <v>1017</v>
      </c>
      <c r="F458" s="156"/>
      <c r="G458" s="91">
        <f>SUM(G459)</f>
        <v>0</v>
      </c>
      <c r="H458" s="20">
        <f>SUM(H459)</f>
        <v>9483.6</v>
      </c>
      <c r="I458" s="20" t="e">
        <f t="shared" si="13"/>
        <v>#DIV/0!</v>
      </c>
    </row>
    <row r="459" spans="1:9" ht="19.5" customHeight="1" hidden="1">
      <c r="A459" s="106" t="s">
        <v>351</v>
      </c>
      <c r="B459" s="155"/>
      <c r="C459" s="159" t="s">
        <v>638</v>
      </c>
      <c r="D459" s="159" t="s">
        <v>239</v>
      </c>
      <c r="E459" s="159" t="s">
        <v>1017</v>
      </c>
      <c r="F459" s="156" t="s">
        <v>352</v>
      </c>
      <c r="G459" s="91"/>
      <c r="H459" s="20">
        <v>9483.6</v>
      </c>
      <c r="I459" s="20" t="e">
        <f t="shared" si="13"/>
        <v>#DIV/0!</v>
      </c>
    </row>
    <row r="460" spans="1:9" ht="18.75" customHeight="1">
      <c r="A460" s="131" t="s">
        <v>1018</v>
      </c>
      <c r="B460" s="159"/>
      <c r="C460" s="159" t="s">
        <v>638</v>
      </c>
      <c r="D460" s="159" t="s">
        <v>239</v>
      </c>
      <c r="E460" s="159" t="s">
        <v>478</v>
      </c>
      <c r="F460" s="157"/>
      <c r="G460" s="91">
        <f>SUM(G465+G468)</f>
        <v>30481.199999999997</v>
      </c>
      <c r="H460" s="20">
        <f>SUM(H461+H463+H465)</f>
        <v>15047</v>
      </c>
      <c r="I460" s="20">
        <f t="shared" si="13"/>
        <v>49.36485440205767</v>
      </c>
    </row>
    <row r="461" spans="1:9" ht="42.75" hidden="1">
      <c r="A461" s="109" t="s">
        <v>1019</v>
      </c>
      <c r="B461" s="159"/>
      <c r="C461" s="159" t="s">
        <v>638</v>
      </c>
      <c r="D461" s="159" t="s">
        <v>239</v>
      </c>
      <c r="E461" s="159" t="s">
        <v>1020</v>
      </c>
      <c r="F461" s="157"/>
      <c r="G461" s="91">
        <f>SUM(G462)</f>
        <v>0</v>
      </c>
      <c r="H461" s="20">
        <f>SUM(H462)</f>
        <v>0</v>
      </c>
      <c r="I461" s="20" t="e">
        <f t="shared" si="13"/>
        <v>#DIV/0!</v>
      </c>
    </row>
    <row r="462" spans="1:9" s="32" customFormat="1" ht="15" hidden="1">
      <c r="A462" s="106" t="s">
        <v>351</v>
      </c>
      <c r="B462" s="155"/>
      <c r="C462" s="155" t="s">
        <v>638</v>
      </c>
      <c r="D462" s="159" t="s">
        <v>239</v>
      </c>
      <c r="E462" s="159" t="s">
        <v>1020</v>
      </c>
      <c r="F462" s="156" t="s">
        <v>352</v>
      </c>
      <c r="G462" s="91"/>
      <c r="H462" s="20"/>
      <c r="I462" s="20" t="e">
        <f t="shared" si="13"/>
        <v>#DIV/0!</v>
      </c>
    </row>
    <row r="463" spans="1:9" ht="42.75" hidden="1">
      <c r="A463" s="109" t="s">
        <v>449</v>
      </c>
      <c r="B463" s="155"/>
      <c r="C463" s="159" t="s">
        <v>638</v>
      </c>
      <c r="D463" s="159" t="s">
        <v>239</v>
      </c>
      <c r="E463" s="159" t="s">
        <v>450</v>
      </c>
      <c r="F463" s="156"/>
      <c r="G463" s="91">
        <f>SUM(G464)</f>
        <v>0</v>
      </c>
      <c r="H463" s="20">
        <f>SUM(H464)</f>
        <v>0</v>
      </c>
      <c r="I463" s="20" t="e">
        <f t="shared" si="13"/>
        <v>#DIV/0!</v>
      </c>
    </row>
    <row r="464" spans="1:9" s="32" customFormat="1" ht="19.5" customHeight="1" hidden="1">
      <c r="A464" s="106" t="s">
        <v>351</v>
      </c>
      <c r="B464" s="155"/>
      <c r="C464" s="159" t="s">
        <v>638</v>
      </c>
      <c r="D464" s="159" t="s">
        <v>239</v>
      </c>
      <c r="E464" s="159" t="s">
        <v>450</v>
      </c>
      <c r="F464" s="156" t="s">
        <v>352</v>
      </c>
      <c r="G464" s="91"/>
      <c r="H464" s="20"/>
      <c r="I464" s="20" t="e">
        <f t="shared" si="13"/>
        <v>#DIV/0!</v>
      </c>
    </row>
    <row r="465" spans="1:9" ht="19.5" customHeight="1">
      <c r="A465" s="133" t="s">
        <v>451</v>
      </c>
      <c r="B465" s="159"/>
      <c r="C465" s="159" t="s">
        <v>638</v>
      </c>
      <c r="D465" s="159" t="s">
        <v>239</v>
      </c>
      <c r="E465" s="159" t="s">
        <v>452</v>
      </c>
      <c r="F465" s="157"/>
      <c r="G465" s="91">
        <f>SUM(G466:G467)</f>
        <v>29981.199999999997</v>
      </c>
      <c r="H465" s="20">
        <f>SUM(H466:H467)</f>
        <v>15047</v>
      </c>
      <c r="I465" s="20">
        <f t="shared" si="13"/>
        <v>50.18811788720933</v>
      </c>
    </row>
    <row r="466" spans="1:9" ht="19.5" customHeight="1" hidden="1">
      <c r="A466" s="106" t="s">
        <v>351</v>
      </c>
      <c r="B466" s="159"/>
      <c r="C466" s="159" t="s">
        <v>638</v>
      </c>
      <c r="D466" s="159" t="s">
        <v>239</v>
      </c>
      <c r="E466" s="159" t="s">
        <v>452</v>
      </c>
      <c r="F466" s="156" t="s">
        <v>352</v>
      </c>
      <c r="G466" s="92"/>
      <c r="H466" s="27">
        <f>878+4272.1+2990.6</f>
        <v>8140.700000000001</v>
      </c>
      <c r="I466" s="20" t="e">
        <f t="shared" si="13"/>
        <v>#DIV/0!</v>
      </c>
    </row>
    <row r="467" spans="1:9" ht="19.5" customHeight="1">
      <c r="A467" s="106" t="s">
        <v>598</v>
      </c>
      <c r="B467" s="159"/>
      <c r="C467" s="159" t="s">
        <v>638</v>
      </c>
      <c r="D467" s="159" t="s">
        <v>239</v>
      </c>
      <c r="E467" s="159" t="s">
        <v>452</v>
      </c>
      <c r="F467" s="156" t="s">
        <v>599</v>
      </c>
      <c r="G467" s="92">
        <f>20449.1+2803.6+8500-1771.5</f>
        <v>29981.199999999997</v>
      </c>
      <c r="H467" s="27">
        <v>6906.3</v>
      </c>
      <c r="I467" s="20">
        <f t="shared" si="13"/>
        <v>23.03543553960482</v>
      </c>
    </row>
    <row r="468" spans="1:9" ht="17.25" customHeight="1">
      <c r="A468" s="106" t="s">
        <v>361</v>
      </c>
      <c r="B468" s="159"/>
      <c r="C468" s="159" t="s">
        <v>638</v>
      </c>
      <c r="D468" s="159" t="s">
        <v>239</v>
      </c>
      <c r="E468" s="159" t="s">
        <v>672</v>
      </c>
      <c r="F468" s="156"/>
      <c r="G468" s="225">
        <f>SUM(G469)</f>
        <v>500</v>
      </c>
      <c r="H468" s="27" t="e">
        <f>SUM(H469)</f>
        <v>#REF!</v>
      </c>
      <c r="I468" s="20" t="e">
        <f t="shared" si="13"/>
        <v>#REF!</v>
      </c>
    </row>
    <row r="469" spans="1:9" ht="35.25" customHeight="1">
      <c r="A469" s="106" t="s">
        <v>809</v>
      </c>
      <c r="B469" s="159"/>
      <c r="C469" s="159" t="s">
        <v>638</v>
      </c>
      <c r="D469" s="159" t="s">
        <v>239</v>
      </c>
      <c r="E469" s="159" t="s">
        <v>673</v>
      </c>
      <c r="F469" s="156"/>
      <c r="G469" s="225">
        <f>SUM(G470)</f>
        <v>500</v>
      </c>
      <c r="H469" s="27" t="e">
        <f>SUM(H470)</f>
        <v>#REF!</v>
      </c>
      <c r="I469" s="20" t="e">
        <f t="shared" si="13"/>
        <v>#REF!</v>
      </c>
    </row>
    <row r="470" spans="1:9" ht="38.25" customHeight="1">
      <c r="A470" s="106" t="s">
        <v>691</v>
      </c>
      <c r="B470" s="159"/>
      <c r="C470" s="159" t="s">
        <v>638</v>
      </c>
      <c r="D470" s="159" t="s">
        <v>239</v>
      </c>
      <c r="E470" s="159" t="s">
        <v>673</v>
      </c>
      <c r="F470" s="156" t="s">
        <v>485</v>
      </c>
      <c r="G470" s="225">
        <v>500</v>
      </c>
      <c r="H470" s="27" t="e">
        <f>SUM(#REF!)</f>
        <v>#REF!</v>
      </c>
      <c r="I470" s="20" t="e">
        <f t="shared" si="13"/>
        <v>#REF!</v>
      </c>
    </row>
    <row r="471" spans="1:9" ht="21" customHeight="1">
      <c r="A471" s="109" t="s">
        <v>634</v>
      </c>
      <c r="B471" s="235"/>
      <c r="C471" s="236" t="s">
        <v>638</v>
      </c>
      <c r="D471" s="236" t="s">
        <v>239</v>
      </c>
      <c r="E471" s="236" t="s">
        <v>635</v>
      </c>
      <c r="F471" s="237"/>
      <c r="G471" s="27">
        <f>SUM(G472+G474)</f>
        <v>20177.4</v>
      </c>
      <c r="H471" s="27"/>
      <c r="I471" s="20"/>
    </row>
    <row r="472" spans="1:9" ht="49.5" customHeight="1">
      <c r="A472" s="238" t="s">
        <v>318</v>
      </c>
      <c r="B472" s="234"/>
      <c r="C472" s="236" t="s">
        <v>638</v>
      </c>
      <c r="D472" s="236" t="s">
        <v>239</v>
      </c>
      <c r="E472" s="236" t="s">
        <v>243</v>
      </c>
      <c r="F472" s="240"/>
      <c r="G472" s="27">
        <f>SUM(G473)</f>
        <v>1182</v>
      </c>
      <c r="H472" s="27"/>
      <c r="I472" s="20"/>
    </row>
    <row r="473" spans="1:9" ht="21.75" customHeight="1">
      <c r="A473" s="238" t="s">
        <v>598</v>
      </c>
      <c r="B473" s="234"/>
      <c r="C473" s="236" t="s">
        <v>638</v>
      </c>
      <c r="D473" s="236" t="s">
        <v>239</v>
      </c>
      <c r="E473" s="236" t="s">
        <v>243</v>
      </c>
      <c r="F473" s="240" t="s">
        <v>599</v>
      </c>
      <c r="G473" s="27">
        <v>1182</v>
      </c>
      <c r="H473" s="27"/>
      <c r="I473" s="20"/>
    </row>
    <row r="474" spans="1:9" ht="49.5" customHeight="1">
      <c r="A474" s="238" t="s">
        <v>319</v>
      </c>
      <c r="B474" s="234"/>
      <c r="C474" s="236" t="s">
        <v>638</v>
      </c>
      <c r="D474" s="236" t="s">
        <v>239</v>
      </c>
      <c r="E474" s="236" t="s">
        <v>320</v>
      </c>
      <c r="F474" s="240"/>
      <c r="G474" s="27">
        <f>SUM(G475:G476)</f>
        <v>18995.4</v>
      </c>
      <c r="H474" s="27"/>
      <c r="I474" s="20"/>
    </row>
    <row r="475" spans="1:9" ht="23.25" customHeight="1">
      <c r="A475" s="238" t="s">
        <v>351</v>
      </c>
      <c r="B475" s="234"/>
      <c r="C475" s="236" t="s">
        <v>638</v>
      </c>
      <c r="D475" s="236" t="s">
        <v>239</v>
      </c>
      <c r="E475" s="236" t="s">
        <v>320</v>
      </c>
      <c r="F475" s="240" t="s">
        <v>352</v>
      </c>
      <c r="G475" s="27">
        <v>7979.5</v>
      </c>
      <c r="H475" s="27"/>
      <c r="I475" s="20"/>
    </row>
    <row r="476" spans="1:9" ht="20.25" customHeight="1">
      <c r="A476" s="238" t="s">
        <v>598</v>
      </c>
      <c r="B476" s="234"/>
      <c r="C476" s="236" t="s">
        <v>638</v>
      </c>
      <c r="D476" s="236" t="s">
        <v>239</v>
      </c>
      <c r="E476" s="236" t="s">
        <v>320</v>
      </c>
      <c r="F476" s="240" t="s">
        <v>599</v>
      </c>
      <c r="G476" s="27">
        <v>11015.9</v>
      </c>
      <c r="H476" s="27"/>
      <c r="I476" s="20"/>
    </row>
    <row r="477" spans="1:9" s="84" customFormat="1" ht="18.75" customHeight="1">
      <c r="A477" s="105" t="s">
        <v>464</v>
      </c>
      <c r="B477" s="159"/>
      <c r="C477" s="159" t="s">
        <v>638</v>
      </c>
      <c r="D477" s="159" t="s">
        <v>601</v>
      </c>
      <c r="E477" s="159"/>
      <c r="F477" s="157"/>
      <c r="G477" s="91">
        <f>SUM(G480+G497)+G478</f>
        <v>74383.9</v>
      </c>
      <c r="H477" s="20">
        <f>SUM(H480+H497)+H478</f>
        <v>71482.59999999999</v>
      </c>
      <c r="I477" s="20">
        <f t="shared" si="13"/>
        <v>96.09955917880079</v>
      </c>
    </row>
    <row r="478" spans="1:9" s="36" customFormat="1" ht="19.5" customHeight="1" hidden="1">
      <c r="A478" s="105" t="s">
        <v>537</v>
      </c>
      <c r="B478" s="159"/>
      <c r="C478" s="159" t="s">
        <v>638</v>
      </c>
      <c r="D478" s="159" t="s">
        <v>601</v>
      </c>
      <c r="E478" s="159" t="s">
        <v>538</v>
      </c>
      <c r="F478" s="157"/>
      <c r="G478" s="91">
        <f>SUM(G479)</f>
        <v>0</v>
      </c>
      <c r="H478" s="20">
        <f>SUM(H479)</f>
        <v>0</v>
      </c>
      <c r="I478" s="20" t="e">
        <f t="shared" si="13"/>
        <v>#DIV/0!</v>
      </c>
    </row>
    <row r="479" spans="1:9" s="36" customFormat="1" ht="19.5" customHeight="1" hidden="1">
      <c r="A479" s="105" t="s">
        <v>539</v>
      </c>
      <c r="B479" s="159"/>
      <c r="C479" s="159" t="s">
        <v>638</v>
      </c>
      <c r="D479" s="159" t="s">
        <v>601</v>
      </c>
      <c r="E479" s="159" t="s">
        <v>538</v>
      </c>
      <c r="F479" s="157" t="s">
        <v>540</v>
      </c>
      <c r="G479" s="91"/>
      <c r="H479" s="20"/>
      <c r="I479" s="20" t="e">
        <f t="shared" si="13"/>
        <v>#DIV/0!</v>
      </c>
    </row>
    <row r="480" spans="1:9" s="36" customFormat="1" ht="19.5" customHeight="1">
      <c r="A480" s="105" t="s">
        <v>464</v>
      </c>
      <c r="B480" s="165"/>
      <c r="C480" s="159" t="s">
        <v>638</v>
      </c>
      <c r="D480" s="159" t="s">
        <v>601</v>
      </c>
      <c r="E480" s="165" t="s">
        <v>541</v>
      </c>
      <c r="F480" s="166"/>
      <c r="G480" s="91">
        <f>SUM(G481+G486+G491+G494)+G489</f>
        <v>73431.7</v>
      </c>
      <c r="H480" s="20">
        <f>SUM(H481+H486+H491+H494)+H489</f>
        <v>71087.2</v>
      </c>
      <c r="I480" s="20">
        <f t="shared" si="13"/>
        <v>96.80723720137216</v>
      </c>
    </row>
    <row r="481" spans="1:9" s="36" customFormat="1" ht="19.5" customHeight="1">
      <c r="A481" s="109" t="s">
        <v>542</v>
      </c>
      <c r="B481" s="165"/>
      <c r="C481" s="159" t="s">
        <v>638</v>
      </c>
      <c r="D481" s="159" t="s">
        <v>601</v>
      </c>
      <c r="E481" s="165" t="s">
        <v>543</v>
      </c>
      <c r="F481" s="166"/>
      <c r="G481" s="91">
        <f>SUM(G482:G484)</f>
        <v>47720.1</v>
      </c>
      <c r="H481" s="20">
        <f>SUM(H483:H484)</f>
        <v>20816.7</v>
      </c>
      <c r="I481" s="20">
        <f t="shared" si="13"/>
        <v>43.62249869551824</v>
      </c>
    </row>
    <row r="482" spans="1:9" s="36" customFormat="1" ht="19.5" customHeight="1" hidden="1">
      <c r="A482" s="106" t="s">
        <v>351</v>
      </c>
      <c r="B482" s="165"/>
      <c r="C482" s="159" t="s">
        <v>638</v>
      </c>
      <c r="D482" s="159" t="s">
        <v>601</v>
      </c>
      <c r="E482" s="165" t="s">
        <v>543</v>
      </c>
      <c r="F482" s="166" t="s">
        <v>352</v>
      </c>
      <c r="G482" s="91"/>
      <c r="H482" s="20"/>
      <c r="I482" s="20"/>
    </row>
    <row r="483" spans="1:9" s="36" customFormat="1" ht="15">
      <c r="A483" s="106" t="s">
        <v>598</v>
      </c>
      <c r="B483" s="165"/>
      <c r="C483" s="159" t="s">
        <v>638</v>
      </c>
      <c r="D483" s="159" t="s">
        <v>601</v>
      </c>
      <c r="E483" s="165" t="s">
        <v>543</v>
      </c>
      <c r="F483" s="166" t="s">
        <v>599</v>
      </c>
      <c r="G483" s="91">
        <v>47720.1</v>
      </c>
      <c r="H483" s="20">
        <v>20816.7</v>
      </c>
      <c r="I483" s="20">
        <f t="shared" si="13"/>
        <v>43.62249869551824</v>
      </c>
    </row>
    <row r="484" spans="1:9" s="36" customFormat="1" ht="19.5" customHeight="1" hidden="1">
      <c r="A484" s="106" t="s">
        <v>410</v>
      </c>
      <c r="B484" s="165"/>
      <c r="C484" s="159" t="s">
        <v>638</v>
      </c>
      <c r="D484" s="159" t="s">
        <v>601</v>
      </c>
      <c r="E484" s="165" t="s">
        <v>544</v>
      </c>
      <c r="F484" s="166"/>
      <c r="G484" s="91">
        <f>SUM(G485)</f>
        <v>0</v>
      </c>
      <c r="H484" s="20">
        <f>SUM(H485)</f>
        <v>0</v>
      </c>
      <c r="I484" s="20" t="e">
        <f t="shared" si="13"/>
        <v>#DIV/0!</v>
      </c>
    </row>
    <row r="485" spans="1:9" s="36" customFormat="1" ht="15" hidden="1">
      <c r="A485" s="106" t="s">
        <v>598</v>
      </c>
      <c r="B485" s="165"/>
      <c r="C485" s="159" t="s">
        <v>638</v>
      </c>
      <c r="D485" s="159" t="s">
        <v>601</v>
      </c>
      <c r="E485" s="165" t="s">
        <v>544</v>
      </c>
      <c r="F485" s="166" t="s">
        <v>599</v>
      </c>
      <c r="G485" s="91"/>
      <c r="H485" s="20"/>
      <c r="I485" s="20" t="e">
        <f t="shared" si="13"/>
        <v>#DIV/0!</v>
      </c>
    </row>
    <row r="486" spans="1:9" s="36" customFormat="1" ht="19.5" customHeight="1" hidden="1">
      <c r="A486" s="109" t="s">
        <v>438</v>
      </c>
      <c r="B486" s="165"/>
      <c r="C486" s="159" t="s">
        <v>638</v>
      </c>
      <c r="D486" s="159" t="s">
        <v>601</v>
      </c>
      <c r="E486" s="165" t="s">
        <v>439</v>
      </c>
      <c r="F486" s="166"/>
      <c r="G486" s="91">
        <f>SUM(G488+G487)</f>
        <v>0</v>
      </c>
      <c r="H486" s="20">
        <f>SUM(H488)</f>
        <v>43097.5</v>
      </c>
      <c r="I486" s="20" t="e">
        <f t="shared" si="13"/>
        <v>#DIV/0!</v>
      </c>
    </row>
    <row r="487" spans="1:9" s="25" customFormat="1" ht="15" hidden="1">
      <c r="A487" s="106" t="s">
        <v>351</v>
      </c>
      <c r="B487" s="165"/>
      <c r="C487" s="159" t="s">
        <v>638</v>
      </c>
      <c r="D487" s="159" t="s">
        <v>601</v>
      </c>
      <c r="E487" s="165" t="s">
        <v>439</v>
      </c>
      <c r="F487" s="166" t="s">
        <v>352</v>
      </c>
      <c r="G487" s="91"/>
      <c r="H487" s="20"/>
      <c r="I487" s="20"/>
    </row>
    <row r="488" spans="1:9" s="36" customFormat="1" ht="19.5" customHeight="1" hidden="1">
      <c r="A488" s="106" t="s">
        <v>598</v>
      </c>
      <c r="B488" s="165"/>
      <c r="C488" s="159" t="s">
        <v>638</v>
      </c>
      <c r="D488" s="159" t="s">
        <v>601</v>
      </c>
      <c r="E488" s="165" t="s">
        <v>439</v>
      </c>
      <c r="F488" s="166" t="s">
        <v>599</v>
      </c>
      <c r="G488" s="91"/>
      <c r="H488" s="20">
        <v>43097.5</v>
      </c>
      <c r="I488" s="20" t="e">
        <f t="shared" si="13"/>
        <v>#DIV/0!</v>
      </c>
    </row>
    <row r="489" spans="1:9" ht="57" hidden="1">
      <c r="A489" s="106" t="s">
        <v>440</v>
      </c>
      <c r="B489" s="165"/>
      <c r="C489" s="159" t="s">
        <v>638</v>
      </c>
      <c r="D489" s="159" t="s">
        <v>601</v>
      </c>
      <c r="E489" s="165" t="s">
        <v>441</v>
      </c>
      <c r="F489" s="166"/>
      <c r="G489" s="91">
        <f>SUM(G490)</f>
        <v>0</v>
      </c>
      <c r="H489" s="20">
        <f>SUM(H490)</f>
        <v>482.9</v>
      </c>
      <c r="I489" s="20" t="e">
        <f t="shared" si="13"/>
        <v>#DIV/0!</v>
      </c>
    </row>
    <row r="490" spans="1:9" ht="19.5" customHeight="1" hidden="1">
      <c r="A490" s="106" t="s">
        <v>598</v>
      </c>
      <c r="B490" s="165"/>
      <c r="C490" s="159" t="s">
        <v>638</v>
      </c>
      <c r="D490" s="159" t="s">
        <v>601</v>
      </c>
      <c r="E490" s="165" t="s">
        <v>441</v>
      </c>
      <c r="F490" s="166" t="s">
        <v>599</v>
      </c>
      <c r="G490" s="91"/>
      <c r="H490" s="20">
        <v>482.9</v>
      </c>
      <c r="I490" s="20" t="e">
        <f t="shared" si="13"/>
        <v>#DIV/0!</v>
      </c>
    </row>
    <row r="491" spans="1:9" ht="19.5" customHeight="1">
      <c r="A491" s="109" t="s">
        <v>442</v>
      </c>
      <c r="B491" s="165"/>
      <c r="C491" s="159" t="s">
        <v>638</v>
      </c>
      <c r="D491" s="159" t="s">
        <v>601</v>
      </c>
      <c r="E491" s="165" t="s">
        <v>443</v>
      </c>
      <c r="F491" s="166"/>
      <c r="G491" s="91">
        <f>SUM(G493+G492)</f>
        <v>2000</v>
      </c>
      <c r="H491" s="20">
        <f>SUM(H493)</f>
        <v>489.8</v>
      </c>
      <c r="I491" s="20">
        <f t="shared" si="13"/>
        <v>24.490000000000002</v>
      </c>
    </row>
    <row r="492" spans="1:9" ht="19.5" customHeight="1" hidden="1">
      <c r="A492" s="106" t="s">
        <v>351</v>
      </c>
      <c r="B492" s="165"/>
      <c r="C492" s="159" t="s">
        <v>638</v>
      </c>
      <c r="D492" s="159" t="s">
        <v>601</v>
      </c>
      <c r="E492" s="165" t="s">
        <v>443</v>
      </c>
      <c r="F492" s="166" t="s">
        <v>352</v>
      </c>
      <c r="G492" s="91"/>
      <c r="H492" s="20"/>
      <c r="I492" s="20"/>
    </row>
    <row r="493" spans="1:9" s="84" customFormat="1" ht="19.5" customHeight="1">
      <c r="A493" s="106" t="s">
        <v>598</v>
      </c>
      <c r="B493" s="165"/>
      <c r="C493" s="159" t="s">
        <v>638</v>
      </c>
      <c r="D493" s="159" t="s">
        <v>601</v>
      </c>
      <c r="E493" s="165" t="s">
        <v>443</v>
      </c>
      <c r="F493" s="166" t="s">
        <v>599</v>
      </c>
      <c r="G493" s="91">
        <v>2000</v>
      </c>
      <c r="H493" s="20">
        <v>489.8</v>
      </c>
      <c r="I493" s="20">
        <f t="shared" si="13"/>
        <v>24.490000000000002</v>
      </c>
    </row>
    <row r="494" spans="1:9" s="84" customFormat="1" ht="18.75" customHeight="1">
      <c r="A494" s="109" t="s">
        <v>444</v>
      </c>
      <c r="B494" s="165"/>
      <c r="C494" s="159" t="s">
        <v>638</v>
      </c>
      <c r="D494" s="159" t="s">
        <v>601</v>
      </c>
      <c r="E494" s="165" t="s">
        <v>445</v>
      </c>
      <c r="F494" s="166"/>
      <c r="G494" s="91">
        <f>SUM(G496+G495)</f>
        <v>23711.6</v>
      </c>
      <c r="H494" s="20">
        <f>SUM(H496)</f>
        <v>6200.3</v>
      </c>
      <c r="I494" s="20">
        <f t="shared" si="13"/>
        <v>26.14880480439954</v>
      </c>
    </row>
    <row r="495" spans="1:9" s="84" customFormat="1" ht="15" hidden="1">
      <c r="A495" s="106" t="s">
        <v>351</v>
      </c>
      <c r="B495" s="165"/>
      <c r="C495" s="159" t="s">
        <v>638</v>
      </c>
      <c r="D495" s="159" t="s">
        <v>601</v>
      </c>
      <c r="E495" s="165" t="s">
        <v>445</v>
      </c>
      <c r="F495" s="166" t="s">
        <v>352</v>
      </c>
      <c r="G495" s="91"/>
      <c r="H495" s="20"/>
      <c r="I495" s="20"/>
    </row>
    <row r="496" spans="1:9" s="84" customFormat="1" ht="21.75" customHeight="1">
      <c r="A496" s="106" t="s">
        <v>598</v>
      </c>
      <c r="B496" s="165"/>
      <c r="C496" s="159" t="s">
        <v>638</v>
      </c>
      <c r="D496" s="159" t="s">
        <v>601</v>
      </c>
      <c r="E496" s="165" t="s">
        <v>445</v>
      </c>
      <c r="F496" s="166" t="s">
        <v>599</v>
      </c>
      <c r="G496" s="91">
        <f>25361.6-1650</f>
        <v>23711.6</v>
      </c>
      <c r="H496" s="20">
        <v>6200.3</v>
      </c>
      <c r="I496" s="20">
        <f t="shared" si="13"/>
        <v>26.14880480439954</v>
      </c>
    </row>
    <row r="497" spans="1:9" s="84" customFormat="1" ht="15">
      <c r="A497" s="109" t="s">
        <v>634</v>
      </c>
      <c r="B497" s="165"/>
      <c r="C497" s="159" t="s">
        <v>638</v>
      </c>
      <c r="D497" s="159" t="s">
        <v>601</v>
      </c>
      <c r="E497" s="165" t="s">
        <v>635</v>
      </c>
      <c r="F497" s="166"/>
      <c r="G497" s="91">
        <f>SUM(G498,G502)</f>
        <v>952.2</v>
      </c>
      <c r="H497" s="20">
        <f>SUM(H498)</f>
        <v>395.4</v>
      </c>
      <c r="I497" s="20">
        <f t="shared" si="13"/>
        <v>41.52488972904852</v>
      </c>
    </row>
    <row r="498" spans="1:9" s="84" customFormat="1" ht="28.5" hidden="1">
      <c r="A498" s="106" t="s">
        <v>448</v>
      </c>
      <c r="B498" s="165"/>
      <c r="C498" s="159" t="s">
        <v>638</v>
      </c>
      <c r="D498" s="159" t="s">
        <v>601</v>
      </c>
      <c r="E498" s="165" t="s">
        <v>456</v>
      </c>
      <c r="F498" s="166"/>
      <c r="G498" s="91">
        <f>SUM(G500)+G499</f>
        <v>0</v>
      </c>
      <c r="H498" s="20">
        <f>SUM(H500)+H499</f>
        <v>395.4</v>
      </c>
      <c r="I498" s="20" t="e">
        <f t="shared" si="13"/>
        <v>#DIV/0!</v>
      </c>
    </row>
    <row r="499" spans="1:9" s="84" customFormat="1" ht="19.5" customHeight="1" hidden="1">
      <c r="A499" s="106" t="s">
        <v>598</v>
      </c>
      <c r="B499" s="165"/>
      <c r="C499" s="159" t="s">
        <v>638</v>
      </c>
      <c r="D499" s="159" t="s">
        <v>601</v>
      </c>
      <c r="E499" s="165" t="s">
        <v>456</v>
      </c>
      <c r="F499" s="156" t="s">
        <v>599</v>
      </c>
      <c r="G499" s="92"/>
      <c r="H499" s="27">
        <v>395.4</v>
      </c>
      <c r="I499" s="20" t="e">
        <f t="shared" si="13"/>
        <v>#DIV/0!</v>
      </c>
    </row>
    <row r="500" spans="1:9" s="84" customFormat="1" ht="19.5" customHeight="1" hidden="1">
      <c r="A500" s="109" t="s">
        <v>446</v>
      </c>
      <c r="B500" s="170"/>
      <c r="C500" s="159" t="s">
        <v>638</v>
      </c>
      <c r="D500" s="159" t="s">
        <v>601</v>
      </c>
      <c r="E500" s="165" t="s">
        <v>447</v>
      </c>
      <c r="F500" s="166" t="s">
        <v>599</v>
      </c>
      <c r="G500" s="92"/>
      <c r="H500" s="27"/>
      <c r="I500" s="20" t="e">
        <f t="shared" si="13"/>
        <v>#DIV/0!</v>
      </c>
    </row>
    <row r="501" spans="1:9" s="84" customFormat="1" ht="19.5" customHeight="1" hidden="1">
      <c r="A501" s="127" t="s">
        <v>498</v>
      </c>
      <c r="B501" s="170"/>
      <c r="C501" s="159" t="s">
        <v>638</v>
      </c>
      <c r="D501" s="159" t="s">
        <v>601</v>
      </c>
      <c r="E501" s="165" t="s">
        <v>499</v>
      </c>
      <c r="F501" s="166" t="s">
        <v>599</v>
      </c>
      <c r="G501" s="92"/>
      <c r="H501" s="27"/>
      <c r="I501" s="20" t="e">
        <f t="shared" si="13"/>
        <v>#DIV/0!</v>
      </c>
    </row>
    <row r="502" spans="1:9" ht="42.75">
      <c r="A502" s="105" t="s">
        <v>674</v>
      </c>
      <c r="B502" s="155"/>
      <c r="C502" s="171" t="s">
        <v>638</v>
      </c>
      <c r="D502" s="171" t="s">
        <v>601</v>
      </c>
      <c r="E502" s="165" t="s">
        <v>675</v>
      </c>
      <c r="F502" s="157"/>
      <c r="G502" s="225">
        <f>SUM(G503)</f>
        <v>952.2</v>
      </c>
      <c r="H502" s="27"/>
      <c r="I502" s="20"/>
    </row>
    <row r="503" spans="1:9" ht="18.75" customHeight="1">
      <c r="A503" s="106" t="s">
        <v>598</v>
      </c>
      <c r="B503" s="155"/>
      <c r="C503" s="171" t="s">
        <v>638</v>
      </c>
      <c r="D503" s="171" t="s">
        <v>601</v>
      </c>
      <c r="E503" s="165" t="s">
        <v>675</v>
      </c>
      <c r="F503" s="157" t="s">
        <v>599</v>
      </c>
      <c r="G503" s="225">
        <v>952.2</v>
      </c>
      <c r="H503" s="27"/>
      <c r="I503" s="20"/>
    </row>
    <row r="504" spans="1:9" ht="21" customHeight="1" hidden="1">
      <c r="A504" s="105" t="s">
        <v>476</v>
      </c>
      <c r="B504" s="159"/>
      <c r="C504" s="159" t="s">
        <v>638</v>
      </c>
      <c r="D504" s="159" t="s">
        <v>239</v>
      </c>
      <c r="E504" s="159"/>
      <c r="F504" s="157"/>
      <c r="G504" s="91">
        <f>SUM(G505)</f>
        <v>0</v>
      </c>
      <c r="H504" s="20" t="e">
        <v>#REF!</v>
      </c>
      <c r="I504" s="20" t="e">
        <v>#REF!</v>
      </c>
    </row>
    <row r="505" spans="1:9" ht="21" customHeight="1" hidden="1">
      <c r="A505" s="131" t="s">
        <v>1018</v>
      </c>
      <c r="B505" s="159"/>
      <c r="C505" s="159" t="s">
        <v>638</v>
      </c>
      <c r="D505" s="159" t="s">
        <v>239</v>
      </c>
      <c r="E505" s="159" t="s">
        <v>478</v>
      </c>
      <c r="F505" s="157"/>
      <c r="G505" s="91">
        <f>SUM(G506)</f>
        <v>0</v>
      </c>
      <c r="H505" s="20" t="e">
        <v>#REF!</v>
      </c>
      <c r="I505" s="20" t="e">
        <v>#REF!</v>
      </c>
    </row>
    <row r="506" spans="1:9" s="25" customFormat="1" ht="31.5" customHeight="1" hidden="1">
      <c r="A506" s="106" t="s">
        <v>361</v>
      </c>
      <c r="B506" s="159"/>
      <c r="C506" s="159" t="s">
        <v>638</v>
      </c>
      <c r="D506" s="159" t="s">
        <v>239</v>
      </c>
      <c r="E506" s="159" t="s">
        <v>672</v>
      </c>
      <c r="F506" s="157"/>
      <c r="G506" s="91">
        <f>SUM(G507)</f>
        <v>0</v>
      </c>
      <c r="H506" s="20" t="e">
        <f>SUM(#REF!)</f>
        <v>#REF!</v>
      </c>
      <c r="I506" s="20" t="e">
        <f>SUM(H506/G506*100)</f>
        <v>#REF!</v>
      </c>
    </row>
    <row r="507" spans="1:9" s="25" customFormat="1" ht="31.5" customHeight="1" hidden="1">
      <c r="A507" s="106" t="s">
        <v>698</v>
      </c>
      <c r="B507" s="159"/>
      <c r="C507" s="159" t="s">
        <v>638</v>
      </c>
      <c r="D507" s="159" t="s">
        <v>239</v>
      </c>
      <c r="E507" s="159" t="s">
        <v>704</v>
      </c>
      <c r="F507" s="157"/>
      <c r="G507" s="91">
        <f>SUM(G508)</f>
        <v>0</v>
      </c>
      <c r="H507" s="20"/>
      <c r="I507" s="20"/>
    </row>
    <row r="508" spans="1:9" s="25" customFormat="1" ht="33" customHeight="1" hidden="1">
      <c r="A508" s="105" t="s">
        <v>699</v>
      </c>
      <c r="B508" s="159"/>
      <c r="C508" s="159" t="s">
        <v>638</v>
      </c>
      <c r="D508" s="159" t="s">
        <v>239</v>
      </c>
      <c r="E508" s="159" t="s">
        <v>700</v>
      </c>
      <c r="F508" s="157"/>
      <c r="G508" s="91">
        <f>SUM(G509)</f>
        <v>0</v>
      </c>
      <c r="H508" s="20"/>
      <c r="I508" s="20"/>
    </row>
    <row r="509" spans="1:9" s="25" customFormat="1" ht="15" hidden="1">
      <c r="A509" s="105" t="s">
        <v>711</v>
      </c>
      <c r="B509" s="159"/>
      <c r="C509" s="159" t="s">
        <v>638</v>
      </c>
      <c r="D509" s="159" t="s">
        <v>239</v>
      </c>
      <c r="E509" s="159" t="s">
        <v>700</v>
      </c>
      <c r="F509" s="157" t="s">
        <v>566</v>
      </c>
      <c r="G509" s="91"/>
      <c r="H509" s="20"/>
      <c r="I509" s="20"/>
    </row>
    <row r="510" spans="1:9" s="25" customFormat="1" ht="14.25" customHeight="1">
      <c r="A510" s="181" t="s">
        <v>500</v>
      </c>
      <c r="B510" s="159"/>
      <c r="C510" s="159" t="s">
        <v>638</v>
      </c>
      <c r="D510" s="159" t="s">
        <v>638</v>
      </c>
      <c r="E510" s="159"/>
      <c r="F510" s="157"/>
      <c r="G510" s="91">
        <f>SUM(G511+G514+G530+G518)+G526</f>
        <v>19484.7</v>
      </c>
      <c r="H510" s="20">
        <f>SUM(H511+H514+H530+H518)+H526</f>
        <v>7261.6</v>
      </c>
      <c r="I510" s="20">
        <f t="shared" si="13"/>
        <v>37.268215574271096</v>
      </c>
    </row>
    <row r="511" spans="1:9" s="25" customFormat="1" ht="28.5" hidden="1">
      <c r="A511" s="105" t="s">
        <v>937</v>
      </c>
      <c r="B511" s="159"/>
      <c r="C511" s="159" t="s">
        <v>638</v>
      </c>
      <c r="D511" s="159" t="s">
        <v>638</v>
      </c>
      <c r="E511" s="159" t="s">
        <v>183</v>
      </c>
      <c r="F511" s="157"/>
      <c r="G511" s="91">
        <f>SUM(G512+G515)</f>
        <v>0</v>
      </c>
      <c r="H511" s="20">
        <f>SUM(H512+H515)</f>
        <v>0</v>
      </c>
      <c r="I511" s="20" t="e">
        <f t="shared" si="13"/>
        <v>#DIV/0!</v>
      </c>
    </row>
    <row r="512" spans="1:9" s="25" customFormat="1" ht="28.5" hidden="1">
      <c r="A512" s="105" t="s">
        <v>894</v>
      </c>
      <c r="B512" s="159"/>
      <c r="C512" s="159" t="s">
        <v>638</v>
      </c>
      <c r="D512" s="159" t="s">
        <v>638</v>
      </c>
      <c r="E512" s="159" t="s">
        <v>640</v>
      </c>
      <c r="F512" s="157"/>
      <c r="G512" s="91">
        <f>SUM(G513)</f>
        <v>0</v>
      </c>
      <c r="H512" s="20">
        <f>SUM(H513)</f>
        <v>0</v>
      </c>
      <c r="I512" s="20" t="e">
        <f t="shared" si="13"/>
        <v>#DIV/0!</v>
      </c>
    </row>
    <row r="513" spans="1:9" s="25" customFormat="1" ht="15" hidden="1">
      <c r="A513" s="105" t="s">
        <v>504</v>
      </c>
      <c r="B513" s="159"/>
      <c r="C513" s="159" t="s">
        <v>638</v>
      </c>
      <c r="D513" s="159" t="s">
        <v>638</v>
      </c>
      <c r="E513" s="159" t="s">
        <v>640</v>
      </c>
      <c r="F513" s="157" t="s">
        <v>642</v>
      </c>
      <c r="G513" s="91"/>
      <c r="H513" s="20"/>
      <c r="I513" s="20" t="e">
        <f aca="true" t="shared" si="14" ref="I513:I594">SUM(H513/G513*100)</f>
        <v>#DIV/0!</v>
      </c>
    </row>
    <row r="514" spans="1:9" s="25" customFormat="1" ht="15" hidden="1">
      <c r="A514" s="110" t="s">
        <v>505</v>
      </c>
      <c r="B514" s="159"/>
      <c r="C514" s="159" t="s">
        <v>638</v>
      </c>
      <c r="D514" s="159" t="s">
        <v>638</v>
      </c>
      <c r="E514" s="159" t="s">
        <v>506</v>
      </c>
      <c r="F514" s="157"/>
      <c r="G514" s="91"/>
      <c r="H514" s="20"/>
      <c r="I514" s="20" t="e">
        <f t="shared" si="14"/>
        <v>#DIV/0!</v>
      </c>
    </row>
    <row r="515" spans="1:9" s="25" customFormat="1" ht="15" hidden="1">
      <c r="A515" s="110" t="s">
        <v>184</v>
      </c>
      <c r="B515" s="159"/>
      <c r="C515" s="159" t="s">
        <v>638</v>
      </c>
      <c r="D515" s="159" t="s">
        <v>638</v>
      </c>
      <c r="E515" s="159" t="s">
        <v>501</v>
      </c>
      <c r="F515" s="157"/>
      <c r="G515" s="91">
        <f>SUM(G517)</f>
        <v>0</v>
      </c>
      <c r="H515" s="20">
        <f>SUM(H517)</f>
        <v>0</v>
      </c>
      <c r="I515" s="20" t="e">
        <f t="shared" si="14"/>
        <v>#DIV/0!</v>
      </c>
    </row>
    <row r="516" spans="1:9" s="25" customFormat="1" ht="27" customHeight="1" hidden="1">
      <c r="A516" s="110" t="s">
        <v>502</v>
      </c>
      <c r="B516" s="159"/>
      <c r="C516" s="159" t="s">
        <v>638</v>
      </c>
      <c r="D516" s="159" t="s">
        <v>638</v>
      </c>
      <c r="E516" s="159" t="s">
        <v>503</v>
      </c>
      <c r="F516" s="157"/>
      <c r="G516" s="91">
        <f>SUM(G517)</f>
        <v>0</v>
      </c>
      <c r="H516" s="20">
        <f>SUM(H517)</f>
        <v>0</v>
      </c>
      <c r="I516" s="20" t="e">
        <f t="shared" si="14"/>
        <v>#DIV/0!</v>
      </c>
    </row>
    <row r="517" spans="1:9" s="25" customFormat="1" ht="15" hidden="1">
      <c r="A517" s="105" t="s">
        <v>504</v>
      </c>
      <c r="B517" s="159"/>
      <c r="C517" s="159" t="s">
        <v>638</v>
      </c>
      <c r="D517" s="159" t="s">
        <v>638</v>
      </c>
      <c r="E517" s="159" t="s">
        <v>503</v>
      </c>
      <c r="F517" s="157" t="s">
        <v>642</v>
      </c>
      <c r="G517" s="92"/>
      <c r="H517" s="27"/>
      <c r="I517" s="20" t="e">
        <f t="shared" si="14"/>
        <v>#DIV/0!</v>
      </c>
    </row>
    <row r="518" spans="1:9" s="25" customFormat="1" ht="15" hidden="1">
      <c r="A518" s="110" t="s">
        <v>340</v>
      </c>
      <c r="B518" s="172"/>
      <c r="C518" s="159" t="s">
        <v>638</v>
      </c>
      <c r="D518" s="159" t="s">
        <v>638</v>
      </c>
      <c r="E518" s="172" t="s">
        <v>341</v>
      </c>
      <c r="F518" s="157"/>
      <c r="G518" s="92">
        <f>SUM(G519+G524)</f>
        <v>0</v>
      </c>
      <c r="H518" s="27">
        <f>SUM(H519+H524)</f>
        <v>4731.200000000001</v>
      </c>
      <c r="I518" s="20" t="e">
        <f t="shared" si="14"/>
        <v>#DIV/0!</v>
      </c>
    </row>
    <row r="519" spans="1:9" s="25" customFormat="1" ht="33" customHeight="1" hidden="1">
      <c r="A519" s="105" t="s">
        <v>225</v>
      </c>
      <c r="B519" s="172"/>
      <c r="C519" s="159" t="s">
        <v>638</v>
      </c>
      <c r="D519" s="159" t="s">
        <v>638</v>
      </c>
      <c r="E519" s="172" t="s">
        <v>226</v>
      </c>
      <c r="F519" s="157"/>
      <c r="G519" s="92">
        <f>SUM(G520+G522)</f>
        <v>0</v>
      </c>
      <c r="H519" s="27">
        <f>SUM(H520+H522)</f>
        <v>4731.200000000001</v>
      </c>
      <c r="I519" s="20" t="e">
        <f t="shared" si="14"/>
        <v>#DIV/0!</v>
      </c>
    </row>
    <row r="520" spans="1:9" s="25" customFormat="1" ht="23.25" customHeight="1" hidden="1">
      <c r="A520" s="110" t="s">
        <v>453</v>
      </c>
      <c r="B520" s="159"/>
      <c r="C520" s="159" t="s">
        <v>638</v>
      </c>
      <c r="D520" s="159" t="s">
        <v>638</v>
      </c>
      <c r="E520" s="172" t="s">
        <v>454</v>
      </c>
      <c r="F520" s="157"/>
      <c r="G520" s="92">
        <f>SUM(G521,G529)</f>
        <v>0</v>
      </c>
      <c r="H520" s="27">
        <f>SUM(H521,H529)</f>
        <v>4731.200000000001</v>
      </c>
      <c r="I520" s="20" t="e">
        <f t="shared" si="14"/>
        <v>#DIV/0!</v>
      </c>
    </row>
    <row r="521" spans="1:9" s="25" customFormat="1" ht="15" hidden="1">
      <c r="A521" s="105" t="s">
        <v>504</v>
      </c>
      <c r="B521" s="159"/>
      <c r="C521" s="159" t="s">
        <v>638</v>
      </c>
      <c r="D521" s="159" t="s">
        <v>638</v>
      </c>
      <c r="E521" s="172" t="s">
        <v>454</v>
      </c>
      <c r="F521" s="157" t="s">
        <v>642</v>
      </c>
      <c r="G521" s="92"/>
      <c r="H521" s="27">
        <v>2740.8</v>
      </c>
      <c r="I521" s="20" t="e">
        <f t="shared" si="14"/>
        <v>#DIV/0!</v>
      </c>
    </row>
    <row r="522" spans="1:9" s="25" customFormat="1" ht="28.5" hidden="1">
      <c r="A522" s="105" t="s">
        <v>508</v>
      </c>
      <c r="B522" s="159"/>
      <c r="C522" s="159" t="s">
        <v>638</v>
      </c>
      <c r="D522" s="159" t="s">
        <v>638</v>
      </c>
      <c r="E522" s="172" t="s">
        <v>509</v>
      </c>
      <c r="F522" s="157"/>
      <c r="G522" s="92">
        <f>SUM(G523)</f>
        <v>0</v>
      </c>
      <c r="H522" s="27">
        <f>SUM(H523)</f>
        <v>0</v>
      </c>
      <c r="I522" s="20" t="e">
        <f t="shared" si="14"/>
        <v>#DIV/0!</v>
      </c>
    </row>
    <row r="523" spans="1:9" s="25" customFormat="1" ht="15" hidden="1">
      <c r="A523" s="105" t="s">
        <v>504</v>
      </c>
      <c r="B523" s="159"/>
      <c r="C523" s="159" t="s">
        <v>638</v>
      </c>
      <c r="D523" s="159" t="s">
        <v>638</v>
      </c>
      <c r="E523" s="172" t="s">
        <v>509</v>
      </c>
      <c r="F523" s="157" t="s">
        <v>642</v>
      </c>
      <c r="G523" s="92"/>
      <c r="H523" s="27"/>
      <c r="I523" s="20" t="e">
        <f t="shared" si="14"/>
        <v>#DIV/0!</v>
      </c>
    </row>
    <row r="524" spans="1:9" s="25" customFormat="1" ht="28.5" hidden="1">
      <c r="A524" s="105" t="s">
        <v>510</v>
      </c>
      <c r="B524" s="159"/>
      <c r="C524" s="159" t="s">
        <v>638</v>
      </c>
      <c r="D524" s="159" t="s">
        <v>638</v>
      </c>
      <c r="E524" s="172" t="s">
        <v>511</v>
      </c>
      <c r="F524" s="157"/>
      <c r="G524" s="92">
        <f>SUM(G525)</f>
        <v>0</v>
      </c>
      <c r="H524" s="27">
        <f>SUM(H525)</f>
        <v>0</v>
      </c>
      <c r="I524" s="20" t="e">
        <f t="shared" si="14"/>
        <v>#DIV/0!</v>
      </c>
    </row>
    <row r="525" spans="1:9" s="25" customFormat="1" ht="15" hidden="1">
      <c r="A525" s="105" t="s">
        <v>504</v>
      </c>
      <c r="B525" s="159"/>
      <c r="C525" s="159" t="s">
        <v>638</v>
      </c>
      <c r="D525" s="159" t="s">
        <v>638</v>
      </c>
      <c r="E525" s="172" t="s">
        <v>511</v>
      </c>
      <c r="F525" s="157" t="s">
        <v>642</v>
      </c>
      <c r="G525" s="92"/>
      <c r="H525" s="27"/>
      <c r="I525" s="20" t="e">
        <f t="shared" si="14"/>
        <v>#DIV/0!</v>
      </c>
    </row>
    <row r="526" spans="1:9" s="25" customFormat="1" ht="28.5" hidden="1">
      <c r="A526" s="105" t="s">
        <v>512</v>
      </c>
      <c r="B526" s="159"/>
      <c r="C526" s="159" t="s">
        <v>638</v>
      </c>
      <c r="D526" s="159" t="s">
        <v>638</v>
      </c>
      <c r="E526" s="172" t="s">
        <v>513</v>
      </c>
      <c r="F526" s="157"/>
      <c r="G526" s="92">
        <f>SUM(G527)</f>
        <v>0</v>
      </c>
      <c r="H526" s="27">
        <f>SUM(H527)</f>
        <v>0</v>
      </c>
      <c r="I526" s="20" t="e">
        <f t="shared" si="14"/>
        <v>#DIV/0!</v>
      </c>
    </row>
    <row r="527" spans="1:9" s="25" customFormat="1" ht="15" hidden="1">
      <c r="A527" s="105" t="s">
        <v>514</v>
      </c>
      <c r="B527" s="159"/>
      <c r="C527" s="159" t="s">
        <v>638</v>
      </c>
      <c r="D527" s="159" t="s">
        <v>638</v>
      </c>
      <c r="E527" s="172" t="s">
        <v>515</v>
      </c>
      <c r="F527" s="157"/>
      <c r="G527" s="92">
        <f>SUM(G528)</f>
        <v>0</v>
      </c>
      <c r="H527" s="27">
        <f>SUM(H528)</f>
        <v>0</v>
      </c>
      <c r="I527" s="20" t="e">
        <f t="shared" si="14"/>
        <v>#DIV/0!</v>
      </c>
    </row>
    <row r="528" spans="1:9" s="25" customFormat="1" ht="15" hidden="1">
      <c r="A528" s="105" t="s">
        <v>504</v>
      </c>
      <c r="B528" s="159"/>
      <c r="C528" s="159" t="s">
        <v>638</v>
      </c>
      <c r="D528" s="159" t="s">
        <v>638</v>
      </c>
      <c r="E528" s="172" t="s">
        <v>515</v>
      </c>
      <c r="F528" s="157" t="s">
        <v>642</v>
      </c>
      <c r="G528" s="92"/>
      <c r="H528" s="27"/>
      <c r="I528" s="20" t="e">
        <f t="shared" si="14"/>
        <v>#DIV/0!</v>
      </c>
    </row>
    <row r="529" spans="1:9" s="25" customFormat="1" ht="15" hidden="1">
      <c r="A529" s="105" t="s">
        <v>598</v>
      </c>
      <c r="B529" s="159"/>
      <c r="C529" s="159" t="s">
        <v>638</v>
      </c>
      <c r="D529" s="159" t="s">
        <v>638</v>
      </c>
      <c r="E529" s="172" t="s">
        <v>454</v>
      </c>
      <c r="F529" s="157" t="s">
        <v>599</v>
      </c>
      <c r="G529" s="92"/>
      <c r="H529" s="27">
        <v>1990.4</v>
      </c>
      <c r="I529" s="20" t="e">
        <f t="shared" si="14"/>
        <v>#DIV/0!</v>
      </c>
    </row>
    <row r="530" spans="1:9" s="25" customFormat="1" ht="20.25" customHeight="1">
      <c r="A530" s="105" t="s">
        <v>634</v>
      </c>
      <c r="B530" s="159"/>
      <c r="C530" s="159" t="s">
        <v>638</v>
      </c>
      <c r="D530" s="159" t="s">
        <v>638</v>
      </c>
      <c r="E530" s="159" t="s">
        <v>635</v>
      </c>
      <c r="F530" s="157"/>
      <c r="G530" s="91">
        <f>SUM(G531+G534+G540+G546+G537)</f>
        <v>19484.7</v>
      </c>
      <c r="H530" s="20">
        <f>SUM(H531+H534+H540+H546)</f>
        <v>2530.4</v>
      </c>
      <c r="I530" s="20">
        <f t="shared" si="14"/>
        <v>12.986599742361957</v>
      </c>
    </row>
    <row r="531" spans="1:9" s="25" customFormat="1" ht="19.5" customHeight="1">
      <c r="A531" s="138" t="s">
        <v>516</v>
      </c>
      <c r="B531" s="172"/>
      <c r="C531" s="172" t="s">
        <v>638</v>
      </c>
      <c r="D531" s="172" t="s">
        <v>638</v>
      </c>
      <c r="E531" s="172" t="s">
        <v>517</v>
      </c>
      <c r="F531" s="157"/>
      <c r="G531" s="205">
        <f>SUM(G532)</f>
        <v>2920</v>
      </c>
      <c r="H531" s="31">
        <v>492.1</v>
      </c>
      <c r="I531" s="20">
        <f t="shared" si="14"/>
        <v>16.852739726027398</v>
      </c>
    </row>
    <row r="532" spans="1:9" s="25" customFormat="1" ht="19.5" customHeight="1">
      <c r="A532" s="109" t="s">
        <v>641</v>
      </c>
      <c r="B532" s="172"/>
      <c r="C532" s="172" t="s">
        <v>638</v>
      </c>
      <c r="D532" s="172" t="s">
        <v>638</v>
      </c>
      <c r="E532" s="172" t="s">
        <v>517</v>
      </c>
      <c r="F532" s="157" t="s">
        <v>642</v>
      </c>
      <c r="G532" s="205">
        <v>2920</v>
      </c>
      <c r="H532" s="31"/>
      <c r="I532" s="20"/>
    </row>
    <row r="533" spans="1:9" s="25" customFormat="1" ht="42.75" hidden="1">
      <c r="A533" s="106" t="s">
        <v>362</v>
      </c>
      <c r="B533" s="172"/>
      <c r="C533" s="172" t="s">
        <v>638</v>
      </c>
      <c r="D533" s="172" t="s">
        <v>638</v>
      </c>
      <c r="E533" s="172" t="s">
        <v>517</v>
      </c>
      <c r="F533" s="182" t="s">
        <v>485</v>
      </c>
      <c r="G533" s="91"/>
      <c r="H533" s="20">
        <f>SUM(H534)</f>
        <v>0</v>
      </c>
      <c r="I533" s="20" t="e">
        <f t="shared" si="14"/>
        <v>#DIV/0!</v>
      </c>
    </row>
    <row r="534" spans="1:9" s="25" customFormat="1" ht="28.5">
      <c r="A534" s="164" t="s">
        <v>356</v>
      </c>
      <c r="B534" s="172"/>
      <c r="C534" s="172" t="s">
        <v>638</v>
      </c>
      <c r="D534" s="172" t="s">
        <v>638</v>
      </c>
      <c r="E534" s="172" t="s">
        <v>355</v>
      </c>
      <c r="F534" s="157"/>
      <c r="G534" s="92">
        <f>SUM(G535)+G536</f>
        <v>7712.1</v>
      </c>
      <c r="H534" s="27"/>
      <c r="I534" s="20">
        <f t="shared" si="14"/>
        <v>0</v>
      </c>
    </row>
    <row r="535" spans="1:9" s="32" customFormat="1" ht="21" customHeight="1">
      <c r="A535" s="109" t="s">
        <v>641</v>
      </c>
      <c r="B535" s="165"/>
      <c r="C535" s="165" t="s">
        <v>638</v>
      </c>
      <c r="D535" s="165" t="s">
        <v>638</v>
      </c>
      <c r="E535" s="165" t="s">
        <v>355</v>
      </c>
      <c r="F535" s="156" t="s">
        <v>642</v>
      </c>
      <c r="G535" s="91">
        <v>1413</v>
      </c>
      <c r="H535" s="20"/>
      <c r="I535" s="20"/>
    </row>
    <row r="536" spans="1:9" s="25" customFormat="1" ht="15">
      <c r="A536" s="106" t="s">
        <v>711</v>
      </c>
      <c r="B536" s="159"/>
      <c r="C536" s="159" t="s">
        <v>638</v>
      </c>
      <c r="D536" s="159" t="s">
        <v>638</v>
      </c>
      <c r="E536" s="159" t="s">
        <v>355</v>
      </c>
      <c r="F536" s="157" t="s">
        <v>566</v>
      </c>
      <c r="G536" s="91">
        <v>6299.1</v>
      </c>
      <c r="H536" s="20">
        <f>SUM(H531)</f>
        <v>492.1</v>
      </c>
      <c r="I536" s="20">
        <f>SUM(H536/G536*100)</f>
        <v>7.812227143560191</v>
      </c>
    </row>
    <row r="537" spans="1:9" s="25" customFormat="1" ht="52.5" customHeight="1">
      <c r="A537" s="164" t="s">
        <v>358</v>
      </c>
      <c r="B537" s="172"/>
      <c r="C537" s="172" t="s">
        <v>638</v>
      </c>
      <c r="D537" s="172" t="s">
        <v>638</v>
      </c>
      <c r="E537" s="172" t="s">
        <v>357</v>
      </c>
      <c r="F537" s="157"/>
      <c r="G537" s="92">
        <f>SUM(G538)</f>
        <v>500</v>
      </c>
      <c r="H537" s="27"/>
      <c r="I537" s="20">
        <f>SUM(H537/G537*100)</f>
        <v>0</v>
      </c>
    </row>
    <row r="538" spans="1:9" s="32" customFormat="1" ht="23.25" customHeight="1">
      <c r="A538" s="109" t="s">
        <v>641</v>
      </c>
      <c r="B538" s="165"/>
      <c r="C538" s="165" t="s">
        <v>638</v>
      </c>
      <c r="D538" s="165" t="s">
        <v>638</v>
      </c>
      <c r="E538" s="165" t="s">
        <v>357</v>
      </c>
      <c r="F538" s="156" t="s">
        <v>642</v>
      </c>
      <c r="G538" s="91">
        <v>500</v>
      </c>
      <c r="H538" s="20"/>
      <c r="I538" s="20"/>
    </row>
    <row r="539" spans="1:9" s="25" customFormat="1" ht="42.75" hidden="1">
      <c r="A539" s="106" t="s">
        <v>362</v>
      </c>
      <c r="B539" s="159"/>
      <c r="C539" s="159" t="s">
        <v>638</v>
      </c>
      <c r="D539" s="159" t="s">
        <v>638</v>
      </c>
      <c r="E539" s="159" t="s">
        <v>357</v>
      </c>
      <c r="F539" s="157" t="s">
        <v>485</v>
      </c>
      <c r="G539" s="91"/>
      <c r="H539" s="20">
        <f>SUM(H534)</f>
        <v>0</v>
      </c>
      <c r="I539" s="20" t="e">
        <f>SUM(H539/G539*100)</f>
        <v>#DIV/0!</v>
      </c>
    </row>
    <row r="540" spans="1:9" s="25" customFormat="1" ht="28.5">
      <c r="A540" s="105" t="s">
        <v>212</v>
      </c>
      <c r="B540" s="159"/>
      <c r="C540" s="159" t="s">
        <v>638</v>
      </c>
      <c r="D540" s="159" t="s">
        <v>638</v>
      </c>
      <c r="E540" s="159" t="s">
        <v>462</v>
      </c>
      <c r="F540" s="157"/>
      <c r="G540" s="91">
        <f>SUM(G541+G544)</f>
        <v>2852.6</v>
      </c>
      <c r="H540" s="20">
        <f>SUM(H541+H544)</f>
        <v>2038.3</v>
      </c>
      <c r="I540" s="20">
        <f t="shared" si="14"/>
        <v>71.45411203814065</v>
      </c>
    </row>
    <row r="541" spans="1:9" s="25" customFormat="1" ht="15">
      <c r="A541" s="138" t="s">
        <v>453</v>
      </c>
      <c r="B541" s="172"/>
      <c r="C541" s="159" t="s">
        <v>638</v>
      </c>
      <c r="D541" s="159" t="s">
        <v>638</v>
      </c>
      <c r="E541" s="159" t="s">
        <v>463</v>
      </c>
      <c r="F541" s="157"/>
      <c r="G541" s="205">
        <f>SUM(G542)</f>
        <v>2852.6</v>
      </c>
      <c r="H541" s="31">
        <f>SUM(H542:H543)</f>
        <v>1157.5</v>
      </c>
      <c r="I541" s="20">
        <f t="shared" si="14"/>
        <v>40.57701745775783</v>
      </c>
    </row>
    <row r="542" spans="1:9" s="25" customFormat="1" ht="14.25" customHeight="1">
      <c r="A542" s="109" t="s">
        <v>641</v>
      </c>
      <c r="B542" s="159"/>
      <c r="C542" s="159" t="s">
        <v>638</v>
      </c>
      <c r="D542" s="159" t="s">
        <v>638</v>
      </c>
      <c r="E542" s="159" t="s">
        <v>463</v>
      </c>
      <c r="F542" s="157" t="s">
        <v>642</v>
      </c>
      <c r="G542" s="92">
        <v>2852.6</v>
      </c>
      <c r="H542" s="27">
        <v>1157.5</v>
      </c>
      <c r="I542" s="20">
        <f t="shared" si="14"/>
        <v>40.57701745775783</v>
      </c>
    </row>
    <row r="543" spans="1:9" ht="15" hidden="1">
      <c r="A543" s="106" t="s">
        <v>598</v>
      </c>
      <c r="B543" s="165"/>
      <c r="C543" s="159" t="s">
        <v>638</v>
      </c>
      <c r="D543" s="159" t="s">
        <v>638</v>
      </c>
      <c r="E543" s="155" t="s">
        <v>463</v>
      </c>
      <c r="F543" s="166" t="s">
        <v>599</v>
      </c>
      <c r="G543" s="91"/>
      <c r="H543" s="20"/>
      <c r="I543" s="20" t="e">
        <f t="shared" si="14"/>
        <v>#DIV/0!</v>
      </c>
    </row>
    <row r="544" spans="1:9" ht="28.5" hidden="1">
      <c r="A544" s="109" t="s">
        <v>508</v>
      </c>
      <c r="B544" s="155"/>
      <c r="C544" s="159" t="s">
        <v>638</v>
      </c>
      <c r="D544" s="159" t="s">
        <v>638</v>
      </c>
      <c r="E544" s="155" t="s">
        <v>196</v>
      </c>
      <c r="F544" s="158"/>
      <c r="G544" s="91">
        <f>SUM(G545)</f>
        <v>0</v>
      </c>
      <c r="H544" s="20">
        <f>SUM(H545)</f>
        <v>880.8</v>
      </c>
      <c r="I544" s="20" t="e">
        <f t="shared" si="14"/>
        <v>#DIV/0!</v>
      </c>
    </row>
    <row r="545" spans="1:9" ht="15" hidden="1">
      <c r="A545" s="109" t="s">
        <v>641</v>
      </c>
      <c r="B545" s="155"/>
      <c r="C545" s="159" t="s">
        <v>638</v>
      </c>
      <c r="D545" s="159" t="s">
        <v>638</v>
      </c>
      <c r="E545" s="155" t="s">
        <v>196</v>
      </c>
      <c r="F545" s="157" t="s">
        <v>642</v>
      </c>
      <c r="G545" s="92"/>
      <c r="H545" s="27">
        <v>880.8</v>
      </c>
      <c r="I545" s="20" t="e">
        <f t="shared" si="14"/>
        <v>#DIV/0!</v>
      </c>
    </row>
    <row r="546" spans="1:9" ht="28.5">
      <c r="A546" s="109" t="s">
        <v>669</v>
      </c>
      <c r="B546" s="155"/>
      <c r="C546" s="159" t="s">
        <v>638</v>
      </c>
      <c r="D546" s="159" t="s">
        <v>638</v>
      </c>
      <c r="E546" s="165" t="s">
        <v>475</v>
      </c>
      <c r="F546" s="157"/>
      <c r="G546" s="92">
        <f>SUM(G547)</f>
        <v>5500</v>
      </c>
      <c r="H546" s="27">
        <f>SUM(H547)</f>
        <v>0</v>
      </c>
      <c r="I546" s="20">
        <f t="shared" si="14"/>
        <v>0</v>
      </c>
    </row>
    <row r="547" spans="1:9" ht="15">
      <c r="A547" s="109" t="s">
        <v>641</v>
      </c>
      <c r="B547" s="155"/>
      <c r="C547" s="159" t="s">
        <v>638</v>
      </c>
      <c r="D547" s="159" t="s">
        <v>638</v>
      </c>
      <c r="E547" s="165" t="s">
        <v>475</v>
      </c>
      <c r="F547" s="157" t="s">
        <v>642</v>
      </c>
      <c r="G547" s="92">
        <v>5500</v>
      </c>
      <c r="H547" s="27"/>
      <c r="I547" s="20">
        <f t="shared" si="14"/>
        <v>0</v>
      </c>
    </row>
    <row r="548" spans="1:9" ht="20.25" customHeight="1">
      <c r="A548" s="106" t="s">
        <v>519</v>
      </c>
      <c r="B548" s="155"/>
      <c r="C548" s="155" t="s">
        <v>132</v>
      </c>
      <c r="D548" s="155"/>
      <c r="E548" s="155"/>
      <c r="F548" s="156"/>
      <c r="G548" s="91">
        <f>SUM(G549)+G553</f>
        <v>10598.2</v>
      </c>
      <c r="H548" s="20">
        <f>SUM(H549)+H553</f>
        <v>2547</v>
      </c>
      <c r="I548" s="20">
        <f t="shared" si="14"/>
        <v>24.03238285746636</v>
      </c>
    </row>
    <row r="549" spans="1:9" ht="22.5" customHeight="1">
      <c r="A549" s="106" t="s">
        <v>520</v>
      </c>
      <c r="B549" s="155"/>
      <c r="C549" s="155" t="s">
        <v>132</v>
      </c>
      <c r="D549" s="155" t="s">
        <v>601</v>
      </c>
      <c r="E549" s="155"/>
      <c r="F549" s="156"/>
      <c r="G549" s="91">
        <f>SUM(G552)</f>
        <v>5125.2</v>
      </c>
      <c r="H549" s="20">
        <f>SUM(H552)</f>
        <v>2199.7</v>
      </c>
      <c r="I549" s="20">
        <f t="shared" si="14"/>
        <v>42.919300710216184</v>
      </c>
    </row>
    <row r="550" spans="1:9" ht="15.75" customHeight="1">
      <c r="A550" s="106" t="s">
        <v>521</v>
      </c>
      <c r="B550" s="155"/>
      <c r="C550" s="155" t="s">
        <v>132</v>
      </c>
      <c r="D550" s="155" t="s">
        <v>601</v>
      </c>
      <c r="E550" s="155" t="s">
        <v>522</v>
      </c>
      <c r="F550" s="156"/>
      <c r="G550" s="91">
        <f>SUM(G551)</f>
        <v>5125.2</v>
      </c>
      <c r="H550" s="20">
        <f>SUM(H551)</f>
        <v>2199.7</v>
      </c>
      <c r="I550" s="20">
        <f t="shared" si="14"/>
        <v>42.919300710216184</v>
      </c>
    </row>
    <row r="551" spans="1:9" ht="28.5">
      <c r="A551" s="106" t="s">
        <v>482</v>
      </c>
      <c r="B551" s="180"/>
      <c r="C551" s="180" t="s">
        <v>132</v>
      </c>
      <c r="D551" s="180" t="s">
        <v>601</v>
      </c>
      <c r="E551" s="180" t="s">
        <v>523</v>
      </c>
      <c r="F551" s="158"/>
      <c r="G551" s="91">
        <f>SUM(G552)</f>
        <v>5125.2</v>
      </c>
      <c r="H551" s="20">
        <f>SUM(H552)</f>
        <v>2199.7</v>
      </c>
      <c r="I551" s="20">
        <f t="shared" si="14"/>
        <v>42.919300710216184</v>
      </c>
    </row>
    <row r="552" spans="1:9" ht="21.75" customHeight="1">
      <c r="A552" s="108" t="s">
        <v>483</v>
      </c>
      <c r="B552" s="155"/>
      <c r="C552" s="155" t="s">
        <v>132</v>
      </c>
      <c r="D552" s="155" t="s">
        <v>601</v>
      </c>
      <c r="E552" s="180" t="s">
        <v>523</v>
      </c>
      <c r="F552" s="158" t="s">
        <v>933</v>
      </c>
      <c r="G552" s="91">
        <v>5125.2</v>
      </c>
      <c r="H552" s="20">
        <v>2199.7</v>
      </c>
      <c r="I552" s="20">
        <f t="shared" si="14"/>
        <v>42.919300710216184</v>
      </c>
    </row>
    <row r="553" spans="1:9" ht="27.75" customHeight="1">
      <c r="A553" s="128" t="s">
        <v>524</v>
      </c>
      <c r="B553" s="155"/>
      <c r="C553" s="183" t="s">
        <v>132</v>
      </c>
      <c r="D553" s="183" t="s">
        <v>638</v>
      </c>
      <c r="E553" s="183"/>
      <c r="F553" s="184"/>
      <c r="G553" s="92">
        <f>SUM(G554+G557)</f>
        <v>5473</v>
      </c>
      <c r="H553" s="27">
        <f>SUM(H554+H557)</f>
        <v>347.3</v>
      </c>
      <c r="I553" s="20">
        <f t="shared" si="14"/>
        <v>6.345697058286132</v>
      </c>
    </row>
    <row r="554" spans="1:9" ht="19.5" customHeight="1" hidden="1">
      <c r="A554" s="133" t="s">
        <v>340</v>
      </c>
      <c r="B554" s="155"/>
      <c r="C554" s="183" t="s">
        <v>132</v>
      </c>
      <c r="D554" s="183" t="s">
        <v>638</v>
      </c>
      <c r="E554" s="155" t="s">
        <v>341</v>
      </c>
      <c r="F554" s="184"/>
      <c r="G554" s="92">
        <f>SUM(G555)</f>
        <v>0</v>
      </c>
      <c r="H554" s="27">
        <f>SUM(H555)</f>
        <v>0</v>
      </c>
      <c r="I554" s="20" t="e">
        <f t="shared" si="14"/>
        <v>#DIV/0!</v>
      </c>
    </row>
    <row r="555" spans="1:9" ht="19.5" customHeight="1" hidden="1">
      <c r="A555" s="133" t="s">
        <v>525</v>
      </c>
      <c r="B555" s="155"/>
      <c r="C555" s="183" t="s">
        <v>132</v>
      </c>
      <c r="D555" s="183" t="s">
        <v>638</v>
      </c>
      <c r="E555" s="155" t="s">
        <v>526</v>
      </c>
      <c r="F555" s="158"/>
      <c r="G555" s="92">
        <f>SUM(G556)</f>
        <v>0</v>
      </c>
      <c r="H555" s="27">
        <f>SUM(H556)</f>
        <v>0</v>
      </c>
      <c r="I555" s="20" t="e">
        <f t="shared" si="14"/>
        <v>#DIV/0!</v>
      </c>
    </row>
    <row r="556" spans="1:9" ht="19.5" customHeight="1" hidden="1">
      <c r="A556" s="105" t="s">
        <v>504</v>
      </c>
      <c r="B556" s="155"/>
      <c r="C556" s="183" t="s">
        <v>132</v>
      </c>
      <c r="D556" s="183" t="s">
        <v>638</v>
      </c>
      <c r="E556" s="155" t="s">
        <v>526</v>
      </c>
      <c r="F556" s="158" t="s">
        <v>642</v>
      </c>
      <c r="G556" s="92"/>
      <c r="H556" s="27"/>
      <c r="I556" s="20" t="e">
        <f t="shared" si="14"/>
        <v>#DIV/0!</v>
      </c>
    </row>
    <row r="557" spans="1:9" ht="20.25" customHeight="1">
      <c r="A557" s="106" t="s">
        <v>634</v>
      </c>
      <c r="B557" s="155"/>
      <c r="C557" s="183" t="s">
        <v>132</v>
      </c>
      <c r="D557" s="183" t="s">
        <v>638</v>
      </c>
      <c r="E557" s="155" t="s">
        <v>635</v>
      </c>
      <c r="F557" s="184"/>
      <c r="G557" s="92">
        <f>SUM(G561+G565)</f>
        <v>5473</v>
      </c>
      <c r="H557" s="27">
        <f>SUM(H561+H565)</f>
        <v>347.3</v>
      </c>
      <c r="I557" s="20">
        <f t="shared" si="14"/>
        <v>6.345697058286132</v>
      </c>
    </row>
    <row r="558" spans="1:9" ht="19.5" customHeight="1" hidden="1">
      <c r="A558" s="133" t="s">
        <v>527</v>
      </c>
      <c r="B558" s="155"/>
      <c r="C558" s="183" t="s">
        <v>132</v>
      </c>
      <c r="D558" s="183" t="s">
        <v>638</v>
      </c>
      <c r="E558" s="155" t="s">
        <v>635</v>
      </c>
      <c r="F558" s="184" t="s">
        <v>528</v>
      </c>
      <c r="G558" s="92"/>
      <c r="H558" s="27"/>
      <c r="I558" s="20" t="e">
        <f t="shared" si="14"/>
        <v>#DIV/0!</v>
      </c>
    </row>
    <row r="559" spans="1:9" ht="19.5" customHeight="1" hidden="1">
      <c r="A559" s="139" t="s">
        <v>529</v>
      </c>
      <c r="B559" s="155"/>
      <c r="C559" s="183" t="s">
        <v>132</v>
      </c>
      <c r="D559" s="183" t="s">
        <v>638</v>
      </c>
      <c r="E559" s="160" t="s">
        <v>635</v>
      </c>
      <c r="F559" s="185" t="s">
        <v>528</v>
      </c>
      <c r="G559" s="207"/>
      <c r="H559" s="34"/>
      <c r="I559" s="20" t="e">
        <f t="shared" si="14"/>
        <v>#DIV/0!</v>
      </c>
    </row>
    <row r="560" spans="1:9" ht="19.5" customHeight="1" hidden="1">
      <c r="A560" s="108" t="s">
        <v>932</v>
      </c>
      <c r="B560" s="155"/>
      <c r="C560" s="183" t="s">
        <v>132</v>
      </c>
      <c r="D560" s="183" t="s">
        <v>638</v>
      </c>
      <c r="E560" s="183" t="s">
        <v>635</v>
      </c>
      <c r="F560" s="184" t="s">
        <v>933</v>
      </c>
      <c r="G560" s="92"/>
      <c r="H560" s="27"/>
      <c r="I560" s="20" t="e">
        <f t="shared" si="14"/>
        <v>#DIV/0!</v>
      </c>
    </row>
    <row r="561" spans="1:9" ht="27.75" customHeight="1">
      <c r="A561" s="128" t="s">
        <v>303</v>
      </c>
      <c r="B561" s="155"/>
      <c r="C561" s="183" t="s">
        <v>132</v>
      </c>
      <c r="D561" s="183" t="s">
        <v>638</v>
      </c>
      <c r="E561" s="183" t="s">
        <v>530</v>
      </c>
      <c r="F561" s="184"/>
      <c r="G561" s="92">
        <f>SUM(G562:G564)</f>
        <v>5473</v>
      </c>
      <c r="H561" s="27">
        <f>SUM(H562:H564)</f>
        <v>347.3</v>
      </c>
      <c r="I561" s="20">
        <f t="shared" si="14"/>
        <v>6.345697058286132</v>
      </c>
    </row>
    <row r="562" spans="1:9" ht="15">
      <c r="A562" s="109" t="s">
        <v>641</v>
      </c>
      <c r="B562" s="155"/>
      <c r="C562" s="183" t="s">
        <v>132</v>
      </c>
      <c r="D562" s="183" t="s">
        <v>638</v>
      </c>
      <c r="E562" s="183" t="s">
        <v>530</v>
      </c>
      <c r="F562" s="158" t="s">
        <v>642</v>
      </c>
      <c r="G562" s="92">
        <v>3163</v>
      </c>
      <c r="H562" s="27"/>
      <c r="I562" s="20">
        <f t="shared" si="14"/>
        <v>0</v>
      </c>
    </row>
    <row r="563" spans="1:9" ht="15" hidden="1">
      <c r="A563" s="105" t="s">
        <v>351</v>
      </c>
      <c r="B563" s="155"/>
      <c r="C563" s="171" t="s">
        <v>132</v>
      </c>
      <c r="D563" s="171" t="s">
        <v>638</v>
      </c>
      <c r="E563" s="171" t="s">
        <v>176</v>
      </c>
      <c r="F563" s="157" t="s">
        <v>352</v>
      </c>
      <c r="G563" s="92">
        <f>1300-1300</f>
        <v>0</v>
      </c>
      <c r="H563" s="27"/>
      <c r="I563" s="20"/>
    </row>
    <row r="564" spans="1:9" ht="15">
      <c r="A564" s="108" t="s">
        <v>531</v>
      </c>
      <c r="B564" s="155"/>
      <c r="C564" s="183" t="s">
        <v>132</v>
      </c>
      <c r="D564" s="183" t="s">
        <v>638</v>
      </c>
      <c r="E564" s="183" t="s">
        <v>530</v>
      </c>
      <c r="F564" s="184" t="s">
        <v>532</v>
      </c>
      <c r="G564" s="92">
        <v>2310</v>
      </c>
      <c r="H564" s="27">
        <v>347.3</v>
      </c>
      <c r="I564" s="20">
        <f t="shared" si="14"/>
        <v>15.034632034632034</v>
      </c>
    </row>
    <row r="565" spans="1:9" ht="19.5" customHeight="1" hidden="1">
      <c r="A565" s="128" t="s">
        <v>533</v>
      </c>
      <c r="B565" s="155"/>
      <c r="C565" s="183" t="s">
        <v>132</v>
      </c>
      <c r="D565" s="183" t="s">
        <v>638</v>
      </c>
      <c r="E565" s="183" t="s">
        <v>534</v>
      </c>
      <c r="F565" s="184"/>
      <c r="G565" s="92">
        <f>SUM(G566:G567)</f>
        <v>0</v>
      </c>
      <c r="H565" s="27">
        <f>SUM(H566:H567)</f>
        <v>0</v>
      </c>
      <c r="I565" s="20" t="e">
        <f t="shared" si="14"/>
        <v>#DIV/0!</v>
      </c>
    </row>
    <row r="566" spans="1:9" ht="19.5" customHeight="1" hidden="1">
      <c r="A566" s="105" t="s">
        <v>504</v>
      </c>
      <c r="B566" s="155"/>
      <c r="C566" s="183" t="s">
        <v>132</v>
      </c>
      <c r="D566" s="183" t="s">
        <v>638</v>
      </c>
      <c r="E566" s="183" t="s">
        <v>534</v>
      </c>
      <c r="F566" s="158" t="s">
        <v>642</v>
      </c>
      <c r="G566" s="92"/>
      <c r="H566" s="27"/>
      <c r="I566" s="20" t="e">
        <f t="shared" si="14"/>
        <v>#DIV/0!</v>
      </c>
    </row>
    <row r="567" spans="1:9" ht="19.5" customHeight="1" hidden="1">
      <c r="A567" s="108" t="s">
        <v>531</v>
      </c>
      <c r="B567" s="155"/>
      <c r="C567" s="183" t="s">
        <v>132</v>
      </c>
      <c r="D567" s="183" t="s">
        <v>638</v>
      </c>
      <c r="E567" s="183" t="s">
        <v>534</v>
      </c>
      <c r="F567" s="184" t="s">
        <v>535</v>
      </c>
      <c r="G567" s="92"/>
      <c r="H567" s="27"/>
      <c r="I567" s="20" t="e">
        <f t="shared" si="14"/>
        <v>#DIV/0!</v>
      </c>
    </row>
    <row r="568" spans="1:9" ht="14.25" customHeight="1">
      <c r="A568" s="106" t="s">
        <v>613</v>
      </c>
      <c r="B568" s="155"/>
      <c r="C568" s="183" t="s">
        <v>614</v>
      </c>
      <c r="D568" s="183"/>
      <c r="E568" s="183"/>
      <c r="F568" s="184"/>
      <c r="G568" s="92">
        <f>SUM(G569)+G583+G578</f>
        <v>3670</v>
      </c>
      <c r="H568" s="27" t="e">
        <f>SUM(H569+#REF!+#REF!+#REF!)</f>
        <v>#REF!</v>
      </c>
      <c r="I568" s="20" t="e">
        <f t="shared" si="14"/>
        <v>#REF!</v>
      </c>
    </row>
    <row r="569" spans="1:9" ht="15">
      <c r="A569" s="106" t="s">
        <v>64</v>
      </c>
      <c r="B569" s="174"/>
      <c r="C569" s="171" t="s">
        <v>614</v>
      </c>
      <c r="D569" s="171" t="s">
        <v>237</v>
      </c>
      <c r="E569" s="171"/>
      <c r="F569" s="161"/>
      <c r="G569" s="91">
        <f>SUM(G573)+G570</f>
        <v>2670</v>
      </c>
      <c r="H569" s="20">
        <f>SUM(H573)</f>
        <v>0</v>
      </c>
      <c r="I569" s="20">
        <f t="shared" si="14"/>
        <v>0</v>
      </c>
    </row>
    <row r="570" spans="1:9" s="36" customFormat="1" ht="15.75" customHeight="1" hidden="1">
      <c r="A570" s="106" t="s">
        <v>340</v>
      </c>
      <c r="B570" s="120"/>
      <c r="C570" s="180" t="s">
        <v>614</v>
      </c>
      <c r="D570" s="180" t="s">
        <v>237</v>
      </c>
      <c r="E570" s="159" t="s">
        <v>341</v>
      </c>
      <c r="F570" s="158"/>
      <c r="G570" s="91">
        <f>SUM(G571)</f>
        <v>0</v>
      </c>
      <c r="H570" s="20">
        <f>SUM(H571)</f>
        <v>9549.8</v>
      </c>
      <c r="I570" s="20" t="e">
        <f>SUM(H570/G570*100)</f>
        <v>#DIV/0!</v>
      </c>
    </row>
    <row r="571" spans="1:9" s="36" customFormat="1" ht="57" customHeight="1" hidden="1">
      <c r="A571" s="106" t="s">
        <v>659</v>
      </c>
      <c r="B571" s="120"/>
      <c r="C571" s="180" t="s">
        <v>614</v>
      </c>
      <c r="D571" s="180" t="s">
        <v>237</v>
      </c>
      <c r="E571" s="159" t="s">
        <v>80</v>
      </c>
      <c r="F571" s="158"/>
      <c r="G571" s="91">
        <f>SUM(G572)</f>
        <v>0</v>
      </c>
      <c r="H571" s="20">
        <f>SUM(H572)</f>
        <v>9549.8</v>
      </c>
      <c r="I571" s="20" t="e">
        <f>SUM(H571/G571*100)</f>
        <v>#DIV/0!</v>
      </c>
    </row>
    <row r="572" spans="1:9" ht="18.75" customHeight="1" hidden="1">
      <c r="A572" s="109" t="s">
        <v>641</v>
      </c>
      <c r="B572" s="120"/>
      <c r="C572" s="180" t="s">
        <v>614</v>
      </c>
      <c r="D572" s="180" t="s">
        <v>237</v>
      </c>
      <c r="E572" s="159" t="s">
        <v>80</v>
      </c>
      <c r="F572" s="158" t="s">
        <v>642</v>
      </c>
      <c r="G572" s="91"/>
      <c r="H572" s="20">
        <v>9549.8</v>
      </c>
      <c r="I572" s="20" t="e">
        <f>SUM(H572/G572*100)</f>
        <v>#DIV/0!</v>
      </c>
    </row>
    <row r="573" spans="1:9" ht="15">
      <c r="A573" s="106" t="s">
        <v>634</v>
      </c>
      <c r="B573" s="174"/>
      <c r="C573" s="171" t="s">
        <v>614</v>
      </c>
      <c r="D573" s="171" t="s">
        <v>237</v>
      </c>
      <c r="E573" s="171" t="s">
        <v>635</v>
      </c>
      <c r="F573" s="161"/>
      <c r="G573" s="91">
        <f>SUM(G574)</f>
        <v>2670</v>
      </c>
      <c r="H573" s="20">
        <f>SUM(H574)</f>
        <v>0</v>
      </c>
      <c r="I573" s="20">
        <f t="shared" si="14"/>
        <v>0</v>
      </c>
    </row>
    <row r="574" spans="1:9" ht="28.5">
      <c r="A574" s="106" t="s">
        <v>257</v>
      </c>
      <c r="B574" s="174"/>
      <c r="C574" s="171" t="s">
        <v>614</v>
      </c>
      <c r="D574" s="171" t="s">
        <v>237</v>
      </c>
      <c r="E574" s="171" t="s">
        <v>98</v>
      </c>
      <c r="F574" s="161"/>
      <c r="G574" s="91">
        <f>SUM(G575)</f>
        <v>2670</v>
      </c>
      <c r="H574" s="20">
        <f>SUM(H575)</f>
        <v>0</v>
      </c>
      <c r="I574" s="20">
        <f t="shared" si="14"/>
        <v>0</v>
      </c>
    </row>
    <row r="575" spans="1:9" ht="15" customHeight="1">
      <c r="A575" s="109" t="s">
        <v>641</v>
      </c>
      <c r="B575" s="120"/>
      <c r="C575" s="186" t="s">
        <v>614</v>
      </c>
      <c r="D575" s="186" t="s">
        <v>237</v>
      </c>
      <c r="E575" s="171" t="s">
        <v>98</v>
      </c>
      <c r="F575" s="187" t="s">
        <v>642</v>
      </c>
      <c r="G575" s="91">
        <v>2670</v>
      </c>
      <c r="H575" s="20"/>
      <c r="I575" s="20">
        <f t="shared" si="14"/>
        <v>0</v>
      </c>
    </row>
    <row r="576" spans="1:9" ht="28.5" hidden="1">
      <c r="A576" s="109" t="s">
        <v>669</v>
      </c>
      <c r="B576" s="155"/>
      <c r="C576" s="159" t="s">
        <v>638</v>
      </c>
      <c r="D576" s="159" t="s">
        <v>638</v>
      </c>
      <c r="E576" s="165" t="s">
        <v>475</v>
      </c>
      <c r="F576" s="157"/>
      <c r="G576" s="92">
        <f>SUM(G577)</f>
        <v>0</v>
      </c>
      <c r="H576" s="20"/>
      <c r="I576" s="20"/>
    </row>
    <row r="577" spans="1:9" ht="15" hidden="1">
      <c r="A577" s="109" t="s">
        <v>641</v>
      </c>
      <c r="B577" s="155"/>
      <c r="C577" s="159" t="s">
        <v>638</v>
      </c>
      <c r="D577" s="159" t="s">
        <v>638</v>
      </c>
      <c r="E577" s="165" t="s">
        <v>475</v>
      </c>
      <c r="F577" s="157" t="s">
        <v>642</v>
      </c>
      <c r="G577" s="92"/>
      <c r="H577" s="20"/>
      <c r="I577" s="20"/>
    </row>
    <row r="578" spans="1:9" s="25" customFormat="1" ht="21" customHeight="1" hidden="1">
      <c r="A578" s="105" t="s">
        <v>81</v>
      </c>
      <c r="B578" s="159"/>
      <c r="C578" s="159" t="s">
        <v>614</v>
      </c>
      <c r="D578" s="159" t="s">
        <v>239</v>
      </c>
      <c r="E578" s="159"/>
      <c r="F578" s="157"/>
      <c r="G578" s="91">
        <f>SUM(G579)</f>
        <v>0</v>
      </c>
      <c r="H578" s="20" t="e">
        <v>#REF!</v>
      </c>
      <c r="I578" s="20" t="e">
        <v>#REF!</v>
      </c>
    </row>
    <row r="579" spans="1:9" s="25" customFormat="1" ht="21" customHeight="1" hidden="1">
      <c r="A579" s="181" t="s">
        <v>701</v>
      </c>
      <c r="B579" s="159"/>
      <c r="C579" s="159" t="s">
        <v>614</v>
      </c>
      <c r="D579" s="159" t="s">
        <v>239</v>
      </c>
      <c r="E579" s="159" t="s">
        <v>85</v>
      </c>
      <c r="F579" s="157"/>
      <c r="G579" s="91">
        <f>SUM(G580)</f>
        <v>0</v>
      </c>
      <c r="H579" s="20" t="e">
        <v>#REF!</v>
      </c>
      <c r="I579" s="20" t="e">
        <v>#REF!</v>
      </c>
    </row>
    <row r="580" spans="1:9" s="25" customFormat="1" ht="31.5" customHeight="1" hidden="1">
      <c r="A580" s="105" t="s">
        <v>361</v>
      </c>
      <c r="B580" s="159"/>
      <c r="C580" s="159" t="s">
        <v>614</v>
      </c>
      <c r="D580" s="159" t="s">
        <v>239</v>
      </c>
      <c r="E580" s="159" t="s">
        <v>575</v>
      </c>
      <c r="F580" s="157"/>
      <c r="G580" s="91">
        <f>SUM(G581)</f>
        <v>0</v>
      </c>
      <c r="H580" s="20" t="e">
        <f>SUM(#REF!)</f>
        <v>#REF!</v>
      </c>
      <c r="I580" s="20" t="e">
        <f>SUM(H580/G580*100)</f>
        <v>#REF!</v>
      </c>
    </row>
    <row r="581" spans="1:9" s="25" customFormat="1" ht="33" customHeight="1" hidden="1">
      <c r="A581" s="105" t="s">
        <v>703</v>
      </c>
      <c r="B581" s="159"/>
      <c r="C581" s="159" t="s">
        <v>614</v>
      </c>
      <c r="D581" s="159" t="s">
        <v>239</v>
      </c>
      <c r="E581" s="159" t="s">
        <v>702</v>
      </c>
      <c r="F581" s="157"/>
      <c r="G581" s="91">
        <f>SUM(G582)</f>
        <v>0</v>
      </c>
      <c r="H581" s="20"/>
      <c r="I581" s="20"/>
    </row>
    <row r="582" spans="1:9" s="25" customFormat="1" ht="15" hidden="1">
      <c r="A582" s="105" t="s">
        <v>711</v>
      </c>
      <c r="B582" s="159"/>
      <c r="C582" s="159" t="s">
        <v>614</v>
      </c>
      <c r="D582" s="159" t="s">
        <v>239</v>
      </c>
      <c r="E582" s="159" t="s">
        <v>702</v>
      </c>
      <c r="F582" s="157" t="s">
        <v>566</v>
      </c>
      <c r="G582" s="91"/>
      <c r="H582" s="20"/>
      <c r="I582" s="20"/>
    </row>
    <row r="583" spans="1:9" ht="15">
      <c r="A583" s="106" t="s">
        <v>893</v>
      </c>
      <c r="B583" s="155"/>
      <c r="C583" s="159" t="s">
        <v>614</v>
      </c>
      <c r="D583" s="159" t="s">
        <v>1</v>
      </c>
      <c r="E583" s="159"/>
      <c r="F583" s="157"/>
      <c r="G583" s="91">
        <f>SUM(G584)</f>
        <v>1000</v>
      </c>
      <c r="H583" s="20"/>
      <c r="I583" s="20"/>
    </row>
    <row r="584" spans="1:9" ht="15">
      <c r="A584" s="108" t="s">
        <v>634</v>
      </c>
      <c r="B584" s="188"/>
      <c r="C584" s="159" t="s">
        <v>614</v>
      </c>
      <c r="D584" s="159" t="s">
        <v>1</v>
      </c>
      <c r="E584" s="159" t="s">
        <v>635</v>
      </c>
      <c r="F584" s="158"/>
      <c r="G584" s="91">
        <f>SUM(G585)</f>
        <v>1000</v>
      </c>
      <c r="H584" s="20"/>
      <c r="I584" s="20"/>
    </row>
    <row r="585" spans="1:9" ht="28.5">
      <c r="A585" s="109" t="s">
        <v>669</v>
      </c>
      <c r="B585" s="120"/>
      <c r="C585" s="159" t="s">
        <v>614</v>
      </c>
      <c r="D585" s="159" t="s">
        <v>1</v>
      </c>
      <c r="E585" s="159" t="s">
        <v>475</v>
      </c>
      <c r="F585" s="187"/>
      <c r="G585" s="91">
        <f>SUM(G586)</f>
        <v>1000</v>
      </c>
      <c r="H585" s="20"/>
      <c r="I585" s="20"/>
    </row>
    <row r="586" spans="1:9" ht="15">
      <c r="A586" s="109" t="s">
        <v>641</v>
      </c>
      <c r="B586" s="120"/>
      <c r="C586" s="159" t="s">
        <v>614</v>
      </c>
      <c r="D586" s="159" t="s">
        <v>1</v>
      </c>
      <c r="E586" s="159" t="s">
        <v>475</v>
      </c>
      <c r="F586" s="187" t="s">
        <v>642</v>
      </c>
      <c r="G586" s="91">
        <v>1000</v>
      </c>
      <c r="H586" s="20"/>
      <c r="I586" s="20"/>
    </row>
    <row r="587" spans="1:9" ht="15" hidden="1">
      <c r="A587" s="109"/>
      <c r="B587" s="120"/>
      <c r="C587" s="186"/>
      <c r="D587" s="186"/>
      <c r="E587" s="171"/>
      <c r="F587" s="187"/>
      <c r="G587" s="91"/>
      <c r="H587" s="20"/>
      <c r="I587" s="20"/>
    </row>
    <row r="588" spans="1:9" s="25" customFormat="1" ht="19.5" customHeight="1" hidden="1">
      <c r="A588" s="106" t="s">
        <v>48</v>
      </c>
      <c r="B588" s="155"/>
      <c r="C588" s="155" t="s">
        <v>1</v>
      </c>
      <c r="D588" s="155"/>
      <c r="E588" s="155"/>
      <c r="F588" s="156"/>
      <c r="G588" s="91">
        <f>SUM(G589+G612+G603+G599+G595)</f>
        <v>0</v>
      </c>
      <c r="H588" s="20">
        <f>SUM(H589+H612+H603+H599+H595)</f>
        <v>5636.900000000001</v>
      </c>
      <c r="I588" s="20" t="e">
        <f t="shared" si="14"/>
        <v>#DIV/0!</v>
      </c>
    </row>
    <row r="589" spans="1:9" s="25" customFormat="1" ht="19.5" customHeight="1" hidden="1">
      <c r="A589" s="106" t="s">
        <v>754</v>
      </c>
      <c r="B589" s="155"/>
      <c r="C589" s="159" t="s">
        <v>1</v>
      </c>
      <c r="D589" s="159" t="s">
        <v>237</v>
      </c>
      <c r="E589" s="159"/>
      <c r="F589" s="157"/>
      <c r="G589" s="91">
        <f>SUM(G592)+G590</f>
        <v>0</v>
      </c>
      <c r="H589" s="20">
        <f>SUM(H592)+H590</f>
        <v>3221.3</v>
      </c>
      <c r="I589" s="20" t="e">
        <f t="shared" si="14"/>
        <v>#DIV/0!</v>
      </c>
    </row>
    <row r="590" spans="1:9" s="2" customFormat="1" ht="19.5" customHeight="1" hidden="1">
      <c r="A590" s="106" t="s">
        <v>128</v>
      </c>
      <c r="B590" s="155"/>
      <c r="C590" s="159" t="s">
        <v>1</v>
      </c>
      <c r="D590" s="159" t="s">
        <v>237</v>
      </c>
      <c r="E590" s="159" t="s">
        <v>129</v>
      </c>
      <c r="F590" s="157"/>
      <c r="G590" s="91">
        <f>SUM(G591)</f>
        <v>0</v>
      </c>
      <c r="H590" s="20">
        <f>SUM(H591)</f>
        <v>0</v>
      </c>
      <c r="I590" s="20" t="e">
        <f t="shared" si="14"/>
        <v>#DIV/0!</v>
      </c>
    </row>
    <row r="591" spans="1:9" s="2" customFormat="1" ht="19.5" customHeight="1" hidden="1">
      <c r="A591" s="108" t="s">
        <v>932</v>
      </c>
      <c r="B591" s="155"/>
      <c r="C591" s="159" t="s">
        <v>1</v>
      </c>
      <c r="D591" s="159" t="s">
        <v>237</v>
      </c>
      <c r="E591" s="159" t="s">
        <v>129</v>
      </c>
      <c r="F591" s="157" t="s">
        <v>933</v>
      </c>
      <c r="G591" s="91"/>
      <c r="H591" s="20"/>
      <c r="I591" s="20" t="e">
        <f t="shared" si="14"/>
        <v>#DIV/0!</v>
      </c>
    </row>
    <row r="592" spans="1:9" s="2" customFormat="1" ht="15" hidden="1">
      <c r="A592" s="106" t="s">
        <v>791</v>
      </c>
      <c r="B592" s="155"/>
      <c r="C592" s="159" t="s">
        <v>1</v>
      </c>
      <c r="D592" s="159" t="s">
        <v>237</v>
      </c>
      <c r="E592" s="159" t="s">
        <v>758</v>
      </c>
      <c r="F592" s="157"/>
      <c r="G592" s="91">
        <f>SUM(G593)</f>
        <v>0</v>
      </c>
      <c r="H592" s="20">
        <f>SUM(H593)</f>
        <v>3221.3</v>
      </c>
      <c r="I592" s="20" t="e">
        <f t="shared" si="14"/>
        <v>#DIV/0!</v>
      </c>
    </row>
    <row r="593" spans="1:9" s="2" customFormat="1" ht="19.5" customHeight="1" hidden="1">
      <c r="A593" s="106" t="s">
        <v>930</v>
      </c>
      <c r="B593" s="155"/>
      <c r="C593" s="159" t="s">
        <v>1</v>
      </c>
      <c r="D593" s="159" t="s">
        <v>237</v>
      </c>
      <c r="E593" s="159" t="s">
        <v>759</v>
      </c>
      <c r="F593" s="157"/>
      <c r="G593" s="91">
        <f>SUM(G594)</f>
        <v>0</v>
      </c>
      <c r="H593" s="20">
        <f>SUM(H594)</f>
        <v>3221.3</v>
      </c>
      <c r="I593" s="20" t="e">
        <f t="shared" si="14"/>
        <v>#DIV/0!</v>
      </c>
    </row>
    <row r="594" spans="1:9" s="2" customFormat="1" ht="19.5" customHeight="1" hidden="1">
      <c r="A594" s="108" t="s">
        <v>932</v>
      </c>
      <c r="B594" s="180"/>
      <c r="C594" s="180" t="s">
        <v>1</v>
      </c>
      <c r="D594" s="180" t="s">
        <v>237</v>
      </c>
      <c r="E594" s="180" t="s">
        <v>759</v>
      </c>
      <c r="F594" s="158" t="s">
        <v>933</v>
      </c>
      <c r="G594" s="91"/>
      <c r="H594" s="20">
        <v>3221.3</v>
      </c>
      <c r="I594" s="20" t="e">
        <f t="shared" si="14"/>
        <v>#DIV/0!</v>
      </c>
    </row>
    <row r="595" spans="1:9" s="2" customFormat="1" ht="15" hidden="1">
      <c r="A595" s="106" t="s">
        <v>911</v>
      </c>
      <c r="B595" s="155"/>
      <c r="C595" s="159" t="s">
        <v>1</v>
      </c>
      <c r="D595" s="159" t="s">
        <v>239</v>
      </c>
      <c r="E595" s="159"/>
      <c r="F595" s="157"/>
      <c r="G595" s="91">
        <f>SUM(G596)</f>
        <v>0</v>
      </c>
      <c r="H595" s="20">
        <f>SUM(H596)</f>
        <v>23.80000000000001</v>
      </c>
      <c r="I595" s="20" t="e">
        <f aca="true" t="shared" si="15" ref="I595:I662">SUM(H595/G595*100)</f>
        <v>#DIV/0!</v>
      </c>
    </row>
    <row r="596" spans="1:9" s="2" customFormat="1" ht="15" hidden="1">
      <c r="A596" s="106" t="s">
        <v>791</v>
      </c>
      <c r="B596" s="155"/>
      <c r="C596" s="159" t="s">
        <v>1</v>
      </c>
      <c r="D596" s="159" t="s">
        <v>239</v>
      </c>
      <c r="E596" s="159" t="s">
        <v>758</v>
      </c>
      <c r="F596" s="157"/>
      <c r="G596" s="91">
        <f>SUM(G597)</f>
        <v>0</v>
      </c>
      <c r="H596" s="20">
        <f>SUM(H597)</f>
        <v>23.80000000000001</v>
      </c>
      <c r="I596" s="20" t="e">
        <f t="shared" si="15"/>
        <v>#DIV/0!</v>
      </c>
    </row>
    <row r="597" spans="1:9" s="2" customFormat="1" ht="15" hidden="1">
      <c r="A597" s="106" t="s">
        <v>930</v>
      </c>
      <c r="B597" s="155"/>
      <c r="C597" s="159" t="s">
        <v>1</v>
      </c>
      <c r="D597" s="159" t="s">
        <v>239</v>
      </c>
      <c r="E597" s="159" t="s">
        <v>759</v>
      </c>
      <c r="F597" s="157"/>
      <c r="G597" s="91">
        <f>SUM(G598:G601)</f>
        <v>0</v>
      </c>
      <c r="H597" s="20">
        <f>SUM(H598:H601)</f>
        <v>23.80000000000001</v>
      </c>
      <c r="I597" s="20" t="e">
        <f t="shared" si="15"/>
        <v>#DIV/0!</v>
      </c>
    </row>
    <row r="598" spans="1:9" s="2" customFormat="1" ht="15" hidden="1">
      <c r="A598" s="108" t="s">
        <v>932</v>
      </c>
      <c r="B598" s="155"/>
      <c r="C598" s="159" t="s">
        <v>1</v>
      </c>
      <c r="D598" s="159" t="s">
        <v>239</v>
      </c>
      <c r="E598" s="159" t="s">
        <v>759</v>
      </c>
      <c r="F598" s="157" t="s">
        <v>933</v>
      </c>
      <c r="G598" s="91"/>
      <c r="H598" s="20">
        <f>500-476.2</f>
        <v>23.80000000000001</v>
      </c>
      <c r="I598" s="20" t="e">
        <f t="shared" si="15"/>
        <v>#DIV/0!</v>
      </c>
    </row>
    <row r="599" spans="1:9" s="2" customFormat="1" ht="19.5" customHeight="1" hidden="1">
      <c r="A599" s="108" t="s">
        <v>921</v>
      </c>
      <c r="B599" s="155"/>
      <c r="C599" s="159" t="s">
        <v>1</v>
      </c>
      <c r="D599" s="159" t="s">
        <v>625</v>
      </c>
      <c r="E599" s="159"/>
      <c r="F599" s="157"/>
      <c r="G599" s="91">
        <f aca="true" t="shared" si="16" ref="G599:H601">SUM(G600)</f>
        <v>0</v>
      </c>
      <c r="H599" s="20">
        <f t="shared" si="16"/>
        <v>0</v>
      </c>
      <c r="I599" s="20" t="e">
        <f t="shared" si="15"/>
        <v>#DIV/0!</v>
      </c>
    </row>
    <row r="600" spans="1:9" s="2" customFormat="1" ht="15" hidden="1">
      <c r="A600" s="108" t="s">
        <v>922</v>
      </c>
      <c r="B600" s="180"/>
      <c r="C600" s="159" t="s">
        <v>1</v>
      </c>
      <c r="D600" s="159" t="s">
        <v>625</v>
      </c>
      <c r="E600" s="180" t="s">
        <v>923</v>
      </c>
      <c r="F600" s="158"/>
      <c r="G600" s="91">
        <f t="shared" si="16"/>
        <v>0</v>
      </c>
      <c r="H600" s="20">
        <f t="shared" si="16"/>
        <v>0</v>
      </c>
      <c r="I600" s="20" t="e">
        <f t="shared" si="15"/>
        <v>#DIV/0!</v>
      </c>
    </row>
    <row r="601" spans="1:9" s="25" customFormat="1" ht="19.5" customHeight="1" hidden="1">
      <c r="A601" s="108" t="s">
        <v>930</v>
      </c>
      <c r="B601" s="180"/>
      <c r="C601" s="159" t="s">
        <v>1</v>
      </c>
      <c r="D601" s="159" t="s">
        <v>625</v>
      </c>
      <c r="E601" s="180" t="s">
        <v>924</v>
      </c>
      <c r="F601" s="158"/>
      <c r="G601" s="91">
        <f t="shared" si="16"/>
        <v>0</v>
      </c>
      <c r="H601" s="20">
        <f t="shared" si="16"/>
        <v>0</v>
      </c>
      <c r="I601" s="20" t="e">
        <f t="shared" si="15"/>
        <v>#DIV/0!</v>
      </c>
    </row>
    <row r="602" spans="1:9" s="25" customFormat="1" ht="19.5" customHeight="1" hidden="1">
      <c r="A602" s="108" t="s">
        <v>932</v>
      </c>
      <c r="B602" s="180"/>
      <c r="C602" s="159" t="s">
        <v>1</v>
      </c>
      <c r="D602" s="159" t="s">
        <v>625</v>
      </c>
      <c r="E602" s="180" t="s">
        <v>924</v>
      </c>
      <c r="F602" s="158" t="s">
        <v>933</v>
      </c>
      <c r="G602" s="91"/>
      <c r="H602" s="20"/>
      <c r="I602" s="20" t="e">
        <f t="shared" si="15"/>
        <v>#DIV/0!</v>
      </c>
    </row>
    <row r="603" spans="1:9" s="25" customFormat="1" ht="15" hidden="1">
      <c r="A603" s="106" t="s">
        <v>925</v>
      </c>
      <c r="B603" s="155"/>
      <c r="C603" s="155" t="s">
        <v>1</v>
      </c>
      <c r="D603" s="155" t="s">
        <v>627</v>
      </c>
      <c r="E603" s="155"/>
      <c r="F603" s="156"/>
      <c r="G603" s="91">
        <f>SUM(G606+G609+G604)</f>
        <v>0</v>
      </c>
      <c r="H603" s="20">
        <f>SUM(H606+H609+H604)</f>
        <v>1344.5</v>
      </c>
      <c r="I603" s="20" t="e">
        <f t="shared" si="15"/>
        <v>#DIV/0!</v>
      </c>
    </row>
    <row r="604" spans="1:9" ht="15" hidden="1">
      <c r="A604" s="108" t="s">
        <v>128</v>
      </c>
      <c r="B604" s="155"/>
      <c r="C604" s="155" t="s">
        <v>1</v>
      </c>
      <c r="D604" s="155" t="s">
        <v>627</v>
      </c>
      <c r="E604" s="159" t="s">
        <v>129</v>
      </c>
      <c r="F604" s="157"/>
      <c r="G604" s="91">
        <f>SUM(G605)</f>
        <v>0</v>
      </c>
      <c r="H604" s="20">
        <f>SUM(H605)</f>
        <v>79.5</v>
      </c>
      <c r="I604" s="20"/>
    </row>
    <row r="605" spans="1:9" ht="15" hidden="1">
      <c r="A605" s="106" t="s">
        <v>598</v>
      </c>
      <c r="B605" s="155"/>
      <c r="C605" s="155" t="s">
        <v>1</v>
      </c>
      <c r="D605" s="155" t="s">
        <v>627</v>
      </c>
      <c r="E605" s="159" t="s">
        <v>129</v>
      </c>
      <c r="F605" s="157" t="s">
        <v>599</v>
      </c>
      <c r="G605" s="91"/>
      <c r="H605" s="20">
        <v>79.5</v>
      </c>
      <c r="I605" s="20"/>
    </row>
    <row r="606" spans="1:9" s="25" customFormat="1" ht="15" hidden="1">
      <c r="A606" s="106" t="s">
        <v>897</v>
      </c>
      <c r="B606" s="155"/>
      <c r="C606" s="155" t="s">
        <v>1</v>
      </c>
      <c r="D606" s="155" t="s">
        <v>627</v>
      </c>
      <c r="E606" s="175" t="s">
        <v>867</v>
      </c>
      <c r="F606" s="156"/>
      <c r="G606" s="91">
        <f>SUM(G607)</f>
        <v>0</v>
      </c>
      <c r="H606" s="20">
        <f>SUM(H607)</f>
        <v>1265</v>
      </c>
      <c r="I606" s="20" t="e">
        <f t="shared" si="15"/>
        <v>#DIV/0!</v>
      </c>
    </row>
    <row r="607" spans="1:9" s="25" customFormat="1" ht="28.5" hidden="1">
      <c r="A607" s="106" t="s">
        <v>90</v>
      </c>
      <c r="B607" s="155"/>
      <c r="C607" s="155" t="s">
        <v>1</v>
      </c>
      <c r="D607" s="155" t="s">
        <v>627</v>
      </c>
      <c r="E607" s="175" t="s">
        <v>868</v>
      </c>
      <c r="F607" s="156"/>
      <c r="G607" s="91">
        <f>SUM(G608)</f>
        <v>0</v>
      </c>
      <c r="H607" s="20">
        <f>SUM(H608)</f>
        <v>1265</v>
      </c>
      <c r="I607" s="20" t="e">
        <f t="shared" si="15"/>
        <v>#DIV/0!</v>
      </c>
    </row>
    <row r="608" spans="1:9" s="25" customFormat="1" ht="19.5" customHeight="1" hidden="1">
      <c r="A608" s="106" t="s">
        <v>598</v>
      </c>
      <c r="B608" s="155"/>
      <c r="C608" s="155" t="s">
        <v>1</v>
      </c>
      <c r="D608" s="155" t="s">
        <v>627</v>
      </c>
      <c r="E608" s="175" t="s">
        <v>868</v>
      </c>
      <c r="F608" s="156" t="s">
        <v>599</v>
      </c>
      <c r="G608" s="91"/>
      <c r="H608" s="20">
        <v>1265</v>
      </c>
      <c r="I608" s="20" t="e">
        <f t="shared" si="15"/>
        <v>#DIV/0!</v>
      </c>
    </row>
    <row r="609" spans="1:9" s="25" customFormat="1" ht="19.5" customHeight="1" hidden="1">
      <c r="A609" s="108" t="s">
        <v>634</v>
      </c>
      <c r="B609" s="159"/>
      <c r="C609" s="155" t="s">
        <v>1</v>
      </c>
      <c r="D609" s="155" t="s">
        <v>627</v>
      </c>
      <c r="E609" s="159" t="s">
        <v>635</v>
      </c>
      <c r="F609" s="157"/>
      <c r="G609" s="91">
        <f>SUM(G610)</f>
        <v>0</v>
      </c>
      <c r="H609" s="20">
        <f>SUM(H610)</f>
        <v>0</v>
      </c>
      <c r="I609" s="20" t="e">
        <f t="shared" si="15"/>
        <v>#DIV/0!</v>
      </c>
    </row>
    <row r="610" spans="1:9" s="25" customFormat="1" ht="28.5" hidden="1">
      <c r="A610" s="106" t="s">
        <v>90</v>
      </c>
      <c r="B610" s="180"/>
      <c r="C610" s="155" t="s">
        <v>1</v>
      </c>
      <c r="D610" s="155" t="s">
        <v>627</v>
      </c>
      <c r="E610" s="180" t="s">
        <v>635</v>
      </c>
      <c r="F610" s="158" t="s">
        <v>1009</v>
      </c>
      <c r="G610" s="91">
        <f>SUM(G611)</f>
        <v>0</v>
      </c>
      <c r="H610" s="20">
        <f>SUM(H611)</f>
        <v>0</v>
      </c>
      <c r="I610" s="20" t="e">
        <f t="shared" si="15"/>
        <v>#DIV/0!</v>
      </c>
    </row>
    <row r="611" spans="1:9" s="25" customFormat="1" ht="19.5" customHeight="1" hidden="1">
      <c r="A611" s="106" t="s">
        <v>898</v>
      </c>
      <c r="B611" s="155"/>
      <c r="C611" s="155" t="s">
        <v>1</v>
      </c>
      <c r="D611" s="155" t="s">
        <v>627</v>
      </c>
      <c r="E611" s="180" t="s">
        <v>899</v>
      </c>
      <c r="F611" s="158" t="s">
        <v>1009</v>
      </c>
      <c r="G611" s="91">
        <f>1738.6-1738.6</f>
        <v>0</v>
      </c>
      <c r="H611" s="20">
        <f>1738.6-1738.6</f>
        <v>0</v>
      </c>
      <c r="I611" s="20" t="e">
        <f t="shared" si="15"/>
        <v>#DIV/0!</v>
      </c>
    </row>
    <row r="612" spans="1:9" s="25" customFormat="1" ht="15" hidden="1">
      <c r="A612" s="106" t="s">
        <v>908</v>
      </c>
      <c r="B612" s="155"/>
      <c r="C612" s="159" t="s">
        <v>1</v>
      </c>
      <c r="D612" s="159" t="s">
        <v>1</v>
      </c>
      <c r="E612" s="159"/>
      <c r="F612" s="157"/>
      <c r="G612" s="91">
        <f>SUM(G616+G613)</f>
        <v>0</v>
      </c>
      <c r="H612" s="20">
        <f>SUM(H616+H613)</f>
        <v>1047.3</v>
      </c>
      <c r="I612" s="20" t="e">
        <f t="shared" si="15"/>
        <v>#DIV/0!</v>
      </c>
    </row>
    <row r="613" spans="1:9" s="36" customFormat="1" ht="28.5" hidden="1">
      <c r="A613" s="105" t="s">
        <v>937</v>
      </c>
      <c r="B613" s="159"/>
      <c r="C613" s="159" t="s">
        <v>1</v>
      </c>
      <c r="D613" s="159" t="s">
        <v>1</v>
      </c>
      <c r="E613" s="159" t="s">
        <v>183</v>
      </c>
      <c r="F613" s="157"/>
      <c r="G613" s="91">
        <f>SUM(G614)</f>
        <v>0</v>
      </c>
      <c r="H613" s="20">
        <f>SUM(H614)</f>
        <v>0</v>
      </c>
      <c r="I613" s="20" t="e">
        <f t="shared" si="15"/>
        <v>#DIV/0!</v>
      </c>
    </row>
    <row r="614" spans="1:9" ht="28.5" hidden="1">
      <c r="A614" s="105" t="s">
        <v>894</v>
      </c>
      <c r="B614" s="159"/>
      <c r="C614" s="159" t="s">
        <v>1</v>
      </c>
      <c r="D614" s="159" t="s">
        <v>1</v>
      </c>
      <c r="E614" s="159" t="s">
        <v>640</v>
      </c>
      <c r="F614" s="157"/>
      <c r="G614" s="91">
        <f>SUM(G615)</f>
        <v>0</v>
      </c>
      <c r="H614" s="20">
        <f>SUM(H615)</f>
        <v>0</v>
      </c>
      <c r="I614" s="20" t="e">
        <f t="shared" si="15"/>
        <v>#DIV/0!</v>
      </c>
    </row>
    <row r="615" spans="1:9" ht="15" hidden="1">
      <c r="A615" s="105" t="s">
        <v>504</v>
      </c>
      <c r="B615" s="159"/>
      <c r="C615" s="159" t="s">
        <v>1</v>
      </c>
      <c r="D615" s="159" t="s">
        <v>1</v>
      </c>
      <c r="E615" s="159" t="s">
        <v>640</v>
      </c>
      <c r="F615" s="157" t="s">
        <v>642</v>
      </c>
      <c r="G615" s="91"/>
      <c r="H615" s="20"/>
      <c r="I615" s="20" t="e">
        <f t="shared" si="15"/>
        <v>#DIV/0!</v>
      </c>
    </row>
    <row r="616" spans="1:9" ht="15" hidden="1">
      <c r="A616" s="108" t="s">
        <v>634</v>
      </c>
      <c r="B616" s="159"/>
      <c r="C616" s="159" t="s">
        <v>1</v>
      </c>
      <c r="D616" s="159" t="s">
        <v>1</v>
      </c>
      <c r="E616" s="159" t="s">
        <v>635</v>
      </c>
      <c r="F616" s="157"/>
      <c r="G616" s="91">
        <f>SUM(G619)+G623+G625+G617</f>
        <v>0</v>
      </c>
      <c r="H616" s="20">
        <f>SUM(H619)+H623+H625</f>
        <v>1047.3</v>
      </c>
      <c r="I616" s="20" t="e">
        <f t="shared" si="15"/>
        <v>#DIV/0!</v>
      </c>
    </row>
    <row r="617" spans="1:9" ht="42.75" hidden="1">
      <c r="A617" s="128" t="s">
        <v>1036</v>
      </c>
      <c r="B617" s="159"/>
      <c r="C617" s="159" t="s">
        <v>1</v>
      </c>
      <c r="D617" s="159" t="s">
        <v>1</v>
      </c>
      <c r="E617" s="159" t="s">
        <v>1037</v>
      </c>
      <c r="F617" s="157"/>
      <c r="G617" s="91">
        <f>SUM(G618)</f>
        <v>0</v>
      </c>
      <c r="H617" s="20"/>
      <c r="I617" s="20"/>
    </row>
    <row r="618" spans="1:9" ht="15" hidden="1">
      <c r="A618" s="106" t="s">
        <v>351</v>
      </c>
      <c r="B618" s="159"/>
      <c r="C618" s="159" t="s">
        <v>1</v>
      </c>
      <c r="D618" s="159" t="s">
        <v>1</v>
      </c>
      <c r="E618" s="159" t="s">
        <v>1037</v>
      </c>
      <c r="F618" s="157" t="s">
        <v>352</v>
      </c>
      <c r="G618" s="91"/>
      <c r="H618" s="20"/>
      <c r="I618" s="20"/>
    </row>
    <row r="619" spans="1:9" ht="28.5" hidden="1">
      <c r="A619" s="106" t="s">
        <v>902</v>
      </c>
      <c r="B619" s="159"/>
      <c r="C619" s="159" t="s">
        <v>1</v>
      </c>
      <c r="D619" s="159" t="s">
        <v>1</v>
      </c>
      <c r="E619" s="159" t="s">
        <v>903</v>
      </c>
      <c r="F619" s="157"/>
      <c r="G619" s="91">
        <f>SUM(G620:G622)</f>
        <v>0</v>
      </c>
      <c r="H619" s="20">
        <f>SUM(H620:H622)</f>
        <v>5</v>
      </c>
      <c r="I619" s="20" t="e">
        <f t="shared" si="15"/>
        <v>#DIV/0!</v>
      </c>
    </row>
    <row r="620" spans="1:9" ht="19.5" customHeight="1" hidden="1">
      <c r="A620" s="105" t="s">
        <v>504</v>
      </c>
      <c r="B620" s="155"/>
      <c r="C620" s="159" t="s">
        <v>1</v>
      </c>
      <c r="D620" s="159" t="s">
        <v>1</v>
      </c>
      <c r="E620" s="159" t="s">
        <v>903</v>
      </c>
      <c r="F620" s="157" t="s">
        <v>642</v>
      </c>
      <c r="G620" s="91"/>
      <c r="H620" s="20"/>
      <c r="I620" s="20" t="e">
        <f t="shared" si="15"/>
        <v>#DIV/0!</v>
      </c>
    </row>
    <row r="621" spans="1:9" ht="15" hidden="1">
      <c r="A621" s="106" t="s">
        <v>598</v>
      </c>
      <c r="B621" s="180"/>
      <c r="C621" s="180" t="s">
        <v>1</v>
      </c>
      <c r="D621" s="180" t="s">
        <v>1</v>
      </c>
      <c r="E621" s="159" t="s">
        <v>903</v>
      </c>
      <c r="F621" s="158" t="s">
        <v>599</v>
      </c>
      <c r="G621" s="91"/>
      <c r="H621" s="20"/>
      <c r="I621" s="20" t="e">
        <f t="shared" si="15"/>
        <v>#DIV/0!</v>
      </c>
    </row>
    <row r="622" spans="1:9" s="22" customFormat="1" ht="19.5" customHeight="1" hidden="1">
      <c r="A622" s="106" t="s">
        <v>90</v>
      </c>
      <c r="B622" s="155"/>
      <c r="C622" s="159" t="s">
        <v>1</v>
      </c>
      <c r="D622" s="159" t="s">
        <v>1</v>
      </c>
      <c r="E622" s="159" t="s">
        <v>903</v>
      </c>
      <c r="F622" s="161" t="s">
        <v>1009</v>
      </c>
      <c r="G622" s="92"/>
      <c r="H622" s="27">
        <v>5</v>
      </c>
      <c r="I622" s="20" t="e">
        <f t="shared" si="15"/>
        <v>#DIV/0!</v>
      </c>
    </row>
    <row r="623" spans="1:9" ht="28.5" hidden="1">
      <c r="A623" s="109" t="s">
        <v>96</v>
      </c>
      <c r="B623" s="155"/>
      <c r="C623" s="159" t="s">
        <v>1</v>
      </c>
      <c r="D623" s="159" t="s">
        <v>1</v>
      </c>
      <c r="E623" s="159" t="s">
        <v>97</v>
      </c>
      <c r="F623" s="161"/>
      <c r="G623" s="92">
        <f>SUM(G624)</f>
        <v>0</v>
      </c>
      <c r="H623" s="27">
        <f>SUM(H624)</f>
        <v>0</v>
      </c>
      <c r="I623" s="20" t="e">
        <f t="shared" si="15"/>
        <v>#DIV/0!</v>
      </c>
    </row>
    <row r="624" spans="1:9" ht="28.5" hidden="1">
      <c r="A624" s="106" t="s">
        <v>90</v>
      </c>
      <c r="B624" s="155"/>
      <c r="C624" s="159" t="s">
        <v>1</v>
      </c>
      <c r="D624" s="159" t="s">
        <v>1</v>
      </c>
      <c r="E624" s="159" t="s">
        <v>97</v>
      </c>
      <c r="F624" s="161" t="s">
        <v>1009</v>
      </c>
      <c r="G624" s="92"/>
      <c r="H624" s="27"/>
      <c r="I624" s="20" t="e">
        <f t="shared" si="15"/>
        <v>#DIV/0!</v>
      </c>
    </row>
    <row r="625" spans="1:9" ht="19.5" customHeight="1" hidden="1">
      <c r="A625" s="106" t="s">
        <v>775</v>
      </c>
      <c r="B625" s="155"/>
      <c r="C625" s="159" t="s">
        <v>760</v>
      </c>
      <c r="D625" s="159" t="s">
        <v>760</v>
      </c>
      <c r="E625" s="159" t="s">
        <v>475</v>
      </c>
      <c r="F625" s="161"/>
      <c r="G625" s="92">
        <f>SUM(G626)</f>
        <v>0</v>
      </c>
      <c r="H625" s="27">
        <f>SUM(H626)</f>
        <v>1042.3</v>
      </c>
      <c r="I625" s="20" t="e">
        <f t="shared" si="15"/>
        <v>#DIV/0!</v>
      </c>
    </row>
    <row r="626" spans="1:9" ht="19.5" customHeight="1" hidden="1">
      <c r="A626" s="105" t="s">
        <v>504</v>
      </c>
      <c r="B626" s="155"/>
      <c r="C626" s="159" t="s">
        <v>1</v>
      </c>
      <c r="D626" s="159" t="s">
        <v>1</v>
      </c>
      <c r="E626" s="159" t="s">
        <v>475</v>
      </c>
      <c r="F626" s="161" t="s">
        <v>642</v>
      </c>
      <c r="G626" s="92"/>
      <c r="H626" s="27">
        <v>1042.3</v>
      </c>
      <c r="I626" s="20" t="e">
        <f t="shared" si="15"/>
        <v>#DIV/0!</v>
      </c>
    </row>
    <row r="627" spans="1:9" ht="19.5" customHeight="1">
      <c r="A627" s="106" t="s">
        <v>776</v>
      </c>
      <c r="B627" s="155"/>
      <c r="C627" s="155" t="s">
        <v>348</v>
      </c>
      <c r="D627" s="155"/>
      <c r="E627" s="155"/>
      <c r="F627" s="156"/>
      <c r="G627" s="91">
        <f>SUM(G631)+G659</f>
        <v>8083</v>
      </c>
      <c r="H627" s="20">
        <f>SUM(H631)</f>
        <v>8564.300000000001</v>
      </c>
      <c r="I627" s="20">
        <f t="shared" si="15"/>
        <v>105.95447234937525</v>
      </c>
    </row>
    <row r="628" spans="1:9" ht="15" hidden="1">
      <c r="A628" s="106" t="s">
        <v>783</v>
      </c>
      <c r="B628" s="155"/>
      <c r="C628" s="155" t="s">
        <v>348</v>
      </c>
      <c r="D628" s="155" t="s">
        <v>239</v>
      </c>
      <c r="E628" s="155"/>
      <c r="F628" s="156"/>
      <c r="G628" s="91">
        <f>SUM(G629)</f>
        <v>0</v>
      </c>
      <c r="H628" s="20">
        <f>SUM(H629)</f>
        <v>0</v>
      </c>
      <c r="I628" s="20" t="e">
        <f t="shared" si="15"/>
        <v>#DIV/0!</v>
      </c>
    </row>
    <row r="629" spans="1:9" ht="19.5" customHeight="1" hidden="1">
      <c r="A629" s="106" t="s">
        <v>549</v>
      </c>
      <c r="B629" s="155"/>
      <c r="C629" s="155" t="s">
        <v>348</v>
      </c>
      <c r="D629" s="155" t="s">
        <v>239</v>
      </c>
      <c r="E629" s="155" t="s">
        <v>792</v>
      </c>
      <c r="F629" s="156"/>
      <c r="G629" s="91">
        <f>SUM(G630)</f>
        <v>0</v>
      </c>
      <c r="H629" s="20">
        <f>SUM(H630)</f>
        <v>0</v>
      </c>
      <c r="I629" s="20" t="e">
        <f t="shared" si="15"/>
        <v>#DIV/0!</v>
      </c>
    </row>
    <row r="630" spans="1:9" ht="15" hidden="1">
      <c r="A630" s="106" t="s">
        <v>930</v>
      </c>
      <c r="B630" s="155"/>
      <c r="C630" s="155" t="s">
        <v>348</v>
      </c>
      <c r="D630" s="155" t="s">
        <v>239</v>
      </c>
      <c r="E630" s="155" t="s">
        <v>792</v>
      </c>
      <c r="F630" s="156" t="s">
        <v>793</v>
      </c>
      <c r="G630" s="91"/>
      <c r="H630" s="20"/>
      <c r="I630" s="20" t="e">
        <f t="shared" si="15"/>
        <v>#DIV/0!</v>
      </c>
    </row>
    <row r="631" spans="1:9" ht="15">
      <c r="A631" s="133" t="s">
        <v>372</v>
      </c>
      <c r="B631" s="155"/>
      <c r="C631" s="155" t="s">
        <v>348</v>
      </c>
      <c r="D631" s="159" t="s">
        <v>601</v>
      </c>
      <c r="E631" s="155"/>
      <c r="F631" s="156"/>
      <c r="G631" s="91">
        <f>SUM(G632+G636+G645+G654+G652)</f>
        <v>2446.6</v>
      </c>
      <c r="H631" s="20">
        <f>SUM(H632+H636+H645+H654+H652)</f>
        <v>8564.300000000001</v>
      </c>
      <c r="I631" s="20">
        <f t="shared" si="15"/>
        <v>350.04904765797437</v>
      </c>
    </row>
    <row r="632" spans="1:9" ht="19.5" customHeight="1">
      <c r="A632" s="241" t="s">
        <v>686</v>
      </c>
      <c r="B632" s="242"/>
      <c r="C632" s="244" t="s">
        <v>348</v>
      </c>
      <c r="D632" s="243" t="s">
        <v>601</v>
      </c>
      <c r="E632" s="244" t="s">
        <v>687</v>
      </c>
      <c r="F632" s="239"/>
      <c r="G632" s="27">
        <f>SUM(G633)</f>
        <v>241.9</v>
      </c>
      <c r="H632" s="20">
        <f>SUM(H633)</f>
        <v>0</v>
      </c>
      <c r="I632" s="20">
        <f t="shared" si="15"/>
        <v>0</v>
      </c>
    </row>
    <row r="633" spans="1:9" ht="19.5" customHeight="1">
      <c r="A633" s="241" t="s">
        <v>794</v>
      </c>
      <c r="B633" s="242"/>
      <c r="C633" s="243" t="s">
        <v>348</v>
      </c>
      <c r="D633" s="243" t="s">
        <v>601</v>
      </c>
      <c r="E633" s="244" t="s">
        <v>688</v>
      </c>
      <c r="F633" s="245"/>
      <c r="G633" s="27">
        <f>SUM(G634+G635)</f>
        <v>241.9</v>
      </c>
      <c r="H633" s="20">
        <f>SUM(H634)</f>
        <v>0</v>
      </c>
      <c r="I633" s="20">
        <f t="shared" si="15"/>
        <v>0</v>
      </c>
    </row>
    <row r="634" spans="1:9" ht="18" customHeight="1" hidden="1">
      <c r="A634" s="241" t="s">
        <v>938</v>
      </c>
      <c r="B634" s="242"/>
      <c r="C634" s="243" t="s">
        <v>348</v>
      </c>
      <c r="D634" s="243" t="s">
        <v>601</v>
      </c>
      <c r="E634" s="244" t="s">
        <v>688</v>
      </c>
      <c r="F634" s="245" t="s">
        <v>940</v>
      </c>
      <c r="G634" s="27"/>
      <c r="H634" s="20"/>
      <c r="I634" s="20" t="e">
        <f t="shared" si="15"/>
        <v>#DIV/0!</v>
      </c>
    </row>
    <row r="635" spans="1:9" ht="18" customHeight="1">
      <c r="A635" s="241" t="s">
        <v>387</v>
      </c>
      <c r="B635" s="242"/>
      <c r="C635" s="243" t="s">
        <v>348</v>
      </c>
      <c r="D635" s="243" t="s">
        <v>601</v>
      </c>
      <c r="E635" s="244" t="s">
        <v>688</v>
      </c>
      <c r="F635" s="245" t="s">
        <v>388</v>
      </c>
      <c r="G635" s="27">
        <v>241.9</v>
      </c>
      <c r="H635" s="20"/>
      <c r="I635" s="20"/>
    </row>
    <row r="636" spans="1:9" s="25" customFormat="1" ht="19.5" customHeight="1" hidden="1">
      <c r="A636" s="106" t="s">
        <v>373</v>
      </c>
      <c r="B636" s="155"/>
      <c r="C636" s="155" t="s">
        <v>348</v>
      </c>
      <c r="D636" s="159" t="s">
        <v>601</v>
      </c>
      <c r="E636" s="155" t="s">
        <v>374</v>
      </c>
      <c r="F636" s="156"/>
      <c r="G636" s="91">
        <f>SUM(G640+G643+G637)</f>
        <v>0</v>
      </c>
      <c r="H636" s="20">
        <f>SUM(H640+H643+H637)</f>
        <v>5628.5</v>
      </c>
      <c r="I636" s="20" t="e">
        <f t="shared" si="15"/>
        <v>#DIV/0!</v>
      </c>
    </row>
    <row r="637" spans="1:9" s="25" customFormat="1" ht="19.5" customHeight="1" hidden="1">
      <c r="A637" s="133" t="s">
        <v>767</v>
      </c>
      <c r="B637" s="155"/>
      <c r="C637" s="155" t="s">
        <v>348</v>
      </c>
      <c r="D637" s="155" t="s">
        <v>601</v>
      </c>
      <c r="E637" s="155" t="s">
        <v>795</v>
      </c>
      <c r="F637" s="156"/>
      <c r="G637" s="91">
        <f>SUM(G638)</f>
        <v>0</v>
      </c>
      <c r="H637" s="20">
        <f>SUM(H638)</f>
        <v>0</v>
      </c>
      <c r="I637" s="20" t="e">
        <f t="shared" si="15"/>
        <v>#DIV/0!</v>
      </c>
    </row>
    <row r="638" spans="1:9" s="25" customFormat="1" ht="19.5" customHeight="1" hidden="1">
      <c r="A638" s="142" t="s">
        <v>862</v>
      </c>
      <c r="B638" s="180"/>
      <c r="C638" s="180" t="s">
        <v>348</v>
      </c>
      <c r="D638" s="180" t="s">
        <v>601</v>
      </c>
      <c r="E638" s="180" t="s">
        <v>863</v>
      </c>
      <c r="F638" s="158"/>
      <c r="G638" s="91">
        <f>SUM(G639)</f>
        <v>0</v>
      </c>
      <c r="H638" s="20">
        <f>SUM(H639)</f>
        <v>0</v>
      </c>
      <c r="I638" s="20" t="e">
        <f t="shared" si="15"/>
        <v>#DIV/0!</v>
      </c>
    </row>
    <row r="639" spans="1:9" s="25" customFormat="1" ht="19.5" customHeight="1" hidden="1">
      <c r="A639" s="106" t="s">
        <v>1032</v>
      </c>
      <c r="B639" s="180"/>
      <c r="C639" s="180" t="s">
        <v>348</v>
      </c>
      <c r="D639" s="180" t="s">
        <v>601</v>
      </c>
      <c r="E639" s="180" t="s">
        <v>863</v>
      </c>
      <c r="F639" s="158" t="s">
        <v>1033</v>
      </c>
      <c r="G639" s="91"/>
      <c r="H639" s="20"/>
      <c r="I639" s="20" t="e">
        <f t="shared" si="15"/>
        <v>#DIV/0!</v>
      </c>
    </row>
    <row r="640" spans="1:9" ht="19.5" customHeight="1" hidden="1">
      <c r="A640" s="106" t="s">
        <v>412</v>
      </c>
      <c r="B640" s="155"/>
      <c r="C640" s="159" t="s">
        <v>348</v>
      </c>
      <c r="D640" s="159" t="s">
        <v>601</v>
      </c>
      <c r="E640" s="155" t="s">
        <v>985</v>
      </c>
      <c r="F640" s="156"/>
      <c r="G640" s="91">
        <f>SUM(G641)</f>
        <v>0</v>
      </c>
      <c r="H640" s="20">
        <f>SUM(H641)</f>
        <v>5628.5</v>
      </c>
      <c r="I640" s="20" t="e">
        <f t="shared" si="15"/>
        <v>#DIV/0!</v>
      </c>
    </row>
    <row r="641" spans="1:9" ht="19.5" customHeight="1" hidden="1">
      <c r="A641" s="133" t="s">
        <v>986</v>
      </c>
      <c r="B641" s="155"/>
      <c r="C641" s="159" t="s">
        <v>348</v>
      </c>
      <c r="D641" s="159" t="s">
        <v>601</v>
      </c>
      <c r="E641" s="155" t="s">
        <v>987</v>
      </c>
      <c r="F641" s="157"/>
      <c r="G641" s="91">
        <f>SUM(G642)</f>
        <v>0</v>
      </c>
      <c r="H641" s="20">
        <f>SUM(H642)</f>
        <v>5628.5</v>
      </c>
      <c r="I641" s="20" t="e">
        <f t="shared" si="15"/>
        <v>#DIV/0!</v>
      </c>
    </row>
    <row r="642" spans="1:9" ht="19.5" customHeight="1" hidden="1">
      <c r="A642" s="106" t="s">
        <v>1032</v>
      </c>
      <c r="B642" s="160"/>
      <c r="C642" s="159" t="s">
        <v>348</v>
      </c>
      <c r="D642" s="159" t="s">
        <v>601</v>
      </c>
      <c r="E642" s="155" t="s">
        <v>987</v>
      </c>
      <c r="F642" s="161" t="s">
        <v>1033</v>
      </c>
      <c r="G642" s="92"/>
      <c r="H642" s="27">
        <v>5628.5</v>
      </c>
      <c r="I642" s="20" t="e">
        <f t="shared" si="15"/>
        <v>#DIV/0!</v>
      </c>
    </row>
    <row r="643" spans="1:9" s="25" customFormat="1" ht="15" hidden="1">
      <c r="A643" s="133" t="s">
        <v>763</v>
      </c>
      <c r="B643" s="155"/>
      <c r="C643" s="159" t="s">
        <v>348</v>
      </c>
      <c r="D643" s="159" t="s">
        <v>601</v>
      </c>
      <c r="E643" s="155" t="s">
        <v>796</v>
      </c>
      <c r="F643" s="157"/>
      <c r="G643" s="91">
        <f>SUM(G644)</f>
        <v>0</v>
      </c>
      <c r="H643" s="20">
        <f>SUM(H644)</f>
        <v>0</v>
      </c>
      <c r="I643" s="20" t="e">
        <f t="shared" si="15"/>
        <v>#DIV/0!</v>
      </c>
    </row>
    <row r="644" spans="1:9" ht="19.5" customHeight="1" hidden="1">
      <c r="A644" s="106" t="s">
        <v>1032</v>
      </c>
      <c r="B644" s="160"/>
      <c r="C644" s="159" t="s">
        <v>348</v>
      </c>
      <c r="D644" s="159" t="s">
        <v>601</v>
      </c>
      <c r="E644" s="155" t="s">
        <v>796</v>
      </c>
      <c r="F644" s="161" t="s">
        <v>1033</v>
      </c>
      <c r="G644" s="92"/>
      <c r="H644" s="27"/>
      <c r="I644" s="20" t="e">
        <f t="shared" si="15"/>
        <v>#DIV/0!</v>
      </c>
    </row>
    <row r="645" spans="1:9" ht="15">
      <c r="A645" s="106" t="s">
        <v>340</v>
      </c>
      <c r="B645" s="120"/>
      <c r="C645" s="159" t="s">
        <v>348</v>
      </c>
      <c r="D645" s="159" t="s">
        <v>601</v>
      </c>
      <c r="E645" s="159" t="s">
        <v>341</v>
      </c>
      <c r="F645" s="161"/>
      <c r="G645" s="92">
        <f>SUM(G646)</f>
        <v>437.7</v>
      </c>
      <c r="H645" s="27">
        <f>SUM(H646)</f>
        <v>0</v>
      </c>
      <c r="I645" s="20">
        <f t="shared" si="15"/>
        <v>0</v>
      </c>
    </row>
    <row r="646" spans="1:9" ht="42.75">
      <c r="A646" s="106" t="s">
        <v>950</v>
      </c>
      <c r="B646" s="160"/>
      <c r="C646" s="159" t="s">
        <v>348</v>
      </c>
      <c r="D646" s="159" t="s">
        <v>601</v>
      </c>
      <c r="E646" s="159" t="s">
        <v>226</v>
      </c>
      <c r="F646" s="161"/>
      <c r="G646" s="92">
        <f>SUM(G647)+G650</f>
        <v>437.7</v>
      </c>
      <c r="H646" s="27">
        <f>SUM(H647)+H650</f>
        <v>0</v>
      </c>
      <c r="I646" s="20">
        <f t="shared" si="15"/>
        <v>0</v>
      </c>
    </row>
    <row r="647" spans="1:9" s="25" customFormat="1" ht="29.25" customHeight="1">
      <c r="A647" s="106" t="s">
        <v>770</v>
      </c>
      <c r="B647" s="160"/>
      <c r="C647" s="159" t="s">
        <v>348</v>
      </c>
      <c r="D647" s="159" t="s">
        <v>601</v>
      </c>
      <c r="E647" s="159" t="s">
        <v>771</v>
      </c>
      <c r="F647" s="161"/>
      <c r="G647" s="92">
        <f>SUM(G648+G649)</f>
        <v>437.7</v>
      </c>
      <c r="H647" s="27">
        <f>SUM(H648+H649)</f>
        <v>0</v>
      </c>
      <c r="I647" s="20">
        <f t="shared" si="15"/>
        <v>0</v>
      </c>
    </row>
    <row r="648" spans="1:9" ht="21" customHeight="1">
      <c r="A648" s="241" t="s">
        <v>387</v>
      </c>
      <c r="B648" s="160"/>
      <c r="C648" s="159" t="s">
        <v>348</v>
      </c>
      <c r="D648" s="159" t="s">
        <v>601</v>
      </c>
      <c r="E648" s="159" t="s">
        <v>771</v>
      </c>
      <c r="F648" s="161" t="s">
        <v>388</v>
      </c>
      <c r="G648" s="92">
        <v>437.7</v>
      </c>
      <c r="H648" s="27"/>
      <c r="I648" s="20">
        <f t="shared" si="15"/>
        <v>0</v>
      </c>
    </row>
    <row r="649" spans="1:9" ht="21" customHeight="1" hidden="1">
      <c r="A649" s="106" t="s">
        <v>938</v>
      </c>
      <c r="B649" s="160"/>
      <c r="C649" s="159" t="s">
        <v>348</v>
      </c>
      <c r="D649" s="159" t="s">
        <v>601</v>
      </c>
      <c r="E649" s="159" t="s">
        <v>771</v>
      </c>
      <c r="F649" s="161" t="s">
        <v>940</v>
      </c>
      <c r="G649" s="92"/>
      <c r="H649" s="27"/>
      <c r="I649" s="20" t="e">
        <f t="shared" si="15"/>
        <v>#DIV/0!</v>
      </c>
    </row>
    <row r="650" spans="1:9" ht="19.5" customHeight="1" hidden="1">
      <c r="A650" s="106" t="s">
        <v>941</v>
      </c>
      <c r="B650" s="160"/>
      <c r="C650" s="159" t="s">
        <v>348</v>
      </c>
      <c r="D650" s="159" t="s">
        <v>601</v>
      </c>
      <c r="E650" s="159" t="s">
        <v>939</v>
      </c>
      <c r="F650" s="161"/>
      <c r="G650" s="92">
        <f>SUM(G651)</f>
        <v>0</v>
      </c>
      <c r="H650" s="27">
        <f>SUM(H651)</f>
        <v>0</v>
      </c>
      <c r="I650" s="20" t="e">
        <f t="shared" si="15"/>
        <v>#DIV/0!</v>
      </c>
    </row>
    <row r="651" spans="1:9" ht="19.5" customHeight="1" hidden="1">
      <c r="A651" s="106" t="s">
        <v>938</v>
      </c>
      <c r="B651" s="160"/>
      <c r="C651" s="159" t="s">
        <v>348</v>
      </c>
      <c r="D651" s="159" t="s">
        <v>601</v>
      </c>
      <c r="E651" s="159" t="s">
        <v>939</v>
      </c>
      <c r="F651" s="161" t="s">
        <v>940</v>
      </c>
      <c r="G651" s="92"/>
      <c r="H651" s="27"/>
      <c r="I651" s="20" t="e">
        <f t="shared" si="15"/>
        <v>#DIV/0!</v>
      </c>
    </row>
    <row r="652" spans="1:9" ht="19.5" customHeight="1" hidden="1">
      <c r="A652" s="106" t="s">
        <v>828</v>
      </c>
      <c r="B652" s="160"/>
      <c r="C652" s="159" t="s">
        <v>348</v>
      </c>
      <c r="D652" s="159" t="s">
        <v>601</v>
      </c>
      <c r="E652" s="159" t="s">
        <v>939</v>
      </c>
      <c r="F652" s="161"/>
      <c r="G652" s="92">
        <f>SUM(G653)</f>
        <v>0</v>
      </c>
      <c r="H652" s="27">
        <f>SUM(H653)</f>
        <v>1957.2</v>
      </c>
      <c r="I652" s="20" t="e">
        <f t="shared" si="15"/>
        <v>#DIV/0!</v>
      </c>
    </row>
    <row r="653" spans="1:9" ht="19.5" customHeight="1" hidden="1">
      <c r="A653" s="106" t="s">
        <v>938</v>
      </c>
      <c r="B653" s="160"/>
      <c r="C653" s="159" t="s">
        <v>348</v>
      </c>
      <c r="D653" s="159" t="s">
        <v>601</v>
      </c>
      <c r="E653" s="159" t="s">
        <v>939</v>
      </c>
      <c r="F653" s="161" t="s">
        <v>940</v>
      </c>
      <c r="G653" s="92"/>
      <c r="H653" s="27">
        <v>1957.2</v>
      </c>
      <c r="I653" s="20" t="e">
        <f t="shared" si="15"/>
        <v>#DIV/0!</v>
      </c>
    </row>
    <row r="654" spans="1:9" ht="19.5" customHeight="1">
      <c r="A654" s="108" t="s">
        <v>634</v>
      </c>
      <c r="B654" s="159"/>
      <c r="C654" s="159" t="s">
        <v>348</v>
      </c>
      <c r="D654" s="159" t="s">
        <v>601</v>
      </c>
      <c r="E654" s="159" t="s">
        <v>635</v>
      </c>
      <c r="F654" s="157"/>
      <c r="G654" s="91">
        <f>SUM(G655)</f>
        <v>1767</v>
      </c>
      <c r="H654" s="20">
        <f>SUM(H655)</f>
        <v>978.6</v>
      </c>
      <c r="I654" s="20">
        <f t="shared" si="15"/>
        <v>55.38200339558574</v>
      </c>
    </row>
    <row r="655" spans="1:9" ht="28.5">
      <c r="A655" s="128" t="s">
        <v>316</v>
      </c>
      <c r="B655" s="155"/>
      <c r="C655" s="159" t="s">
        <v>348</v>
      </c>
      <c r="D655" s="159" t="s">
        <v>601</v>
      </c>
      <c r="E655" s="171" t="s">
        <v>462</v>
      </c>
      <c r="F655" s="156"/>
      <c r="G655" s="91">
        <f>SUM(G656)</f>
        <v>1767</v>
      </c>
      <c r="H655" s="20">
        <f>SUM(H656)</f>
        <v>978.6</v>
      </c>
      <c r="I655" s="20">
        <f t="shared" si="15"/>
        <v>55.38200339558574</v>
      </c>
    </row>
    <row r="656" spans="1:9" ht="28.5">
      <c r="A656" s="106" t="s">
        <v>770</v>
      </c>
      <c r="B656" s="159"/>
      <c r="C656" s="159" t="s">
        <v>348</v>
      </c>
      <c r="D656" s="159" t="s">
        <v>601</v>
      </c>
      <c r="E656" s="171" t="s">
        <v>944</v>
      </c>
      <c r="F656" s="156"/>
      <c r="G656" s="225">
        <f>SUM(G657:G658)</f>
        <v>1767</v>
      </c>
      <c r="H656" s="20">
        <f>SUM(H661:H662)</f>
        <v>978.6</v>
      </c>
      <c r="I656" s="20">
        <f t="shared" si="15"/>
        <v>55.38200339558574</v>
      </c>
    </row>
    <row r="657" spans="1:9" ht="19.5" customHeight="1">
      <c r="A657" s="241" t="s">
        <v>387</v>
      </c>
      <c r="B657" s="160"/>
      <c r="C657" s="159" t="s">
        <v>348</v>
      </c>
      <c r="D657" s="159" t="s">
        <v>601</v>
      </c>
      <c r="E657" s="171" t="s">
        <v>944</v>
      </c>
      <c r="F657" s="161" t="s">
        <v>388</v>
      </c>
      <c r="G657" s="92">
        <v>1767</v>
      </c>
      <c r="H657" s="20"/>
      <c r="I657" s="20"/>
    </row>
    <row r="658" spans="1:9" ht="19.5" customHeight="1" hidden="1">
      <c r="A658" s="106" t="s">
        <v>598</v>
      </c>
      <c r="B658" s="155"/>
      <c r="C658" s="159" t="s">
        <v>348</v>
      </c>
      <c r="D658" s="159" t="s">
        <v>601</v>
      </c>
      <c r="E658" s="171" t="s">
        <v>944</v>
      </c>
      <c r="F658" s="156" t="s">
        <v>599</v>
      </c>
      <c r="G658" s="91"/>
      <c r="H658" s="20"/>
      <c r="I658" s="20"/>
    </row>
    <row r="659" spans="1:9" ht="15">
      <c r="A659" s="133" t="s">
        <v>714</v>
      </c>
      <c r="B659" s="155"/>
      <c r="C659" s="171" t="s">
        <v>348</v>
      </c>
      <c r="D659" s="183" t="s">
        <v>625</v>
      </c>
      <c r="E659" s="183"/>
      <c r="F659" s="184"/>
      <c r="G659" s="225">
        <f>SUM(G660)</f>
        <v>5636.4</v>
      </c>
      <c r="H659" s="20"/>
      <c r="I659" s="20"/>
    </row>
    <row r="660" spans="1:9" ht="15">
      <c r="A660" s="133" t="s">
        <v>373</v>
      </c>
      <c r="B660" s="155"/>
      <c r="C660" s="171" t="s">
        <v>348</v>
      </c>
      <c r="D660" s="183" t="s">
        <v>625</v>
      </c>
      <c r="E660" s="183" t="s">
        <v>374</v>
      </c>
      <c r="F660" s="184"/>
      <c r="G660" s="30">
        <f>SUM(G661)</f>
        <v>5636.4</v>
      </c>
      <c r="H660" s="20"/>
      <c r="I660" s="20"/>
    </row>
    <row r="661" spans="1:9" ht="42.75">
      <c r="A661" s="106" t="s">
        <v>815</v>
      </c>
      <c r="B661" s="155"/>
      <c r="C661" s="171" t="s">
        <v>348</v>
      </c>
      <c r="D661" s="183" t="s">
        <v>625</v>
      </c>
      <c r="E661" s="155" t="s">
        <v>816</v>
      </c>
      <c r="F661" s="156"/>
      <c r="G661" s="30">
        <f>SUM(G662)</f>
        <v>5636.4</v>
      </c>
      <c r="H661" s="27"/>
      <c r="I661" s="20">
        <f t="shared" si="15"/>
        <v>0</v>
      </c>
    </row>
    <row r="662" spans="1:9" ht="42.75">
      <c r="A662" s="133" t="s">
        <v>262</v>
      </c>
      <c r="B662" s="155"/>
      <c r="C662" s="171" t="s">
        <v>348</v>
      </c>
      <c r="D662" s="183" t="s">
        <v>625</v>
      </c>
      <c r="E662" s="155" t="s">
        <v>261</v>
      </c>
      <c r="F662" s="157"/>
      <c r="G662" s="30">
        <f>SUM(G663)</f>
        <v>5636.4</v>
      </c>
      <c r="H662" s="27">
        <v>978.6</v>
      </c>
      <c r="I662" s="20">
        <f t="shared" si="15"/>
        <v>17.362146050670642</v>
      </c>
    </row>
    <row r="663" spans="1:9" s="116" customFormat="1" ht="15">
      <c r="A663" s="106" t="s">
        <v>1032</v>
      </c>
      <c r="B663" s="160"/>
      <c r="C663" s="171" t="s">
        <v>348</v>
      </c>
      <c r="D663" s="183" t="s">
        <v>625</v>
      </c>
      <c r="E663" s="155" t="s">
        <v>261</v>
      </c>
      <c r="F663" s="161" t="s">
        <v>1033</v>
      </c>
      <c r="G663" s="225">
        <v>5636.4</v>
      </c>
      <c r="H663" s="27" t="e">
        <f>SUM(H665+#REF!+H698+H702+H729+H758)</f>
        <v>#REF!</v>
      </c>
      <c r="I663" s="27" t="e">
        <f>SUM(H663/G663*100)</f>
        <v>#REF!</v>
      </c>
    </row>
    <row r="664" spans="1:9" s="116" customFormat="1" ht="15">
      <c r="A664" s="128" t="s">
        <v>925</v>
      </c>
      <c r="B664" s="183"/>
      <c r="C664" s="171" t="s">
        <v>166</v>
      </c>
      <c r="D664" s="171"/>
      <c r="E664" s="171"/>
      <c r="F664" s="161"/>
      <c r="G664" s="225">
        <f>SUM(G665)</f>
        <v>1304.9</v>
      </c>
      <c r="H664" s="27"/>
      <c r="I664" s="27"/>
    </row>
    <row r="665" spans="1:9" ht="15">
      <c r="A665" s="106" t="s">
        <v>907</v>
      </c>
      <c r="B665" s="155"/>
      <c r="C665" s="155" t="s">
        <v>166</v>
      </c>
      <c r="D665" s="155" t="s">
        <v>638</v>
      </c>
      <c r="E665" s="159"/>
      <c r="F665" s="157"/>
      <c r="G665" s="92">
        <f>SUM(G666)</f>
        <v>1304.9</v>
      </c>
      <c r="H665" s="20"/>
      <c r="I665" s="20"/>
    </row>
    <row r="666" spans="1:9" ht="15">
      <c r="A666" s="108" t="s">
        <v>634</v>
      </c>
      <c r="B666" s="159"/>
      <c r="C666" s="155" t="s">
        <v>166</v>
      </c>
      <c r="D666" s="155" t="s">
        <v>638</v>
      </c>
      <c r="E666" s="159" t="s">
        <v>635</v>
      </c>
      <c r="F666" s="157"/>
      <c r="G666" s="92">
        <f>SUM(G667)</f>
        <v>1304.9</v>
      </c>
      <c r="H666" s="20" t="e">
        <f>SUM(H669)+H673+H675</f>
        <v>#REF!</v>
      </c>
      <c r="I666" s="20" t="e">
        <f>SUM(H666/G666*100)</f>
        <v>#REF!</v>
      </c>
    </row>
    <row r="667" spans="1:9" ht="28.5">
      <c r="A667" s="109" t="s">
        <v>669</v>
      </c>
      <c r="B667" s="155"/>
      <c r="C667" s="155" t="s">
        <v>166</v>
      </c>
      <c r="D667" s="155" t="s">
        <v>638</v>
      </c>
      <c r="E667" s="159" t="s">
        <v>475</v>
      </c>
      <c r="F667" s="161"/>
      <c r="G667" s="92">
        <f>SUM(G668)</f>
        <v>1304.9</v>
      </c>
      <c r="H667" s="27">
        <f>SUM(H668)</f>
        <v>1042.3</v>
      </c>
      <c r="I667" s="20">
        <f>SUM(H667/G667*100)</f>
        <v>79.8758525557514</v>
      </c>
    </row>
    <row r="668" spans="1:9" ht="15">
      <c r="A668" s="109" t="s">
        <v>641</v>
      </c>
      <c r="B668" s="155"/>
      <c r="C668" s="155" t="s">
        <v>166</v>
      </c>
      <c r="D668" s="155" t="s">
        <v>638</v>
      </c>
      <c r="E668" s="159" t="s">
        <v>475</v>
      </c>
      <c r="F668" s="161" t="s">
        <v>642</v>
      </c>
      <c r="G668" s="92">
        <v>1304.9</v>
      </c>
      <c r="H668" s="27">
        <v>1042.3</v>
      </c>
      <c r="I668" s="20">
        <f>SUM(H668/G668*100)</f>
        <v>79.8758525557514</v>
      </c>
    </row>
    <row r="669" spans="1:9" ht="30">
      <c r="A669" s="173" t="s">
        <v>951</v>
      </c>
      <c r="B669" s="174" t="s">
        <v>952</v>
      </c>
      <c r="C669" s="175"/>
      <c r="D669" s="175"/>
      <c r="E669" s="175"/>
      <c r="F669" s="176"/>
      <c r="G669" s="203">
        <f>SUM(G670+G692+G696+G700)</f>
        <v>50719.2</v>
      </c>
      <c r="H669" s="81" t="e">
        <f>SUM(H670)+H696+H700</f>
        <v>#REF!</v>
      </c>
      <c r="I669" s="26" t="e">
        <f aca="true" t="shared" si="17" ref="I669:I779">SUM(H669/G669*100)</f>
        <v>#REF!</v>
      </c>
    </row>
    <row r="670" spans="1:9" ht="15">
      <c r="A670" s="106" t="s">
        <v>236</v>
      </c>
      <c r="B670" s="155"/>
      <c r="C670" s="155" t="s">
        <v>237</v>
      </c>
      <c r="D670" s="155"/>
      <c r="E670" s="155"/>
      <c r="F670" s="156"/>
      <c r="G670" s="91">
        <f>SUM(G671+G680+G677)+G684</f>
        <v>27028.8</v>
      </c>
      <c r="H670" s="20" t="e">
        <f>SUM(H671+H680+H692+H677)</f>
        <v>#REF!</v>
      </c>
      <c r="I670" s="20" t="e">
        <f t="shared" si="17"/>
        <v>#REF!</v>
      </c>
    </row>
    <row r="671" spans="1:9" ht="28.5">
      <c r="A671" s="106" t="s">
        <v>131</v>
      </c>
      <c r="B671" s="155"/>
      <c r="C671" s="155" t="s">
        <v>237</v>
      </c>
      <c r="D671" s="155" t="s">
        <v>132</v>
      </c>
      <c r="E671" s="155"/>
      <c r="F671" s="156"/>
      <c r="G671" s="91">
        <f>SUM(G672)</f>
        <v>17405.6</v>
      </c>
      <c r="H671" s="20">
        <f>SUM(H672)</f>
        <v>9708.8</v>
      </c>
      <c r="I671" s="20">
        <f t="shared" si="17"/>
        <v>55.77974904628395</v>
      </c>
    </row>
    <row r="672" spans="1:9" ht="45.75" customHeight="1">
      <c r="A672" s="106" t="s">
        <v>594</v>
      </c>
      <c r="B672" s="155"/>
      <c r="C672" s="155" t="s">
        <v>237</v>
      </c>
      <c r="D672" s="155" t="s">
        <v>132</v>
      </c>
      <c r="E672" s="155" t="s">
        <v>595</v>
      </c>
      <c r="F672" s="156"/>
      <c r="G672" s="91">
        <f>SUM(G673)</f>
        <v>17405.6</v>
      </c>
      <c r="H672" s="20">
        <f>SUM(H673)</f>
        <v>9708.8</v>
      </c>
      <c r="I672" s="20">
        <f t="shared" si="17"/>
        <v>55.77974904628395</v>
      </c>
    </row>
    <row r="673" spans="1:9" ht="15">
      <c r="A673" s="106" t="s">
        <v>602</v>
      </c>
      <c r="B673" s="155"/>
      <c r="C673" s="155" t="s">
        <v>237</v>
      </c>
      <c r="D673" s="155" t="s">
        <v>132</v>
      </c>
      <c r="E673" s="155" t="s">
        <v>604</v>
      </c>
      <c r="F673" s="156"/>
      <c r="G673" s="91">
        <f>SUM(G674+G675)</f>
        <v>17405.6</v>
      </c>
      <c r="H673" s="20">
        <f>SUM(H674+H675)</f>
        <v>9708.8</v>
      </c>
      <c r="I673" s="20">
        <f t="shared" si="17"/>
        <v>55.77974904628395</v>
      </c>
    </row>
    <row r="674" spans="1:9" s="44" customFormat="1" ht="27" customHeight="1">
      <c r="A674" s="106" t="s">
        <v>598</v>
      </c>
      <c r="B674" s="155"/>
      <c r="C674" s="155" t="s">
        <v>603</v>
      </c>
      <c r="D674" s="155" t="s">
        <v>132</v>
      </c>
      <c r="E674" s="155" t="s">
        <v>604</v>
      </c>
      <c r="F674" s="158" t="s">
        <v>599</v>
      </c>
      <c r="G674" s="91">
        <v>2036.5</v>
      </c>
      <c r="H674" s="20">
        <v>122.5</v>
      </c>
      <c r="I674" s="20">
        <f t="shared" si="17"/>
        <v>6.015222194942303</v>
      </c>
    </row>
    <row r="675" spans="1:9" s="44" customFormat="1" ht="39" customHeight="1">
      <c r="A675" s="106" t="s">
        <v>133</v>
      </c>
      <c r="B675" s="155"/>
      <c r="C675" s="155" t="s">
        <v>603</v>
      </c>
      <c r="D675" s="155" t="s">
        <v>132</v>
      </c>
      <c r="E675" s="155" t="s">
        <v>134</v>
      </c>
      <c r="F675" s="156"/>
      <c r="G675" s="91">
        <f>SUM(G676)</f>
        <v>15369.1</v>
      </c>
      <c r="H675" s="20">
        <f>SUM(H676)</f>
        <v>9586.3</v>
      </c>
      <c r="I675" s="20">
        <f t="shared" si="17"/>
        <v>62.373854031791055</v>
      </c>
    </row>
    <row r="676" spans="1:9" ht="26.25" customHeight="1">
      <c r="A676" s="106" t="s">
        <v>598</v>
      </c>
      <c r="B676" s="155"/>
      <c r="C676" s="155" t="s">
        <v>603</v>
      </c>
      <c r="D676" s="155" t="s">
        <v>132</v>
      </c>
      <c r="E676" s="155" t="s">
        <v>134</v>
      </c>
      <c r="F676" s="158" t="s">
        <v>599</v>
      </c>
      <c r="G676" s="91">
        <v>15369.1</v>
      </c>
      <c r="H676" s="20">
        <v>9586.3</v>
      </c>
      <c r="I676" s="20">
        <f t="shared" si="17"/>
        <v>62.373854031791055</v>
      </c>
    </row>
    <row r="677" spans="1:9" ht="19.5" customHeight="1" hidden="1">
      <c r="A677" s="106" t="s">
        <v>607</v>
      </c>
      <c r="B677" s="155"/>
      <c r="C677" s="155" t="s">
        <v>237</v>
      </c>
      <c r="D677" s="155" t="s">
        <v>904</v>
      </c>
      <c r="E677" s="155"/>
      <c r="F677" s="157"/>
      <c r="G677" s="91">
        <f>SUM(G678)</f>
        <v>0</v>
      </c>
      <c r="H677" s="20" t="e">
        <f>SUM(H678+H696+H699+H702+H705+#REF!+H693)+H682+H680</f>
        <v>#REF!</v>
      </c>
      <c r="I677" s="20" t="e">
        <f t="shared" si="17"/>
        <v>#REF!</v>
      </c>
    </row>
    <row r="678" spans="1:9" ht="19.5" customHeight="1" hidden="1">
      <c r="A678" s="133" t="s">
        <v>813</v>
      </c>
      <c r="B678" s="155"/>
      <c r="C678" s="155" t="s">
        <v>237</v>
      </c>
      <c r="D678" s="155" t="s">
        <v>904</v>
      </c>
      <c r="E678" s="155" t="s">
        <v>814</v>
      </c>
      <c r="F678" s="158"/>
      <c r="G678" s="91">
        <f>SUM(G679)</f>
        <v>0</v>
      </c>
      <c r="H678" s="20">
        <f>SUM(H679)</f>
        <v>5048</v>
      </c>
      <c r="I678" s="20" t="e">
        <f t="shared" si="17"/>
        <v>#DIV/0!</v>
      </c>
    </row>
    <row r="679" spans="1:9" ht="19.5" customHeight="1" hidden="1">
      <c r="A679" s="106" t="s">
        <v>598</v>
      </c>
      <c r="B679" s="155"/>
      <c r="C679" s="155" t="s">
        <v>237</v>
      </c>
      <c r="D679" s="155" t="s">
        <v>904</v>
      </c>
      <c r="E679" s="155" t="s">
        <v>814</v>
      </c>
      <c r="F679" s="158" t="s">
        <v>599</v>
      </c>
      <c r="G679" s="91"/>
      <c r="H679" s="20">
        <v>5048</v>
      </c>
      <c r="I679" s="20" t="e">
        <f t="shared" si="17"/>
        <v>#DIV/0!</v>
      </c>
    </row>
    <row r="680" spans="1:9" ht="15">
      <c r="A680" s="106" t="s">
        <v>148</v>
      </c>
      <c r="B680" s="155"/>
      <c r="C680" s="155" t="s">
        <v>237</v>
      </c>
      <c r="D680" s="155" t="s">
        <v>166</v>
      </c>
      <c r="E680" s="155"/>
      <c r="F680" s="156"/>
      <c r="G680" s="91">
        <f>SUM(G681)</f>
        <v>3310</v>
      </c>
      <c r="H680" s="20">
        <f>SUM(H681)</f>
        <v>0</v>
      </c>
      <c r="I680" s="20">
        <f t="shared" si="17"/>
        <v>0</v>
      </c>
    </row>
    <row r="681" spans="1:9" ht="15">
      <c r="A681" s="106" t="s">
        <v>148</v>
      </c>
      <c r="B681" s="155"/>
      <c r="C681" s="155" t="s">
        <v>237</v>
      </c>
      <c r="D681" s="155" t="s">
        <v>166</v>
      </c>
      <c r="E681" s="155" t="s">
        <v>150</v>
      </c>
      <c r="F681" s="156"/>
      <c r="G681" s="91">
        <f>SUM(G683)</f>
        <v>3310</v>
      </c>
      <c r="H681" s="20">
        <f>SUM(H683)</f>
        <v>0</v>
      </c>
      <c r="I681" s="20">
        <f t="shared" si="17"/>
        <v>0</v>
      </c>
    </row>
    <row r="682" spans="1:9" ht="15">
      <c r="A682" s="106" t="s">
        <v>128</v>
      </c>
      <c r="B682" s="155"/>
      <c r="C682" s="155" t="s">
        <v>237</v>
      </c>
      <c r="D682" s="155" t="s">
        <v>166</v>
      </c>
      <c r="E682" s="155" t="s">
        <v>129</v>
      </c>
      <c r="F682" s="156"/>
      <c r="G682" s="91">
        <f>SUM(G683)</f>
        <v>3310</v>
      </c>
      <c r="H682" s="20">
        <f>SUM(H683)</f>
        <v>0</v>
      </c>
      <c r="I682" s="20">
        <f t="shared" si="17"/>
        <v>0</v>
      </c>
    </row>
    <row r="683" spans="1:9" ht="16.5" customHeight="1">
      <c r="A683" s="105" t="s">
        <v>151</v>
      </c>
      <c r="B683" s="159"/>
      <c r="C683" s="155" t="s">
        <v>237</v>
      </c>
      <c r="D683" s="155" t="s">
        <v>166</v>
      </c>
      <c r="E683" s="155" t="s">
        <v>129</v>
      </c>
      <c r="F683" s="157" t="s">
        <v>147</v>
      </c>
      <c r="G683" s="91">
        <f>4660-1350</f>
        <v>3310</v>
      </c>
      <c r="H683" s="20"/>
      <c r="I683" s="20">
        <f t="shared" si="17"/>
        <v>0</v>
      </c>
    </row>
    <row r="684" spans="1:9" s="28" customFormat="1" ht="19.5" customHeight="1">
      <c r="A684" s="106" t="s">
        <v>607</v>
      </c>
      <c r="B684" s="155"/>
      <c r="C684" s="155" t="s">
        <v>237</v>
      </c>
      <c r="D684" s="155" t="s">
        <v>904</v>
      </c>
      <c r="E684" s="155"/>
      <c r="F684" s="157"/>
      <c r="G684" s="91">
        <f>SUM(G685+G687)+G689</f>
        <v>6313.2</v>
      </c>
      <c r="H684" s="83" t="e">
        <f>SUM(H685+H823+H850+H884)</f>
        <v>#REF!</v>
      </c>
      <c r="I684" s="20" t="e">
        <f t="shared" si="17"/>
        <v>#REF!</v>
      </c>
    </row>
    <row r="685" spans="1:9" s="84" customFormat="1" ht="19.5" customHeight="1">
      <c r="A685" s="106" t="s">
        <v>306</v>
      </c>
      <c r="B685" s="155"/>
      <c r="C685" s="155" t="s">
        <v>237</v>
      </c>
      <c r="D685" s="155" t="s">
        <v>904</v>
      </c>
      <c r="E685" s="155" t="s">
        <v>307</v>
      </c>
      <c r="F685" s="156"/>
      <c r="G685" s="30">
        <f>SUM(G686)</f>
        <v>234.8</v>
      </c>
      <c r="H685" s="20" t="e">
        <f>SUM(H688+H705)+H686</f>
        <v>#REF!</v>
      </c>
      <c r="I685" s="20" t="e">
        <f t="shared" si="17"/>
        <v>#REF!</v>
      </c>
    </row>
    <row r="686" spans="1:9" ht="19.5" customHeight="1">
      <c r="A686" s="106" t="s">
        <v>598</v>
      </c>
      <c r="B686" s="155"/>
      <c r="C686" s="155" t="s">
        <v>237</v>
      </c>
      <c r="D686" s="155" t="s">
        <v>904</v>
      </c>
      <c r="E686" s="155" t="s">
        <v>307</v>
      </c>
      <c r="F686" s="156" t="s">
        <v>599</v>
      </c>
      <c r="G686" s="30">
        <v>234.8</v>
      </c>
      <c r="H686" s="20">
        <f>SUM(H687)</f>
        <v>5048</v>
      </c>
      <c r="I686" s="20">
        <f>SUM(H686/G686*100)</f>
        <v>2149.914821124361</v>
      </c>
    </row>
    <row r="687" spans="1:9" ht="19.5" customHeight="1">
      <c r="A687" s="106" t="s">
        <v>308</v>
      </c>
      <c r="B687" s="155"/>
      <c r="C687" s="155" t="s">
        <v>237</v>
      </c>
      <c r="D687" s="155" t="s">
        <v>904</v>
      </c>
      <c r="E687" s="155" t="s">
        <v>309</v>
      </c>
      <c r="F687" s="156"/>
      <c r="G687" s="30">
        <f>SUM(G688)</f>
        <v>224.9</v>
      </c>
      <c r="H687" s="20">
        <v>5048</v>
      </c>
      <c r="I687" s="20">
        <f>SUM(H687/G687*100)</f>
        <v>2244.553134726545</v>
      </c>
    </row>
    <row r="688" spans="1:9" ht="16.5" customHeight="1">
      <c r="A688" s="106" t="s">
        <v>598</v>
      </c>
      <c r="B688" s="155"/>
      <c r="C688" s="155" t="s">
        <v>237</v>
      </c>
      <c r="D688" s="155" t="s">
        <v>904</v>
      </c>
      <c r="E688" s="155" t="s">
        <v>309</v>
      </c>
      <c r="F688" s="156" t="s">
        <v>599</v>
      </c>
      <c r="G688" s="30">
        <v>224.9</v>
      </c>
      <c r="H688" s="27" t="e">
        <f>SUM(H689)+H697+H704</f>
        <v>#REF!</v>
      </c>
      <c r="I688" s="20" t="e">
        <f>SUM(H688/G688*100)</f>
        <v>#REF!</v>
      </c>
    </row>
    <row r="689" spans="1:9" ht="31.5" customHeight="1">
      <c r="A689" s="133" t="s">
        <v>609</v>
      </c>
      <c r="B689" s="155"/>
      <c r="C689" s="155" t="s">
        <v>237</v>
      </c>
      <c r="D689" s="155" t="s">
        <v>904</v>
      </c>
      <c r="E689" s="155" t="s">
        <v>610</v>
      </c>
      <c r="F689" s="158"/>
      <c r="G689" s="30">
        <f>SUM(G690)</f>
        <v>5853.5</v>
      </c>
      <c r="H689" s="20"/>
      <c r="I689" s="20"/>
    </row>
    <row r="690" spans="1:9" ht="19.5" customHeight="1">
      <c r="A690" s="133" t="s">
        <v>611</v>
      </c>
      <c r="B690" s="155"/>
      <c r="C690" s="155" t="s">
        <v>237</v>
      </c>
      <c r="D690" s="155" t="s">
        <v>904</v>
      </c>
      <c r="E690" s="155" t="s">
        <v>936</v>
      </c>
      <c r="F690" s="158"/>
      <c r="G690" s="30">
        <f>SUM(G691)</f>
        <v>5853.5</v>
      </c>
      <c r="H690" s="20">
        <f>SUM(H691)</f>
        <v>0</v>
      </c>
      <c r="I690" s="20">
        <f>SUM(H690/G690*100)</f>
        <v>0</v>
      </c>
    </row>
    <row r="691" spans="1:9" ht="18.75" customHeight="1">
      <c r="A691" s="106" t="s">
        <v>598</v>
      </c>
      <c r="B691" s="155"/>
      <c r="C691" s="155" t="s">
        <v>237</v>
      </c>
      <c r="D691" s="155" t="s">
        <v>904</v>
      </c>
      <c r="E691" s="155" t="s">
        <v>936</v>
      </c>
      <c r="F691" s="158" t="s">
        <v>599</v>
      </c>
      <c r="G691" s="30">
        <f>5253.5+600</f>
        <v>5853.5</v>
      </c>
      <c r="H691" s="20"/>
      <c r="I691" s="20"/>
    </row>
    <row r="692" spans="1:9" ht="15" hidden="1">
      <c r="A692" s="106" t="s">
        <v>50</v>
      </c>
      <c r="B692" s="155"/>
      <c r="C692" s="159" t="s">
        <v>627</v>
      </c>
      <c r="D692" s="159"/>
      <c r="E692" s="159"/>
      <c r="F692" s="157"/>
      <c r="G692" s="91">
        <f>SUM(G693)</f>
        <v>0</v>
      </c>
      <c r="H692" s="20" t="e">
        <f>SUM(H693+H745)</f>
        <v>#REF!</v>
      </c>
      <c r="I692" s="20" t="e">
        <f>SUM(H692/G692*100)</f>
        <v>#REF!</v>
      </c>
    </row>
    <row r="693" spans="1:9" ht="28.5" hidden="1">
      <c r="A693" s="133" t="s">
        <v>123</v>
      </c>
      <c r="B693" s="189"/>
      <c r="C693" s="171" t="s">
        <v>627</v>
      </c>
      <c r="D693" s="171" t="s">
        <v>625</v>
      </c>
      <c r="E693" s="171"/>
      <c r="F693" s="161"/>
      <c r="G693" s="91">
        <f>SUM(G694)</f>
        <v>0</v>
      </c>
      <c r="H693" s="20" t="e">
        <f>SUM(H697+H700+H695)</f>
        <v>#REF!</v>
      </c>
      <c r="I693" s="20" t="e">
        <f>SUM(H693/G693*100)</f>
        <v>#REF!</v>
      </c>
    </row>
    <row r="694" spans="1:9" ht="19.5" customHeight="1" hidden="1">
      <c r="A694" s="133" t="s">
        <v>813</v>
      </c>
      <c r="B694" s="155"/>
      <c r="C694" s="171" t="s">
        <v>627</v>
      </c>
      <c r="D694" s="171" t="s">
        <v>625</v>
      </c>
      <c r="E694" s="155" t="s">
        <v>814</v>
      </c>
      <c r="F694" s="158"/>
      <c r="G694" s="91">
        <f>SUM(G695)</f>
        <v>0</v>
      </c>
      <c r="H694" s="20">
        <f>SUM(H695)</f>
        <v>0</v>
      </c>
      <c r="I694" s="20" t="e">
        <f>SUM(H694/G694*100)</f>
        <v>#DIV/0!</v>
      </c>
    </row>
    <row r="695" spans="1:9" ht="19.5" customHeight="1" hidden="1">
      <c r="A695" s="108" t="s">
        <v>483</v>
      </c>
      <c r="B695" s="155"/>
      <c r="C695" s="171" t="s">
        <v>627</v>
      </c>
      <c r="D695" s="171" t="s">
        <v>625</v>
      </c>
      <c r="E695" s="155" t="s">
        <v>814</v>
      </c>
      <c r="F695" s="156" t="s">
        <v>933</v>
      </c>
      <c r="G695" s="92"/>
      <c r="H695" s="20"/>
      <c r="I695" s="20"/>
    </row>
    <row r="696" spans="1:9" s="33" customFormat="1" ht="15">
      <c r="A696" s="128" t="s">
        <v>776</v>
      </c>
      <c r="B696" s="155"/>
      <c r="C696" s="183" t="s">
        <v>348</v>
      </c>
      <c r="D696" s="183" t="s">
        <v>777</v>
      </c>
      <c r="E696" s="183"/>
      <c r="F696" s="184"/>
      <c r="G696" s="92">
        <f>SUM(G697)</f>
        <v>9990.4</v>
      </c>
      <c r="H696" s="27" t="e">
        <f>SUM(H697+H700+#REF!+H877+H897)</f>
        <v>#REF!</v>
      </c>
      <c r="I696" s="20" t="e">
        <f t="shared" si="17"/>
        <v>#REF!</v>
      </c>
    </row>
    <row r="697" spans="1:9" ht="20.25" customHeight="1">
      <c r="A697" s="128" t="s">
        <v>729</v>
      </c>
      <c r="B697" s="155"/>
      <c r="C697" s="183" t="s">
        <v>348</v>
      </c>
      <c r="D697" s="183" t="s">
        <v>132</v>
      </c>
      <c r="E697" s="183"/>
      <c r="F697" s="184"/>
      <c r="G697" s="92">
        <f>SUM(G698)</f>
        <v>9990.4</v>
      </c>
      <c r="H697" s="27" t="e">
        <f>SUM(H698)</f>
        <v>#REF!</v>
      </c>
      <c r="I697" s="20" t="e">
        <f t="shared" si="17"/>
        <v>#REF!</v>
      </c>
    </row>
    <row r="698" spans="1:9" ht="42.75">
      <c r="A698" s="133" t="s">
        <v>811</v>
      </c>
      <c r="B698" s="155"/>
      <c r="C698" s="183" t="s">
        <v>348</v>
      </c>
      <c r="D698" s="183" t="s">
        <v>132</v>
      </c>
      <c r="E698" s="155" t="s">
        <v>812</v>
      </c>
      <c r="F698" s="156"/>
      <c r="G698" s="92">
        <f>SUM(G699)</f>
        <v>9990.4</v>
      </c>
      <c r="H698" s="27" t="e">
        <f>SUM(#REF!)</f>
        <v>#REF!</v>
      </c>
      <c r="I698" s="20" t="e">
        <f t="shared" si="17"/>
        <v>#REF!</v>
      </c>
    </row>
    <row r="699" spans="1:9" ht="18" customHeight="1">
      <c r="A699" s="108" t="s">
        <v>483</v>
      </c>
      <c r="B699" s="155"/>
      <c r="C699" s="183" t="s">
        <v>348</v>
      </c>
      <c r="D699" s="183" t="s">
        <v>132</v>
      </c>
      <c r="E699" s="155" t="s">
        <v>812</v>
      </c>
      <c r="F699" s="156" t="s">
        <v>933</v>
      </c>
      <c r="G699" s="92">
        <f>14226.3-665.8-2970.1-600</f>
        <v>9990.4</v>
      </c>
      <c r="H699" s="27"/>
      <c r="I699" s="20">
        <f t="shared" si="17"/>
        <v>0</v>
      </c>
    </row>
    <row r="700" spans="1:9" ht="15">
      <c r="A700" s="128" t="s">
        <v>141</v>
      </c>
      <c r="B700" s="155"/>
      <c r="C700" s="183" t="s">
        <v>904</v>
      </c>
      <c r="D700" s="183" t="s">
        <v>777</v>
      </c>
      <c r="E700" s="183"/>
      <c r="F700" s="184"/>
      <c r="G700" s="92">
        <f aca="true" t="shared" si="18" ref="G700:H704">SUM(G701)</f>
        <v>13700</v>
      </c>
      <c r="H700" s="27">
        <f t="shared" si="18"/>
        <v>0</v>
      </c>
      <c r="I700" s="20">
        <f t="shared" si="17"/>
        <v>0</v>
      </c>
    </row>
    <row r="701" spans="1:9" ht="15">
      <c r="A701" s="128" t="s">
        <v>905</v>
      </c>
      <c r="B701" s="155"/>
      <c r="C701" s="183" t="s">
        <v>904</v>
      </c>
      <c r="D701" s="183" t="s">
        <v>237</v>
      </c>
      <c r="E701" s="155"/>
      <c r="F701" s="156"/>
      <c r="G701" s="92">
        <f t="shared" si="18"/>
        <v>13700</v>
      </c>
      <c r="H701" s="27">
        <f t="shared" si="18"/>
        <v>0</v>
      </c>
      <c r="I701" s="20">
        <f t="shared" si="17"/>
        <v>0</v>
      </c>
    </row>
    <row r="702" spans="1:9" ht="15">
      <c r="A702" s="106" t="s">
        <v>142</v>
      </c>
      <c r="B702" s="155"/>
      <c r="C702" s="183" t="s">
        <v>904</v>
      </c>
      <c r="D702" s="183" t="s">
        <v>237</v>
      </c>
      <c r="E702" s="155" t="s">
        <v>143</v>
      </c>
      <c r="F702" s="158"/>
      <c r="G702" s="91">
        <f>SUM(G704)</f>
        <v>13700</v>
      </c>
      <c r="H702" s="27">
        <f t="shared" si="18"/>
        <v>0</v>
      </c>
      <c r="I702" s="20">
        <f t="shared" si="17"/>
        <v>0</v>
      </c>
    </row>
    <row r="703" spans="1:9" ht="15">
      <c r="A703" s="106" t="s">
        <v>144</v>
      </c>
      <c r="B703" s="155"/>
      <c r="C703" s="183" t="s">
        <v>904</v>
      </c>
      <c r="D703" s="183" t="s">
        <v>237</v>
      </c>
      <c r="E703" s="155" t="s">
        <v>145</v>
      </c>
      <c r="F703" s="158"/>
      <c r="G703" s="91">
        <f>SUM(G704)</f>
        <v>13700</v>
      </c>
      <c r="H703" s="27">
        <f t="shared" si="18"/>
        <v>0</v>
      </c>
      <c r="I703" s="20">
        <f t="shared" si="17"/>
        <v>0</v>
      </c>
    </row>
    <row r="704" spans="1:9" ht="19.5" customHeight="1">
      <c r="A704" s="106" t="s">
        <v>146</v>
      </c>
      <c r="B704" s="155"/>
      <c r="C704" s="183" t="s">
        <v>904</v>
      </c>
      <c r="D704" s="183" t="s">
        <v>237</v>
      </c>
      <c r="E704" s="155" t="s">
        <v>145</v>
      </c>
      <c r="F704" s="158" t="s">
        <v>147</v>
      </c>
      <c r="G704" s="91">
        <v>13700</v>
      </c>
      <c r="H704" s="27">
        <f t="shared" si="18"/>
        <v>0</v>
      </c>
      <c r="I704" s="20">
        <f t="shared" si="17"/>
        <v>0</v>
      </c>
    </row>
    <row r="705" spans="1:9" ht="19.5" customHeight="1" hidden="1">
      <c r="A705" s="108" t="s">
        <v>932</v>
      </c>
      <c r="B705" s="180"/>
      <c r="C705" s="186" t="s">
        <v>348</v>
      </c>
      <c r="D705" s="186" t="s">
        <v>132</v>
      </c>
      <c r="E705" s="180" t="s">
        <v>737</v>
      </c>
      <c r="F705" s="158" t="s">
        <v>933</v>
      </c>
      <c r="G705" s="92"/>
      <c r="H705" s="27"/>
      <c r="I705" s="20" t="e">
        <f t="shared" si="17"/>
        <v>#DIV/0!</v>
      </c>
    </row>
    <row r="706" spans="1:9" ht="28.5" customHeight="1">
      <c r="A706" s="173" t="s">
        <v>953</v>
      </c>
      <c r="B706" s="174" t="s">
        <v>954</v>
      </c>
      <c r="C706" s="175"/>
      <c r="D706" s="175"/>
      <c r="E706" s="175"/>
      <c r="F706" s="176"/>
      <c r="G706" s="203">
        <f>SUM(G707+G724+G729+G735+G740+G745+G784+G799+G822)</f>
        <v>784503.6</v>
      </c>
      <c r="H706" s="81" t="e">
        <f>SUM(H745+H822)+H707+H729</f>
        <v>#REF!</v>
      </c>
      <c r="I706" s="26" t="e">
        <f t="shared" si="17"/>
        <v>#REF!</v>
      </c>
    </row>
    <row r="707" spans="1:9" ht="15" hidden="1">
      <c r="A707" s="106" t="s">
        <v>236</v>
      </c>
      <c r="B707" s="155"/>
      <c r="C707" s="155" t="s">
        <v>237</v>
      </c>
      <c r="D707" s="155"/>
      <c r="E707" s="155"/>
      <c r="F707" s="156"/>
      <c r="G707" s="91">
        <f>SUM(G708)+G712+G716+G720</f>
        <v>0</v>
      </c>
      <c r="H707" s="20" t="e">
        <f>SUM(#REF!)</f>
        <v>#REF!</v>
      </c>
      <c r="I707" s="20" t="e">
        <f t="shared" si="17"/>
        <v>#REF!</v>
      </c>
    </row>
    <row r="708" spans="1:9" ht="44.25" customHeight="1" hidden="1">
      <c r="A708" s="106" t="s">
        <v>600</v>
      </c>
      <c r="B708" s="155"/>
      <c r="C708" s="155" t="s">
        <v>237</v>
      </c>
      <c r="D708" s="155" t="s">
        <v>601</v>
      </c>
      <c r="E708" s="155"/>
      <c r="F708" s="156"/>
      <c r="G708" s="91">
        <f>SUM(G709)</f>
        <v>0</v>
      </c>
      <c r="H708" s="20" t="e">
        <f>SUM(H709)</f>
        <v>#REF!</v>
      </c>
      <c r="I708" s="20" t="e">
        <f aca="true" t="shared" si="19" ref="I708:I721">SUM(H708/G708*100)</f>
        <v>#REF!</v>
      </c>
    </row>
    <row r="709" spans="1:9" ht="42.75" customHeight="1" hidden="1">
      <c r="A709" s="106" t="s">
        <v>594</v>
      </c>
      <c r="B709" s="155"/>
      <c r="C709" s="155" t="s">
        <v>237</v>
      </c>
      <c r="D709" s="155" t="s">
        <v>601</v>
      </c>
      <c r="E709" s="155" t="s">
        <v>595</v>
      </c>
      <c r="F709" s="157"/>
      <c r="G709" s="91">
        <f>SUM(G710)</f>
        <v>0</v>
      </c>
      <c r="H709" s="20" t="e">
        <f>SUM(H710+H712)</f>
        <v>#REF!</v>
      </c>
      <c r="I709" s="20" t="e">
        <f t="shared" si="19"/>
        <v>#REF!</v>
      </c>
    </row>
    <row r="710" spans="1:9" ht="15" hidden="1">
      <c r="A710" s="106" t="s">
        <v>602</v>
      </c>
      <c r="B710" s="155"/>
      <c r="C710" s="155" t="s">
        <v>603</v>
      </c>
      <c r="D710" s="155" t="s">
        <v>601</v>
      </c>
      <c r="E710" s="155" t="s">
        <v>604</v>
      </c>
      <c r="F710" s="157"/>
      <c r="G710" s="91">
        <f>SUM(G711)</f>
        <v>0</v>
      </c>
      <c r="H710" s="20">
        <f>SUM(H711)</f>
        <v>8068.7</v>
      </c>
      <c r="I710" s="20" t="e">
        <f t="shared" si="19"/>
        <v>#DIV/0!</v>
      </c>
    </row>
    <row r="711" spans="1:9" ht="30.75" customHeight="1" hidden="1">
      <c r="A711" s="106" t="s">
        <v>598</v>
      </c>
      <c r="B711" s="155"/>
      <c r="C711" s="155" t="s">
        <v>237</v>
      </c>
      <c r="D711" s="155" t="s">
        <v>601</v>
      </c>
      <c r="E711" s="155" t="s">
        <v>604</v>
      </c>
      <c r="F711" s="156" t="s">
        <v>599</v>
      </c>
      <c r="G711" s="91"/>
      <c r="H711" s="20">
        <v>8068.7</v>
      </c>
      <c r="I711" s="20" t="e">
        <f t="shared" si="19"/>
        <v>#DIV/0!</v>
      </c>
    </row>
    <row r="712" spans="1:9" ht="36" customHeight="1" hidden="1">
      <c r="A712" s="106" t="s">
        <v>411</v>
      </c>
      <c r="B712" s="155"/>
      <c r="C712" s="155" t="s">
        <v>237</v>
      </c>
      <c r="D712" s="155" t="s">
        <v>625</v>
      </c>
      <c r="E712" s="155"/>
      <c r="F712" s="156"/>
      <c r="G712" s="91">
        <f>SUM(G713)</f>
        <v>0</v>
      </c>
      <c r="H712" s="20" t="e">
        <f>SUM(H713)+H730+#REF!</f>
        <v>#REF!</v>
      </c>
      <c r="I712" s="20" t="e">
        <f t="shared" si="19"/>
        <v>#REF!</v>
      </c>
    </row>
    <row r="713" spans="1:9" ht="36" customHeight="1" hidden="1">
      <c r="A713" s="106" t="s">
        <v>594</v>
      </c>
      <c r="B713" s="155"/>
      <c r="C713" s="155" t="s">
        <v>237</v>
      </c>
      <c r="D713" s="155" t="s">
        <v>625</v>
      </c>
      <c r="E713" s="155" t="s">
        <v>595</v>
      </c>
      <c r="F713" s="157"/>
      <c r="G713" s="91">
        <f>SUM(G714)</f>
        <v>0</v>
      </c>
      <c r="H713" s="20" t="e">
        <f>SUM(H714+#REF!)</f>
        <v>#REF!</v>
      </c>
      <c r="I713" s="20" t="e">
        <f t="shared" si="19"/>
        <v>#REF!</v>
      </c>
    </row>
    <row r="714" spans="1:9" ht="15" hidden="1">
      <c r="A714" s="106" t="s">
        <v>602</v>
      </c>
      <c r="B714" s="155"/>
      <c r="C714" s="155" t="s">
        <v>237</v>
      </c>
      <c r="D714" s="155" t="s">
        <v>625</v>
      </c>
      <c r="E714" s="155" t="s">
        <v>604</v>
      </c>
      <c r="F714" s="157"/>
      <c r="G714" s="91">
        <f>SUM(G715)</f>
        <v>0</v>
      </c>
      <c r="H714" s="20" t="e">
        <f>SUM(H715:H715+H716+H718+#REF!)+H717</f>
        <v>#REF!</v>
      </c>
      <c r="I714" s="20" t="e">
        <f t="shared" si="19"/>
        <v>#REF!</v>
      </c>
    </row>
    <row r="715" spans="1:9" ht="15" hidden="1">
      <c r="A715" s="106" t="s">
        <v>598</v>
      </c>
      <c r="B715" s="155"/>
      <c r="C715" s="155" t="s">
        <v>237</v>
      </c>
      <c r="D715" s="155" t="s">
        <v>625</v>
      </c>
      <c r="E715" s="155" t="s">
        <v>604</v>
      </c>
      <c r="F715" s="156" t="s">
        <v>599</v>
      </c>
      <c r="G715" s="91"/>
      <c r="H715" s="20">
        <v>50612.1</v>
      </c>
      <c r="I715" s="20" t="e">
        <f t="shared" si="19"/>
        <v>#DIV/0!</v>
      </c>
    </row>
    <row r="716" spans="1:9" s="22" customFormat="1" ht="28.5" hidden="1">
      <c r="A716" s="106" t="s">
        <v>131</v>
      </c>
      <c r="B716" s="155"/>
      <c r="C716" s="155" t="s">
        <v>237</v>
      </c>
      <c r="D716" s="155" t="s">
        <v>132</v>
      </c>
      <c r="E716" s="155"/>
      <c r="F716" s="156"/>
      <c r="G716" s="91">
        <f>SUM(G717)</f>
        <v>0</v>
      </c>
      <c r="H716" s="20" t="e">
        <f>SUM(H717)</f>
        <v>#REF!</v>
      </c>
      <c r="I716" s="20" t="e">
        <f t="shared" si="19"/>
        <v>#REF!</v>
      </c>
    </row>
    <row r="717" spans="1:9" s="22" customFormat="1" ht="36.75" customHeight="1" hidden="1">
      <c r="A717" s="106" t="s">
        <v>594</v>
      </c>
      <c r="B717" s="155"/>
      <c r="C717" s="155" t="s">
        <v>237</v>
      </c>
      <c r="D717" s="155" t="s">
        <v>132</v>
      </c>
      <c r="E717" s="155" t="s">
        <v>595</v>
      </c>
      <c r="F717" s="156"/>
      <c r="G717" s="91">
        <f>SUM(G718)</f>
        <v>0</v>
      </c>
      <c r="H717" s="20" t="e">
        <f>SUM(H718+#REF!)</f>
        <v>#REF!</v>
      </c>
      <c r="I717" s="20" t="e">
        <f t="shared" si="19"/>
        <v>#REF!</v>
      </c>
    </row>
    <row r="718" spans="1:9" s="22" customFormat="1" ht="15" customHeight="1" hidden="1">
      <c r="A718" s="106" t="s">
        <v>602</v>
      </c>
      <c r="B718" s="155"/>
      <c r="C718" s="155" t="s">
        <v>237</v>
      </c>
      <c r="D718" s="155" t="s">
        <v>132</v>
      </c>
      <c r="E718" s="155" t="s">
        <v>604</v>
      </c>
      <c r="F718" s="156"/>
      <c r="G718" s="91">
        <f>SUM(G719)</f>
        <v>0</v>
      </c>
      <c r="H718" s="20" t="e">
        <f>SUM(H719+#REF!)</f>
        <v>#REF!</v>
      </c>
      <c r="I718" s="20" t="e">
        <f t="shared" si="19"/>
        <v>#REF!</v>
      </c>
    </row>
    <row r="719" spans="1:9" s="22" customFormat="1" ht="14.25" customHeight="1" hidden="1">
      <c r="A719" s="106" t="s">
        <v>598</v>
      </c>
      <c r="B719" s="155"/>
      <c r="C719" s="155" t="s">
        <v>603</v>
      </c>
      <c r="D719" s="155" t="s">
        <v>132</v>
      </c>
      <c r="E719" s="155" t="s">
        <v>604</v>
      </c>
      <c r="F719" s="158" t="s">
        <v>599</v>
      </c>
      <c r="G719" s="91"/>
      <c r="H719" s="20">
        <v>2278</v>
      </c>
      <c r="I719" s="20" t="e">
        <f t="shared" si="19"/>
        <v>#DIV/0!</v>
      </c>
    </row>
    <row r="720" spans="1:9" ht="16.5" customHeight="1" hidden="1">
      <c r="A720" s="106" t="s">
        <v>607</v>
      </c>
      <c r="B720" s="155"/>
      <c r="C720" s="155" t="s">
        <v>237</v>
      </c>
      <c r="D720" s="155" t="s">
        <v>904</v>
      </c>
      <c r="E720" s="155"/>
      <c r="F720" s="157"/>
      <c r="G720" s="91">
        <f>SUM(G721)</f>
        <v>0</v>
      </c>
      <c r="H720" s="20" t="e">
        <f>SUM(H721+H734+H757+H760+H763+H827+#REF!+H731)</f>
        <v>#REF!</v>
      </c>
      <c r="I720" s="20" t="e">
        <f t="shared" si="19"/>
        <v>#REF!</v>
      </c>
    </row>
    <row r="721" spans="1:9" ht="31.5" customHeight="1" hidden="1">
      <c r="A721" s="105" t="s">
        <v>629</v>
      </c>
      <c r="B721" s="155"/>
      <c r="C721" s="155" t="s">
        <v>237</v>
      </c>
      <c r="D721" s="155" t="s">
        <v>904</v>
      </c>
      <c r="E721" s="159" t="s">
        <v>643</v>
      </c>
      <c r="F721" s="157"/>
      <c r="G721" s="91">
        <f>SUM(G722)</f>
        <v>0</v>
      </c>
      <c r="H721" s="20" t="e">
        <f>SUM(#REF!)</f>
        <v>#REF!</v>
      </c>
      <c r="I721" s="20" t="e">
        <f t="shared" si="19"/>
        <v>#REF!</v>
      </c>
    </row>
    <row r="722" spans="1:9" ht="31.5" customHeight="1" hidden="1">
      <c r="A722" s="106" t="s">
        <v>482</v>
      </c>
      <c r="B722" s="155"/>
      <c r="C722" s="155" t="s">
        <v>237</v>
      </c>
      <c r="D722" s="155" t="s">
        <v>904</v>
      </c>
      <c r="E722" s="159" t="s">
        <v>644</v>
      </c>
      <c r="F722" s="157"/>
      <c r="G722" s="91">
        <f>SUM(G723)</f>
        <v>0</v>
      </c>
      <c r="H722" s="20"/>
      <c r="I722" s="20"/>
    </row>
    <row r="723" spans="1:9" ht="25.5" customHeight="1" hidden="1">
      <c r="A723" s="105" t="s">
        <v>483</v>
      </c>
      <c r="B723" s="155"/>
      <c r="C723" s="155" t="s">
        <v>237</v>
      </c>
      <c r="D723" s="155" t="s">
        <v>904</v>
      </c>
      <c r="E723" s="159" t="s">
        <v>644</v>
      </c>
      <c r="F723" s="157" t="s">
        <v>933</v>
      </c>
      <c r="G723" s="91"/>
      <c r="H723" s="20"/>
      <c r="I723" s="20"/>
    </row>
    <row r="724" spans="1:9" ht="21" customHeight="1" hidden="1">
      <c r="A724" s="106" t="s">
        <v>649</v>
      </c>
      <c r="B724" s="155"/>
      <c r="C724" s="159" t="s">
        <v>601</v>
      </c>
      <c r="D724" s="159"/>
      <c r="E724" s="159"/>
      <c r="F724" s="157"/>
      <c r="G724" s="91">
        <f>SUM(G725)</f>
        <v>0</v>
      </c>
      <c r="H724" s="20" t="e">
        <f>SUM(#REF!)+H726+H768</f>
        <v>#REF!</v>
      </c>
      <c r="I724" s="20" t="e">
        <f>SUM(H724/G724*100)</f>
        <v>#REF!</v>
      </c>
    </row>
    <row r="725" spans="1:9" ht="36" customHeight="1" hidden="1">
      <c r="A725" s="133" t="s">
        <v>0</v>
      </c>
      <c r="B725" s="155"/>
      <c r="C725" s="159" t="s">
        <v>601</v>
      </c>
      <c r="D725" s="159" t="s">
        <v>1</v>
      </c>
      <c r="E725" s="159"/>
      <c r="F725" s="157"/>
      <c r="G725" s="91">
        <f>SUM(G726)</f>
        <v>0</v>
      </c>
      <c r="H725" s="20" t="e">
        <f>SUM(#REF!+H732+H745+H758)+H727</f>
        <v>#REF!</v>
      </c>
      <c r="I725" s="20" t="e">
        <f>SUM(H725/G725*100)</f>
        <v>#REF!</v>
      </c>
    </row>
    <row r="726" spans="1:9" ht="28.5" hidden="1">
      <c r="A726" s="106" t="s">
        <v>484</v>
      </c>
      <c r="B726" s="155"/>
      <c r="C726" s="159" t="s">
        <v>601</v>
      </c>
      <c r="D726" s="159" t="s">
        <v>1</v>
      </c>
      <c r="E726" s="159" t="s">
        <v>338</v>
      </c>
      <c r="F726" s="157"/>
      <c r="G726" s="91">
        <f>SUM(G727)</f>
        <v>0</v>
      </c>
      <c r="H726" s="20">
        <f>SUM(H727)</f>
        <v>5387.8</v>
      </c>
      <c r="I726" s="20" t="e">
        <f>SUM(H726/G726*100)</f>
        <v>#DIV/0!</v>
      </c>
    </row>
    <row r="727" spans="1:9" ht="28.5" hidden="1">
      <c r="A727" s="106" t="s">
        <v>482</v>
      </c>
      <c r="B727" s="155"/>
      <c r="C727" s="159" t="s">
        <v>601</v>
      </c>
      <c r="D727" s="159" t="s">
        <v>1</v>
      </c>
      <c r="E727" s="159" t="s">
        <v>339</v>
      </c>
      <c r="F727" s="157"/>
      <c r="G727" s="91">
        <f>SUM(G728)</f>
        <v>0</v>
      </c>
      <c r="H727" s="20">
        <f>SUM(H728)</f>
        <v>5387.8</v>
      </c>
      <c r="I727" s="20" t="e">
        <f>SUM(H727/G727*100)</f>
        <v>#DIV/0!</v>
      </c>
    </row>
    <row r="728" spans="1:9" ht="18" customHeight="1" hidden="1">
      <c r="A728" s="108" t="s">
        <v>483</v>
      </c>
      <c r="B728" s="120"/>
      <c r="C728" s="180" t="s">
        <v>601</v>
      </c>
      <c r="D728" s="180" t="s">
        <v>1</v>
      </c>
      <c r="E728" s="180" t="s">
        <v>339</v>
      </c>
      <c r="F728" s="158" t="s">
        <v>933</v>
      </c>
      <c r="G728" s="91"/>
      <c r="H728" s="20">
        <v>5387.8</v>
      </c>
      <c r="I728" s="20" t="e">
        <f>SUM(H728/G728*100)</f>
        <v>#DIV/0!</v>
      </c>
    </row>
    <row r="729" spans="1:9" ht="18.75" customHeight="1" hidden="1">
      <c r="A729" s="128" t="s">
        <v>624</v>
      </c>
      <c r="B729" s="183"/>
      <c r="C729" s="183" t="s">
        <v>625</v>
      </c>
      <c r="D729" s="183"/>
      <c r="E729" s="183"/>
      <c r="F729" s="184"/>
      <c r="G729" s="92">
        <f>SUM(G730)</f>
        <v>0</v>
      </c>
      <c r="H729" s="27">
        <f>SUM(H730)</f>
        <v>2581.7</v>
      </c>
      <c r="I729" s="20" t="e">
        <f t="shared" si="17"/>
        <v>#DIV/0!</v>
      </c>
    </row>
    <row r="730" spans="1:9" ht="18" customHeight="1" hidden="1">
      <c r="A730" s="106" t="s">
        <v>626</v>
      </c>
      <c r="B730" s="155"/>
      <c r="C730" s="155" t="s">
        <v>625</v>
      </c>
      <c r="D730" s="155" t="s">
        <v>627</v>
      </c>
      <c r="E730" s="155"/>
      <c r="F730" s="156"/>
      <c r="G730" s="91">
        <f>SUM(G731)</f>
        <v>0</v>
      </c>
      <c r="H730" s="20">
        <f>SUM(H731)</f>
        <v>2581.7</v>
      </c>
      <c r="I730" s="20" t="e">
        <f t="shared" si="17"/>
        <v>#DIV/0!</v>
      </c>
    </row>
    <row r="731" spans="1:9" ht="28.5" customHeight="1" hidden="1">
      <c r="A731" s="106" t="s">
        <v>349</v>
      </c>
      <c r="B731" s="155"/>
      <c r="C731" s="155" t="s">
        <v>625</v>
      </c>
      <c r="D731" s="155" t="s">
        <v>627</v>
      </c>
      <c r="E731" s="159" t="s">
        <v>350</v>
      </c>
      <c r="F731" s="157"/>
      <c r="G731" s="91">
        <f>SUM(G732+G733)</f>
        <v>0</v>
      </c>
      <c r="H731" s="20">
        <f>SUM(H732+H733)</f>
        <v>2581.7</v>
      </c>
      <c r="I731" s="20" t="e">
        <f t="shared" si="17"/>
        <v>#DIV/0!</v>
      </c>
    </row>
    <row r="732" spans="1:9" ht="17.25" customHeight="1" hidden="1">
      <c r="A732" s="106" t="s">
        <v>351</v>
      </c>
      <c r="B732" s="155"/>
      <c r="C732" s="155" t="s">
        <v>625</v>
      </c>
      <c r="D732" s="155" t="s">
        <v>627</v>
      </c>
      <c r="E732" s="159" t="s">
        <v>350</v>
      </c>
      <c r="F732" s="156" t="s">
        <v>352</v>
      </c>
      <c r="G732" s="91"/>
      <c r="H732" s="20">
        <v>1711.3</v>
      </c>
      <c r="I732" s="20" t="e">
        <f t="shared" si="17"/>
        <v>#DIV/0!</v>
      </c>
    </row>
    <row r="733" spans="1:9" ht="19.5" customHeight="1" hidden="1">
      <c r="A733" s="129" t="s">
        <v>186</v>
      </c>
      <c r="B733" s="155"/>
      <c r="C733" s="155" t="s">
        <v>625</v>
      </c>
      <c r="D733" s="155" t="s">
        <v>627</v>
      </c>
      <c r="E733" s="159" t="s">
        <v>187</v>
      </c>
      <c r="F733" s="157"/>
      <c r="G733" s="91">
        <f>SUM(G734)</f>
        <v>0</v>
      </c>
      <c r="H733" s="20">
        <f>SUM(H734)</f>
        <v>870.4</v>
      </c>
      <c r="I733" s="20" t="e">
        <f t="shared" si="17"/>
        <v>#DIV/0!</v>
      </c>
    </row>
    <row r="734" spans="1:9" ht="19.5" customHeight="1" hidden="1">
      <c r="A734" s="106" t="s">
        <v>351</v>
      </c>
      <c r="B734" s="155"/>
      <c r="C734" s="155" t="s">
        <v>625</v>
      </c>
      <c r="D734" s="155" t="s">
        <v>627</v>
      </c>
      <c r="E734" s="159" t="s">
        <v>187</v>
      </c>
      <c r="F734" s="157" t="s">
        <v>352</v>
      </c>
      <c r="G734" s="91"/>
      <c r="H734" s="20">
        <v>870.4</v>
      </c>
      <c r="I734" s="20" t="e">
        <f t="shared" si="17"/>
        <v>#DIV/0!</v>
      </c>
    </row>
    <row r="735" spans="1:9" s="28" customFormat="1" ht="18" customHeight="1" hidden="1">
      <c r="A735" s="105" t="s">
        <v>197</v>
      </c>
      <c r="B735" s="159"/>
      <c r="C735" s="159" t="s">
        <v>638</v>
      </c>
      <c r="D735" s="159"/>
      <c r="E735" s="159"/>
      <c r="F735" s="158"/>
      <c r="G735" s="91">
        <f>SUM(G736)</f>
        <v>0</v>
      </c>
      <c r="H735" s="83" t="e">
        <f>SUM(H736+H852+H885+H918)</f>
        <v>#REF!</v>
      </c>
      <c r="I735" s="20" t="e">
        <f t="shared" si="17"/>
        <v>#REF!</v>
      </c>
    </row>
    <row r="736" spans="1:9" ht="15" hidden="1">
      <c r="A736" s="131" t="s">
        <v>500</v>
      </c>
      <c r="B736" s="155"/>
      <c r="C736" s="159" t="s">
        <v>638</v>
      </c>
      <c r="D736" s="159" t="s">
        <v>638</v>
      </c>
      <c r="E736" s="159"/>
      <c r="F736" s="158"/>
      <c r="G736" s="91">
        <f>SUM(G737)</f>
        <v>0</v>
      </c>
      <c r="H736" s="20" t="e">
        <f>SUM(H737+#REF!+H780+H758)+H769</f>
        <v>#REF!</v>
      </c>
      <c r="I736" s="20" t="e">
        <f t="shared" si="17"/>
        <v>#REF!</v>
      </c>
    </row>
    <row r="737" spans="1:9" s="25" customFormat="1" ht="41.25" customHeight="1" hidden="1">
      <c r="A737" s="106" t="s">
        <v>594</v>
      </c>
      <c r="B737" s="159"/>
      <c r="C737" s="159" t="s">
        <v>638</v>
      </c>
      <c r="D737" s="159" t="s">
        <v>638</v>
      </c>
      <c r="E737" s="155" t="s">
        <v>595</v>
      </c>
      <c r="F737" s="157"/>
      <c r="G737" s="91">
        <f>SUM(G738)</f>
        <v>0</v>
      </c>
      <c r="H737" s="20">
        <f>SUM(H738+H745)</f>
        <v>25782.3</v>
      </c>
      <c r="I737" s="20" t="e">
        <f t="shared" si="17"/>
        <v>#DIV/0!</v>
      </c>
    </row>
    <row r="738" spans="1:9" s="25" customFormat="1" ht="21" customHeight="1" hidden="1">
      <c r="A738" s="106" t="s">
        <v>602</v>
      </c>
      <c r="B738" s="159"/>
      <c r="C738" s="159" t="s">
        <v>638</v>
      </c>
      <c r="D738" s="159" t="s">
        <v>638</v>
      </c>
      <c r="E738" s="155" t="s">
        <v>604</v>
      </c>
      <c r="F738" s="157"/>
      <c r="G738" s="91">
        <f>SUM(G739)</f>
        <v>0</v>
      </c>
      <c r="H738" s="20">
        <f>SUM(H739)</f>
        <v>0</v>
      </c>
      <c r="I738" s="20" t="e">
        <f t="shared" si="17"/>
        <v>#DIV/0!</v>
      </c>
    </row>
    <row r="739" spans="1:9" s="25" customFormat="1" ht="30" customHeight="1" hidden="1">
      <c r="A739" s="106" t="s">
        <v>598</v>
      </c>
      <c r="B739" s="159"/>
      <c r="C739" s="159" t="s">
        <v>638</v>
      </c>
      <c r="D739" s="159" t="s">
        <v>638</v>
      </c>
      <c r="E739" s="155" t="s">
        <v>604</v>
      </c>
      <c r="F739" s="157" t="s">
        <v>599</v>
      </c>
      <c r="G739" s="91"/>
      <c r="H739" s="20"/>
      <c r="I739" s="20" t="e">
        <f t="shared" si="17"/>
        <v>#DIV/0!</v>
      </c>
    </row>
    <row r="740" spans="1:9" ht="26.25" customHeight="1" hidden="1">
      <c r="A740" s="106" t="s">
        <v>519</v>
      </c>
      <c r="B740" s="155"/>
      <c r="C740" s="155" t="s">
        <v>132</v>
      </c>
      <c r="D740" s="155"/>
      <c r="E740" s="155"/>
      <c r="F740" s="156"/>
      <c r="G740" s="91">
        <f>SUM(G743)</f>
        <v>0</v>
      </c>
      <c r="H740" s="20">
        <f>SUM(H741)+H745</f>
        <v>27982</v>
      </c>
      <c r="I740" s="20" t="e">
        <f t="shared" si="17"/>
        <v>#DIV/0!</v>
      </c>
    </row>
    <row r="741" spans="1:9" ht="31.5" customHeight="1" hidden="1">
      <c r="A741" s="106" t="s">
        <v>520</v>
      </c>
      <c r="B741" s="155"/>
      <c r="C741" s="155" t="s">
        <v>132</v>
      </c>
      <c r="D741" s="155" t="s">
        <v>601</v>
      </c>
      <c r="E741" s="155"/>
      <c r="F741" s="156"/>
      <c r="G741" s="91">
        <f>SUM(G744)</f>
        <v>0</v>
      </c>
      <c r="H741" s="20">
        <f>SUM(H744)</f>
        <v>2199.7</v>
      </c>
      <c r="I741" s="20" t="e">
        <f t="shared" si="17"/>
        <v>#DIV/0!</v>
      </c>
    </row>
    <row r="742" spans="1:9" ht="15.75" customHeight="1" hidden="1">
      <c r="A742" s="106" t="s">
        <v>521</v>
      </c>
      <c r="B742" s="155"/>
      <c r="C742" s="155" t="s">
        <v>132</v>
      </c>
      <c r="D742" s="155" t="s">
        <v>601</v>
      </c>
      <c r="E742" s="155" t="s">
        <v>522</v>
      </c>
      <c r="F742" s="156"/>
      <c r="G742" s="91">
        <f>SUM(G743)</f>
        <v>0</v>
      </c>
      <c r="H742" s="20">
        <f>SUM(H743)</f>
        <v>2199.7</v>
      </c>
      <c r="I742" s="20" t="e">
        <f t="shared" si="17"/>
        <v>#DIV/0!</v>
      </c>
    </row>
    <row r="743" spans="1:9" ht="28.5" hidden="1">
      <c r="A743" s="106" t="s">
        <v>482</v>
      </c>
      <c r="B743" s="180"/>
      <c r="C743" s="180" t="s">
        <v>132</v>
      </c>
      <c r="D743" s="180" t="s">
        <v>601</v>
      </c>
      <c r="E743" s="180" t="s">
        <v>523</v>
      </c>
      <c r="F743" s="158"/>
      <c r="G743" s="91">
        <f>SUM(G744)</f>
        <v>0</v>
      </c>
      <c r="H743" s="20">
        <f>SUM(H744)</f>
        <v>2199.7</v>
      </c>
      <c r="I743" s="20" t="e">
        <f t="shared" si="17"/>
        <v>#DIV/0!</v>
      </c>
    </row>
    <row r="744" spans="1:9" ht="21.75" customHeight="1" hidden="1">
      <c r="A744" s="108" t="s">
        <v>483</v>
      </c>
      <c r="B744" s="155"/>
      <c r="C744" s="155" t="s">
        <v>132</v>
      </c>
      <c r="D744" s="155" t="s">
        <v>601</v>
      </c>
      <c r="E744" s="180" t="s">
        <v>523</v>
      </c>
      <c r="F744" s="158" t="s">
        <v>933</v>
      </c>
      <c r="G744" s="91"/>
      <c r="H744" s="20">
        <v>2199.7</v>
      </c>
      <c r="I744" s="20" t="e">
        <f t="shared" si="17"/>
        <v>#DIV/0!</v>
      </c>
    </row>
    <row r="745" spans="1:9" ht="15">
      <c r="A745" s="128" t="s">
        <v>613</v>
      </c>
      <c r="B745" s="155"/>
      <c r="C745" s="183" t="s">
        <v>614</v>
      </c>
      <c r="D745" s="183"/>
      <c r="E745" s="183"/>
      <c r="F745" s="184"/>
      <c r="G745" s="92">
        <f>SUM(G746+G750+G767)+G774</f>
        <v>49344.2</v>
      </c>
      <c r="H745" s="27">
        <f>SUM(H750)+H767+H781</f>
        <v>25782.3</v>
      </c>
      <c r="I745" s="20">
        <f t="shared" si="17"/>
        <v>52.2499098171619</v>
      </c>
    </row>
    <row r="746" spans="1:9" ht="20.25" customHeight="1" hidden="1">
      <c r="A746" s="106" t="s">
        <v>64</v>
      </c>
      <c r="B746" s="174"/>
      <c r="C746" s="159" t="s">
        <v>614</v>
      </c>
      <c r="D746" s="159" t="s">
        <v>237</v>
      </c>
      <c r="E746" s="159"/>
      <c r="F746" s="157"/>
      <c r="G746" s="91">
        <f>SUM(G747+G828)</f>
        <v>0</v>
      </c>
      <c r="H746" s="20">
        <f>SUM(H757+H825)</f>
        <v>26866</v>
      </c>
      <c r="I746" s="20" t="e">
        <f t="shared" si="17"/>
        <v>#DIV/0!</v>
      </c>
    </row>
    <row r="747" spans="1:9" ht="21" customHeight="1" hidden="1">
      <c r="A747" s="106" t="s">
        <v>65</v>
      </c>
      <c r="B747" s="174"/>
      <c r="C747" s="159" t="s">
        <v>614</v>
      </c>
      <c r="D747" s="159" t="s">
        <v>237</v>
      </c>
      <c r="E747" s="159" t="s">
        <v>66</v>
      </c>
      <c r="F747" s="157"/>
      <c r="G747" s="91">
        <f>SUM(G748)</f>
        <v>0</v>
      </c>
      <c r="H747" s="20">
        <f>SUM(H748)</f>
        <v>213206.5</v>
      </c>
      <c r="I747" s="20" t="e">
        <f>SUM(H747/G747*100)</f>
        <v>#DIV/0!</v>
      </c>
    </row>
    <row r="748" spans="1:9" ht="28.5" hidden="1">
      <c r="A748" s="106" t="s">
        <v>482</v>
      </c>
      <c r="B748" s="174"/>
      <c r="C748" s="159" t="s">
        <v>614</v>
      </c>
      <c r="D748" s="159" t="s">
        <v>237</v>
      </c>
      <c r="E748" s="159" t="s">
        <v>67</v>
      </c>
      <c r="F748" s="157"/>
      <c r="G748" s="91">
        <f>SUM(G749)</f>
        <v>0</v>
      </c>
      <c r="H748" s="20">
        <f>SUM(H749+H761+H770+H779)+H758</f>
        <v>213206.5</v>
      </c>
      <c r="I748" s="20" t="e">
        <f>SUM(H748/G748*100)</f>
        <v>#DIV/0!</v>
      </c>
    </row>
    <row r="749" spans="1:9" ht="18.75" customHeight="1" hidden="1">
      <c r="A749" s="108" t="s">
        <v>483</v>
      </c>
      <c r="B749" s="120"/>
      <c r="C749" s="180" t="s">
        <v>614</v>
      </c>
      <c r="D749" s="180" t="s">
        <v>237</v>
      </c>
      <c r="E749" s="180" t="s">
        <v>67</v>
      </c>
      <c r="F749" s="158" t="s">
        <v>933</v>
      </c>
      <c r="G749" s="91"/>
      <c r="H749" s="20">
        <v>187516.5</v>
      </c>
      <c r="I749" s="20" t="e">
        <f>SUM(H749/G749*100)</f>
        <v>#DIV/0!</v>
      </c>
    </row>
    <row r="750" spans="1:9" ht="15">
      <c r="A750" s="106" t="s">
        <v>81</v>
      </c>
      <c r="B750" s="155"/>
      <c r="C750" s="159" t="s">
        <v>614</v>
      </c>
      <c r="D750" s="159" t="s">
        <v>239</v>
      </c>
      <c r="E750" s="183"/>
      <c r="F750" s="184"/>
      <c r="G750" s="91">
        <f>SUM(G751+G754+G757+G764)</f>
        <v>49344.2</v>
      </c>
      <c r="H750" s="20">
        <f>SUM(H757)</f>
        <v>25662.5</v>
      </c>
      <c r="I750" s="20">
        <f t="shared" si="17"/>
        <v>52.00712545750058</v>
      </c>
    </row>
    <row r="751" spans="1:9" ht="26.25" customHeight="1" hidden="1">
      <c r="A751" s="106" t="s">
        <v>84</v>
      </c>
      <c r="B751" s="174"/>
      <c r="C751" s="159" t="s">
        <v>614</v>
      </c>
      <c r="D751" s="159" t="s">
        <v>239</v>
      </c>
      <c r="E751" s="159" t="s">
        <v>85</v>
      </c>
      <c r="F751" s="157"/>
      <c r="G751" s="91">
        <f>SUM(G752)</f>
        <v>0</v>
      </c>
      <c r="H751" s="20">
        <f>SUM(H767)</f>
        <v>0</v>
      </c>
      <c r="I751" s="20" t="e">
        <f t="shared" si="17"/>
        <v>#DIV/0!</v>
      </c>
    </row>
    <row r="752" spans="1:9" ht="37.5" customHeight="1" hidden="1">
      <c r="A752" s="106" t="s">
        <v>482</v>
      </c>
      <c r="B752" s="174"/>
      <c r="C752" s="159" t="s">
        <v>614</v>
      </c>
      <c r="D752" s="159" t="s">
        <v>239</v>
      </c>
      <c r="E752" s="159" t="s">
        <v>86</v>
      </c>
      <c r="F752" s="157"/>
      <c r="G752" s="91">
        <f>SUM(G753)</f>
        <v>0</v>
      </c>
      <c r="H752" s="20">
        <f>SUM(H753+H763+H768+H782)+H770+H757+H761+H780</f>
        <v>104563.7</v>
      </c>
      <c r="I752" s="20" t="e">
        <f>SUM(H752/G752*100)</f>
        <v>#DIV/0!</v>
      </c>
    </row>
    <row r="753" spans="1:9" ht="19.5" customHeight="1" hidden="1">
      <c r="A753" s="108" t="s">
        <v>483</v>
      </c>
      <c r="B753" s="120"/>
      <c r="C753" s="159" t="s">
        <v>614</v>
      </c>
      <c r="D753" s="159" t="s">
        <v>239</v>
      </c>
      <c r="E753" s="159" t="s">
        <v>86</v>
      </c>
      <c r="F753" s="158" t="s">
        <v>933</v>
      </c>
      <c r="G753" s="91"/>
      <c r="H753" s="20">
        <v>53118.9</v>
      </c>
      <c r="I753" s="20" t="e">
        <f>SUM(H753/G753*100)</f>
        <v>#DIV/0!</v>
      </c>
    </row>
    <row r="754" spans="1:9" ht="18" customHeight="1" hidden="1">
      <c r="A754" s="106" t="s">
        <v>36</v>
      </c>
      <c r="B754" s="155"/>
      <c r="C754" s="159" t="s">
        <v>614</v>
      </c>
      <c r="D754" s="159" t="s">
        <v>239</v>
      </c>
      <c r="E754" s="159" t="s">
        <v>37</v>
      </c>
      <c r="F754" s="157"/>
      <c r="G754" s="91">
        <f>SUM(G755)</f>
        <v>0</v>
      </c>
      <c r="H754" s="20">
        <f>SUM(H755)</f>
        <v>54469.700000000004</v>
      </c>
      <c r="I754" s="20" t="e">
        <f>SUM(H754/G754*100)</f>
        <v>#DIV/0!</v>
      </c>
    </row>
    <row r="755" spans="1:9" ht="37.5" customHeight="1" hidden="1">
      <c r="A755" s="106" t="s">
        <v>482</v>
      </c>
      <c r="B755" s="174"/>
      <c r="C755" s="159" t="s">
        <v>614</v>
      </c>
      <c r="D755" s="159" t="s">
        <v>239</v>
      </c>
      <c r="E755" s="159" t="s">
        <v>38</v>
      </c>
      <c r="F755" s="157"/>
      <c r="G755" s="91">
        <f>SUM(G756)</f>
        <v>0</v>
      </c>
      <c r="H755" s="20">
        <f>SUM(H756+H769+H778+H823)+H780+H760+H767+H783</f>
        <v>54469.700000000004</v>
      </c>
      <c r="I755" s="20" t="e">
        <f>SUM(H755/G755*100)</f>
        <v>#DIV/0!</v>
      </c>
    </row>
    <row r="756" spans="1:9" ht="19.5" customHeight="1" hidden="1">
      <c r="A756" s="108" t="s">
        <v>483</v>
      </c>
      <c r="B756" s="120"/>
      <c r="C756" s="159" t="s">
        <v>614</v>
      </c>
      <c r="D756" s="159" t="s">
        <v>239</v>
      </c>
      <c r="E756" s="159" t="s">
        <v>38</v>
      </c>
      <c r="F756" s="158" t="s">
        <v>933</v>
      </c>
      <c r="G756" s="91"/>
      <c r="H756" s="20">
        <v>53118.9</v>
      </c>
      <c r="I756" s="20" t="e">
        <f>SUM(H756/G756*100)</f>
        <v>#DIV/0!</v>
      </c>
    </row>
    <row r="757" spans="1:9" ht="15">
      <c r="A757" s="106" t="s">
        <v>43</v>
      </c>
      <c r="B757" s="155"/>
      <c r="C757" s="159" t="s">
        <v>614</v>
      </c>
      <c r="D757" s="159" t="s">
        <v>239</v>
      </c>
      <c r="E757" s="159" t="s">
        <v>44</v>
      </c>
      <c r="F757" s="184"/>
      <c r="G757" s="91">
        <f>SUM(G758)</f>
        <v>49344.2</v>
      </c>
      <c r="H757" s="20">
        <f>SUM(H758)</f>
        <v>25662.5</v>
      </c>
      <c r="I757" s="20">
        <f t="shared" si="17"/>
        <v>52.00712545750058</v>
      </c>
    </row>
    <row r="758" spans="1:9" ht="27.75" customHeight="1">
      <c r="A758" s="106" t="s">
        <v>482</v>
      </c>
      <c r="B758" s="155"/>
      <c r="C758" s="159" t="s">
        <v>614</v>
      </c>
      <c r="D758" s="159" t="s">
        <v>239</v>
      </c>
      <c r="E758" s="159" t="s">
        <v>45</v>
      </c>
      <c r="F758" s="184"/>
      <c r="G758" s="91">
        <f>SUM(G762+G760+G759)</f>
        <v>49344.2</v>
      </c>
      <c r="H758" s="20">
        <f>SUM(H762+H760+H759)</f>
        <v>25662.5</v>
      </c>
      <c r="I758" s="20">
        <f t="shared" si="17"/>
        <v>52.00712545750058</v>
      </c>
    </row>
    <row r="759" spans="1:9" ht="21.75" customHeight="1" hidden="1">
      <c r="A759" s="108" t="s">
        <v>483</v>
      </c>
      <c r="B759" s="155"/>
      <c r="C759" s="159" t="s">
        <v>614</v>
      </c>
      <c r="D759" s="159" t="s">
        <v>239</v>
      </c>
      <c r="E759" s="155" t="s">
        <v>45</v>
      </c>
      <c r="F759" s="157" t="s">
        <v>933</v>
      </c>
      <c r="G759" s="91"/>
      <c r="H759" s="20"/>
      <c r="I759" s="20" t="e">
        <f t="shared" si="17"/>
        <v>#DIV/0!</v>
      </c>
    </row>
    <row r="760" spans="1:9" ht="42.75">
      <c r="A760" s="108" t="s">
        <v>494</v>
      </c>
      <c r="B760" s="120"/>
      <c r="C760" s="159" t="s">
        <v>614</v>
      </c>
      <c r="D760" s="159" t="s">
        <v>239</v>
      </c>
      <c r="E760" s="159" t="s">
        <v>47</v>
      </c>
      <c r="F760" s="158"/>
      <c r="G760" s="91">
        <f>SUM(G761)</f>
        <v>38.5</v>
      </c>
      <c r="H760" s="20">
        <f>SUM(H761)</f>
        <v>27.5</v>
      </c>
      <c r="I760" s="20">
        <f t="shared" si="17"/>
        <v>71.42857142857143</v>
      </c>
    </row>
    <row r="761" spans="1:9" ht="15">
      <c r="A761" s="108" t="s">
        <v>483</v>
      </c>
      <c r="B761" s="120"/>
      <c r="C761" s="159" t="s">
        <v>614</v>
      </c>
      <c r="D761" s="159" t="s">
        <v>239</v>
      </c>
      <c r="E761" s="159" t="s">
        <v>47</v>
      </c>
      <c r="F761" s="158" t="s">
        <v>933</v>
      </c>
      <c r="G761" s="91">
        <v>38.5</v>
      </c>
      <c r="H761" s="20">
        <v>27.5</v>
      </c>
      <c r="I761" s="20">
        <f t="shared" si="17"/>
        <v>71.42857142857143</v>
      </c>
    </row>
    <row r="762" spans="1:9" ht="57">
      <c r="A762" s="106" t="s">
        <v>263</v>
      </c>
      <c r="B762" s="155"/>
      <c r="C762" s="159" t="s">
        <v>614</v>
      </c>
      <c r="D762" s="159" t="s">
        <v>239</v>
      </c>
      <c r="E762" s="159" t="s">
        <v>51</v>
      </c>
      <c r="F762" s="184"/>
      <c r="G762" s="91">
        <f>SUM(G763)</f>
        <v>49305.7</v>
      </c>
      <c r="H762" s="20">
        <f>SUM(H763)</f>
        <v>25635</v>
      </c>
      <c r="I762" s="20">
        <f t="shared" si="17"/>
        <v>51.991960361580915</v>
      </c>
    </row>
    <row r="763" spans="1:9" ht="15">
      <c r="A763" s="108" t="s">
        <v>483</v>
      </c>
      <c r="B763" s="155"/>
      <c r="C763" s="159" t="s">
        <v>614</v>
      </c>
      <c r="D763" s="159" t="s">
        <v>239</v>
      </c>
      <c r="E763" s="159" t="s">
        <v>51</v>
      </c>
      <c r="F763" s="184" t="s">
        <v>933</v>
      </c>
      <c r="G763" s="91">
        <v>49305.7</v>
      </c>
      <c r="H763" s="20">
        <v>25635</v>
      </c>
      <c r="I763" s="20">
        <f t="shared" si="17"/>
        <v>51.991960361580915</v>
      </c>
    </row>
    <row r="764" spans="1:9" ht="19.5" customHeight="1" hidden="1">
      <c r="A764" s="106" t="s">
        <v>52</v>
      </c>
      <c r="B764" s="159"/>
      <c r="C764" s="159" t="s">
        <v>614</v>
      </c>
      <c r="D764" s="159" t="s">
        <v>239</v>
      </c>
      <c r="E764" s="159" t="s">
        <v>53</v>
      </c>
      <c r="F764" s="157"/>
      <c r="G764" s="91">
        <f>SUM(G765)</f>
        <v>0</v>
      </c>
      <c r="H764" s="20" t="e">
        <f>SUM(H765)</f>
        <v>#REF!</v>
      </c>
      <c r="I764" s="20" t="e">
        <f t="shared" si="17"/>
        <v>#REF!</v>
      </c>
    </row>
    <row r="765" spans="1:9" ht="34.5" customHeight="1" hidden="1">
      <c r="A765" s="106" t="s">
        <v>482</v>
      </c>
      <c r="B765" s="174"/>
      <c r="C765" s="159" t="s">
        <v>614</v>
      </c>
      <c r="D765" s="159" t="s">
        <v>239</v>
      </c>
      <c r="E765" s="159" t="s">
        <v>54</v>
      </c>
      <c r="F765" s="157"/>
      <c r="G765" s="91">
        <f>SUM(G766)</f>
        <v>0</v>
      </c>
      <c r="H765" s="20" t="e">
        <f>SUM(#REF!+H768+H770)</f>
        <v>#REF!</v>
      </c>
      <c r="I765" s="20" t="e">
        <f t="shared" si="17"/>
        <v>#REF!</v>
      </c>
    </row>
    <row r="766" spans="1:9" ht="15" hidden="1">
      <c r="A766" s="108" t="s">
        <v>483</v>
      </c>
      <c r="B766" s="155"/>
      <c r="C766" s="159" t="s">
        <v>614</v>
      </c>
      <c r="D766" s="159" t="s">
        <v>239</v>
      </c>
      <c r="E766" s="159" t="s">
        <v>54</v>
      </c>
      <c r="F766" s="184" t="s">
        <v>933</v>
      </c>
      <c r="G766" s="91"/>
      <c r="H766" s="20">
        <v>25635</v>
      </c>
      <c r="I766" s="20" t="e">
        <f>SUM(H766/G766*100)</f>
        <v>#DIV/0!</v>
      </c>
    </row>
    <row r="767" spans="1:9" ht="15" hidden="1">
      <c r="A767" s="106" t="s">
        <v>615</v>
      </c>
      <c r="B767" s="155"/>
      <c r="C767" s="155" t="s">
        <v>614</v>
      </c>
      <c r="D767" s="155" t="s">
        <v>614</v>
      </c>
      <c r="E767" s="159"/>
      <c r="F767" s="184"/>
      <c r="G767" s="91">
        <f>SUM(G778+G768+G771)</f>
        <v>0</v>
      </c>
      <c r="H767" s="20">
        <f>SUM(H778+H768)</f>
        <v>0</v>
      </c>
      <c r="I767" s="20" t="e">
        <f t="shared" si="17"/>
        <v>#DIV/0!</v>
      </c>
    </row>
    <row r="768" spans="1:9" ht="15" hidden="1">
      <c r="A768" s="105" t="s">
        <v>878</v>
      </c>
      <c r="B768" s="159"/>
      <c r="C768" s="159" t="s">
        <v>614</v>
      </c>
      <c r="D768" s="159" t="s">
        <v>614</v>
      </c>
      <c r="E768" s="159" t="s">
        <v>879</v>
      </c>
      <c r="F768" s="157"/>
      <c r="G768" s="91">
        <f>SUM(G769)</f>
        <v>0</v>
      </c>
      <c r="H768" s="20">
        <f>SUM(H769)</f>
        <v>0</v>
      </c>
      <c r="I768" s="20" t="e">
        <f t="shared" si="17"/>
        <v>#DIV/0!</v>
      </c>
    </row>
    <row r="769" spans="1:9" ht="28.5" hidden="1">
      <c r="A769" s="106" t="s">
        <v>482</v>
      </c>
      <c r="B769" s="159"/>
      <c r="C769" s="159" t="s">
        <v>614</v>
      </c>
      <c r="D769" s="159" t="s">
        <v>614</v>
      </c>
      <c r="E769" s="159" t="s">
        <v>885</v>
      </c>
      <c r="F769" s="157"/>
      <c r="G769" s="91">
        <f>SUM(G770)</f>
        <v>0</v>
      </c>
      <c r="H769" s="20">
        <f>SUM(H770)</f>
        <v>0</v>
      </c>
      <c r="I769" s="20" t="e">
        <f t="shared" si="17"/>
        <v>#DIV/0!</v>
      </c>
    </row>
    <row r="770" spans="1:9" ht="15" hidden="1">
      <c r="A770" s="108" t="s">
        <v>483</v>
      </c>
      <c r="B770" s="159"/>
      <c r="C770" s="159" t="s">
        <v>614</v>
      </c>
      <c r="D770" s="159" t="s">
        <v>614</v>
      </c>
      <c r="E770" s="159" t="s">
        <v>885</v>
      </c>
      <c r="F770" s="157" t="s">
        <v>933</v>
      </c>
      <c r="G770" s="91"/>
      <c r="H770" s="20"/>
      <c r="I770" s="20" t="e">
        <f t="shared" si="17"/>
        <v>#DIV/0!</v>
      </c>
    </row>
    <row r="771" spans="1:9" ht="15" hidden="1">
      <c r="A771" s="108" t="s">
        <v>634</v>
      </c>
      <c r="B771" s="188"/>
      <c r="C771" s="159" t="s">
        <v>614</v>
      </c>
      <c r="D771" s="159" t="s">
        <v>614</v>
      </c>
      <c r="E771" s="159" t="s">
        <v>635</v>
      </c>
      <c r="F771" s="158"/>
      <c r="G771" s="91">
        <f>SUM(G772)</f>
        <v>0</v>
      </c>
      <c r="H771" s="20" t="e">
        <f>SUM(#REF!)</f>
        <v>#REF!</v>
      </c>
      <c r="I771" s="20" t="e">
        <f>SUM(H771/G771*100)</f>
        <v>#REF!</v>
      </c>
    </row>
    <row r="772" spans="1:9" ht="42.75" hidden="1">
      <c r="A772" s="109" t="s">
        <v>106</v>
      </c>
      <c r="B772" s="188"/>
      <c r="C772" s="159" t="s">
        <v>614</v>
      </c>
      <c r="D772" s="159" t="s">
        <v>614</v>
      </c>
      <c r="E772" s="159" t="s">
        <v>105</v>
      </c>
      <c r="F772" s="158"/>
      <c r="G772" s="91">
        <f>SUM(G773)</f>
        <v>0</v>
      </c>
      <c r="H772" s="20"/>
      <c r="I772" s="20"/>
    </row>
    <row r="773" spans="1:9" ht="22.5" customHeight="1" hidden="1">
      <c r="A773" s="108" t="s">
        <v>876</v>
      </c>
      <c r="B773" s="188"/>
      <c r="C773" s="159" t="s">
        <v>614</v>
      </c>
      <c r="D773" s="159" t="s">
        <v>614</v>
      </c>
      <c r="E773" s="159" t="s">
        <v>105</v>
      </c>
      <c r="F773" s="158" t="s">
        <v>877</v>
      </c>
      <c r="G773" s="91"/>
      <c r="H773" s="20"/>
      <c r="I773" s="20"/>
    </row>
    <row r="774" spans="1:9" ht="15" hidden="1">
      <c r="A774" s="106" t="s">
        <v>893</v>
      </c>
      <c r="B774" s="155"/>
      <c r="C774" s="159" t="s">
        <v>614</v>
      </c>
      <c r="D774" s="159" t="s">
        <v>1</v>
      </c>
      <c r="E774" s="159"/>
      <c r="F774" s="157"/>
      <c r="G774" s="91">
        <f>SUM(G775)</f>
        <v>0</v>
      </c>
      <c r="H774" s="20">
        <f>SUM(H778+H782+H789+H807+H775)</f>
        <v>36356.7</v>
      </c>
      <c r="I774" s="20" t="e">
        <f>SUM(H774/G774*100)</f>
        <v>#DIV/0!</v>
      </c>
    </row>
    <row r="775" spans="1:9" ht="42.75" hidden="1">
      <c r="A775" s="133" t="s">
        <v>1000</v>
      </c>
      <c r="B775" s="155"/>
      <c r="C775" s="159" t="s">
        <v>614</v>
      </c>
      <c r="D775" s="159" t="s">
        <v>1</v>
      </c>
      <c r="E775" s="159" t="s">
        <v>1001</v>
      </c>
      <c r="F775" s="157"/>
      <c r="G775" s="91">
        <f>SUM(G776)</f>
        <v>0</v>
      </c>
      <c r="H775" s="20">
        <f>SUM(H776)</f>
        <v>17823.6</v>
      </c>
      <c r="I775" s="20" t="e">
        <f>SUM(H775/G775*100)</f>
        <v>#DIV/0!</v>
      </c>
    </row>
    <row r="776" spans="1:9" ht="33" customHeight="1" hidden="1">
      <c r="A776" s="106" t="s">
        <v>482</v>
      </c>
      <c r="B776" s="167"/>
      <c r="C776" s="159" t="s">
        <v>614</v>
      </c>
      <c r="D776" s="159" t="s">
        <v>1</v>
      </c>
      <c r="E776" s="159" t="s">
        <v>1002</v>
      </c>
      <c r="F776" s="157"/>
      <c r="G776" s="91">
        <f>SUM(G777+G778+G780)</f>
        <v>0</v>
      </c>
      <c r="H776" s="20">
        <f>SUM(H777+H778+H780)</f>
        <v>17823.6</v>
      </c>
      <c r="I776" s="20" t="e">
        <f>SUM(H776/G776*100)</f>
        <v>#DIV/0!</v>
      </c>
    </row>
    <row r="777" spans="1:9" ht="18" customHeight="1" hidden="1">
      <c r="A777" s="108" t="s">
        <v>483</v>
      </c>
      <c r="B777" s="167"/>
      <c r="C777" s="159" t="s">
        <v>614</v>
      </c>
      <c r="D777" s="159" t="s">
        <v>1</v>
      </c>
      <c r="E777" s="159" t="s">
        <v>1002</v>
      </c>
      <c r="F777" s="157" t="s">
        <v>933</v>
      </c>
      <c r="G777" s="91"/>
      <c r="H777" s="20">
        <v>17823.6</v>
      </c>
      <c r="I777" s="20" t="e">
        <f>SUM(H777/G777*100)</f>
        <v>#DIV/0!</v>
      </c>
    </row>
    <row r="778" spans="1:9" ht="15" hidden="1">
      <c r="A778" s="133" t="s">
        <v>886</v>
      </c>
      <c r="B778" s="155"/>
      <c r="C778" s="155" t="s">
        <v>614</v>
      </c>
      <c r="D778" s="155" t="s">
        <v>614</v>
      </c>
      <c r="E778" s="155" t="s">
        <v>617</v>
      </c>
      <c r="F778" s="184"/>
      <c r="G778" s="91">
        <f>SUM(G779)</f>
        <v>0</v>
      </c>
      <c r="H778" s="20">
        <f>SUM(H779)</f>
        <v>0</v>
      </c>
      <c r="I778" s="20" t="e">
        <f t="shared" si="17"/>
        <v>#DIV/0!</v>
      </c>
    </row>
    <row r="779" spans="1:9" ht="19.5" customHeight="1" hidden="1">
      <c r="A779" s="133" t="s">
        <v>887</v>
      </c>
      <c r="B779" s="155"/>
      <c r="C779" s="155" t="s">
        <v>614</v>
      </c>
      <c r="D779" s="155" t="s">
        <v>614</v>
      </c>
      <c r="E779" s="155" t="s">
        <v>888</v>
      </c>
      <c r="F779" s="184"/>
      <c r="G779" s="91">
        <f>SUM(G780)</f>
        <v>0</v>
      </c>
      <c r="H779" s="20">
        <f>SUM(H780)</f>
        <v>0</v>
      </c>
      <c r="I779" s="20" t="e">
        <f t="shared" si="17"/>
        <v>#DIV/0!</v>
      </c>
    </row>
    <row r="780" spans="1:9" s="33" customFormat="1" ht="19.5" customHeight="1" hidden="1">
      <c r="A780" s="108" t="s">
        <v>932</v>
      </c>
      <c r="B780" s="155"/>
      <c r="C780" s="155" t="s">
        <v>614</v>
      </c>
      <c r="D780" s="155" t="s">
        <v>614</v>
      </c>
      <c r="E780" s="155" t="s">
        <v>888</v>
      </c>
      <c r="F780" s="156" t="s">
        <v>933</v>
      </c>
      <c r="G780" s="91"/>
      <c r="H780" s="20"/>
      <c r="I780" s="20" t="e">
        <f aca="true" t="shared" si="20" ref="I780:I889">SUM(H780/G780*100)</f>
        <v>#DIV/0!</v>
      </c>
    </row>
    <row r="781" spans="1:9" s="33" customFormat="1" ht="19.5" customHeight="1" hidden="1">
      <c r="A781" s="108" t="s">
        <v>615</v>
      </c>
      <c r="B781" s="155"/>
      <c r="C781" s="155" t="s">
        <v>614</v>
      </c>
      <c r="D781" s="155" t="s">
        <v>614</v>
      </c>
      <c r="E781" s="155"/>
      <c r="F781" s="156"/>
      <c r="G781" s="91">
        <f>SUM(G782)</f>
        <v>0</v>
      </c>
      <c r="H781" s="20">
        <f>SUM(H782)</f>
        <v>119.8</v>
      </c>
      <c r="I781" s="20" t="e">
        <f t="shared" si="20"/>
        <v>#DIV/0!</v>
      </c>
    </row>
    <row r="782" spans="1:9" s="33" customFormat="1" ht="19.5" customHeight="1" hidden="1">
      <c r="A782" s="108" t="s">
        <v>128</v>
      </c>
      <c r="B782" s="155"/>
      <c r="C782" s="155" t="s">
        <v>614</v>
      </c>
      <c r="D782" s="155" t="s">
        <v>614</v>
      </c>
      <c r="E782" s="155" t="s">
        <v>129</v>
      </c>
      <c r="F782" s="156"/>
      <c r="G782" s="91">
        <f>SUM(G783)</f>
        <v>0</v>
      </c>
      <c r="H782" s="20">
        <f>SUM(H783)</f>
        <v>119.8</v>
      </c>
      <c r="I782" s="20" t="e">
        <f t="shared" si="20"/>
        <v>#DIV/0!</v>
      </c>
    </row>
    <row r="783" spans="1:9" s="33" customFormat="1" ht="19.5" customHeight="1" hidden="1">
      <c r="A783" s="108" t="s">
        <v>876</v>
      </c>
      <c r="B783" s="155"/>
      <c r="C783" s="155" t="s">
        <v>614</v>
      </c>
      <c r="D783" s="155" t="s">
        <v>614</v>
      </c>
      <c r="E783" s="155" t="s">
        <v>129</v>
      </c>
      <c r="F783" s="156" t="s">
        <v>877</v>
      </c>
      <c r="G783" s="91"/>
      <c r="H783" s="20">
        <v>119.8</v>
      </c>
      <c r="I783" s="20" t="e">
        <f t="shared" si="20"/>
        <v>#DIV/0!</v>
      </c>
    </row>
    <row r="784" spans="1:9" s="118" customFormat="1" ht="15" hidden="1">
      <c r="A784" s="128" t="s">
        <v>50</v>
      </c>
      <c r="B784" s="183"/>
      <c r="C784" s="171" t="s">
        <v>627</v>
      </c>
      <c r="D784" s="171"/>
      <c r="E784" s="171"/>
      <c r="F784" s="161"/>
      <c r="G784" s="92">
        <f>SUM(G785+G795)</f>
        <v>0</v>
      </c>
      <c r="H784" s="27" t="e">
        <f>SUM(H785+H838)</f>
        <v>#REF!</v>
      </c>
      <c r="I784" s="27" t="e">
        <f aca="true" t="shared" si="21" ref="I784:I789">SUM(H784/G784*100)</f>
        <v>#REF!</v>
      </c>
    </row>
    <row r="785" spans="1:9" ht="15" hidden="1">
      <c r="A785" s="106" t="s">
        <v>104</v>
      </c>
      <c r="B785" s="155"/>
      <c r="C785" s="159" t="s">
        <v>627</v>
      </c>
      <c r="D785" s="159" t="s">
        <v>237</v>
      </c>
      <c r="E785" s="159"/>
      <c r="F785" s="157"/>
      <c r="G785" s="91">
        <f>SUM(G786+G789+G792)</f>
        <v>0</v>
      </c>
      <c r="H785" s="20" t="e">
        <f>SUM(H826+H794+H790+H834)</f>
        <v>#REF!</v>
      </c>
      <c r="I785" s="20" t="e">
        <f t="shared" si="21"/>
        <v>#REF!</v>
      </c>
    </row>
    <row r="786" spans="1:9" ht="28.5" hidden="1">
      <c r="A786" s="105" t="s">
        <v>629</v>
      </c>
      <c r="B786" s="155"/>
      <c r="C786" s="159" t="s">
        <v>627</v>
      </c>
      <c r="D786" s="159" t="s">
        <v>237</v>
      </c>
      <c r="E786" s="159" t="s">
        <v>643</v>
      </c>
      <c r="F786" s="157"/>
      <c r="G786" s="91">
        <f>SUM(G787:G787)</f>
        <v>0</v>
      </c>
      <c r="H786" s="20">
        <f>SUM(H792)</f>
        <v>13901.099999999999</v>
      </c>
      <c r="I786" s="20" t="e">
        <f t="shared" si="21"/>
        <v>#DIV/0!</v>
      </c>
    </row>
    <row r="787" spans="1:9" ht="27.75" customHeight="1" hidden="1">
      <c r="A787" s="106" t="s">
        <v>482</v>
      </c>
      <c r="B787" s="159"/>
      <c r="C787" s="159" t="s">
        <v>627</v>
      </c>
      <c r="D787" s="159" t="s">
        <v>237</v>
      </c>
      <c r="E787" s="159" t="s">
        <v>644</v>
      </c>
      <c r="F787" s="157"/>
      <c r="G787" s="91">
        <f>SUM(G788:G788)</f>
        <v>0</v>
      </c>
      <c r="H787" s="20">
        <v>14679.5</v>
      </c>
      <c r="I787" s="20" t="e">
        <f t="shared" si="21"/>
        <v>#DIV/0!</v>
      </c>
    </row>
    <row r="788" spans="1:9" ht="18" customHeight="1" hidden="1">
      <c r="A788" s="108" t="s">
        <v>483</v>
      </c>
      <c r="B788" s="159"/>
      <c r="C788" s="159" t="s">
        <v>627</v>
      </c>
      <c r="D788" s="159" t="s">
        <v>237</v>
      </c>
      <c r="E788" s="159" t="s">
        <v>644</v>
      </c>
      <c r="F788" s="157" t="s">
        <v>933</v>
      </c>
      <c r="G788" s="91"/>
      <c r="H788" s="20"/>
      <c r="I788" s="20" t="e">
        <f t="shared" si="21"/>
        <v>#DIV/0!</v>
      </c>
    </row>
    <row r="789" spans="1:9" ht="15" hidden="1">
      <c r="A789" s="106" t="s">
        <v>110</v>
      </c>
      <c r="B789" s="155"/>
      <c r="C789" s="159" t="s">
        <v>627</v>
      </c>
      <c r="D789" s="159" t="s">
        <v>237</v>
      </c>
      <c r="E789" s="159" t="s">
        <v>111</v>
      </c>
      <c r="F789" s="157"/>
      <c r="G789" s="91">
        <f>SUM(G790)</f>
        <v>0</v>
      </c>
      <c r="H789" s="20">
        <f>SUM(H790)</f>
        <v>14679.5</v>
      </c>
      <c r="I789" s="20" t="e">
        <f t="shared" si="21"/>
        <v>#DIV/0!</v>
      </c>
    </row>
    <row r="790" spans="1:9" ht="27.75" customHeight="1" hidden="1">
      <c r="A790" s="106" t="s">
        <v>482</v>
      </c>
      <c r="B790" s="159"/>
      <c r="C790" s="159" t="s">
        <v>627</v>
      </c>
      <c r="D790" s="159" t="s">
        <v>237</v>
      </c>
      <c r="E790" s="159" t="s">
        <v>112</v>
      </c>
      <c r="F790" s="157"/>
      <c r="G790" s="91">
        <f>SUM(G791:G791)</f>
        <v>0</v>
      </c>
      <c r="H790" s="20">
        <v>14679.5</v>
      </c>
      <c r="I790" s="20" t="e">
        <f aca="true" t="shared" si="22" ref="I790:I801">SUM(H790/G790*100)</f>
        <v>#DIV/0!</v>
      </c>
    </row>
    <row r="791" spans="1:9" ht="18" customHeight="1" hidden="1">
      <c r="A791" s="108" t="s">
        <v>483</v>
      </c>
      <c r="B791" s="159"/>
      <c r="C791" s="159" t="s">
        <v>627</v>
      </c>
      <c r="D791" s="159" t="s">
        <v>237</v>
      </c>
      <c r="E791" s="159" t="s">
        <v>112</v>
      </c>
      <c r="F791" s="157" t="s">
        <v>933</v>
      </c>
      <c r="G791" s="91"/>
      <c r="H791" s="20"/>
      <c r="I791" s="20" t="e">
        <f t="shared" si="22"/>
        <v>#DIV/0!</v>
      </c>
    </row>
    <row r="792" spans="1:9" ht="15" hidden="1">
      <c r="A792" s="106" t="s">
        <v>114</v>
      </c>
      <c r="B792" s="155"/>
      <c r="C792" s="159" t="s">
        <v>627</v>
      </c>
      <c r="D792" s="159" t="s">
        <v>237</v>
      </c>
      <c r="E792" s="159" t="s">
        <v>115</v>
      </c>
      <c r="F792" s="157"/>
      <c r="G792" s="91">
        <f>SUM(G793)</f>
        <v>0</v>
      </c>
      <c r="H792" s="20">
        <f>SUM(H793)</f>
        <v>13901.099999999999</v>
      </c>
      <c r="I792" s="20" t="e">
        <f t="shared" si="22"/>
        <v>#DIV/0!</v>
      </c>
    </row>
    <row r="793" spans="1:9" ht="34.5" customHeight="1" hidden="1">
      <c r="A793" s="106" t="s">
        <v>482</v>
      </c>
      <c r="B793" s="174"/>
      <c r="C793" s="159" t="s">
        <v>627</v>
      </c>
      <c r="D793" s="159" t="s">
        <v>237</v>
      </c>
      <c r="E793" s="159" t="s">
        <v>116</v>
      </c>
      <c r="F793" s="157"/>
      <c r="G793" s="91">
        <f>SUM(G794)</f>
        <v>0</v>
      </c>
      <c r="H793" s="20">
        <f>SUM(H794+H798+H823)</f>
        <v>13901.099999999999</v>
      </c>
      <c r="I793" s="20" t="e">
        <f t="shared" si="22"/>
        <v>#DIV/0!</v>
      </c>
    </row>
    <row r="794" spans="1:9" ht="15.75" customHeight="1" hidden="1">
      <c r="A794" s="108" t="s">
        <v>483</v>
      </c>
      <c r="B794" s="120"/>
      <c r="C794" s="159" t="s">
        <v>627</v>
      </c>
      <c r="D794" s="159" t="s">
        <v>237</v>
      </c>
      <c r="E794" s="159" t="s">
        <v>116</v>
      </c>
      <c r="F794" s="158" t="s">
        <v>933</v>
      </c>
      <c r="G794" s="91"/>
      <c r="H794" s="20">
        <v>8963.8</v>
      </c>
      <c r="I794" s="20" t="e">
        <f t="shared" si="22"/>
        <v>#DIV/0!</v>
      </c>
    </row>
    <row r="795" spans="1:9" ht="24" customHeight="1" hidden="1">
      <c r="A795" s="133" t="s">
        <v>896</v>
      </c>
      <c r="B795" s="189"/>
      <c r="C795" s="171" t="s">
        <v>627</v>
      </c>
      <c r="D795" s="171" t="s">
        <v>625</v>
      </c>
      <c r="E795" s="171"/>
      <c r="F795" s="161"/>
      <c r="G795" s="91">
        <f>SUM(G796)</f>
        <v>0</v>
      </c>
      <c r="H795" s="20" t="e">
        <f>SUM(H822+H827)+H796</f>
        <v>#REF!</v>
      </c>
      <c r="I795" s="20" t="e">
        <f t="shared" si="22"/>
        <v>#REF!</v>
      </c>
    </row>
    <row r="796" spans="1:9" ht="57" customHeight="1" hidden="1">
      <c r="A796" s="133" t="s">
        <v>1000</v>
      </c>
      <c r="B796" s="174"/>
      <c r="C796" s="159" t="s">
        <v>627</v>
      </c>
      <c r="D796" s="171" t="s">
        <v>625</v>
      </c>
      <c r="E796" s="159" t="s">
        <v>1001</v>
      </c>
      <c r="F796" s="157"/>
      <c r="G796" s="91">
        <f>SUM(G797)</f>
        <v>0</v>
      </c>
      <c r="H796" s="20">
        <f>SUM(H797)</f>
        <v>3733.8</v>
      </c>
      <c r="I796" s="20" t="e">
        <f t="shared" si="22"/>
        <v>#DIV/0!</v>
      </c>
    </row>
    <row r="797" spans="1:9" ht="30.75" customHeight="1" hidden="1">
      <c r="A797" s="106" t="s">
        <v>482</v>
      </c>
      <c r="B797" s="174"/>
      <c r="C797" s="159" t="s">
        <v>627</v>
      </c>
      <c r="D797" s="171" t="s">
        <v>625</v>
      </c>
      <c r="E797" s="159" t="s">
        <v>1002</v>
      </c>
      <c r="F797" s="157"/>
      <c r="G797" s="91">
        <f>SUM(G798)</f>
        <v>0</v>
      </c>
      <c r="H797" s="20">
        <f>SUM(H798)</f>
        <v>3733.8</v>
      </c>
      <c r="I797" s="20" t="e">
        <f t="shared" si="22"/>
        <v>#DIV/0!</v>
      </c>
    </row>
    <row r="798" spans="1:9" ht="16.5" customHeight="1" hidden="1">
      <c r="A798" s="108" t="s">
        <v>483</v>
      </c>
      <c r="B798" s="120"/>
      <c r="C798" s="159" t="s">
        <v>627</v>
      </c>
      <c r="D798" s="171" t="s">
        <v>625</v>
      </c>
      <c r="E798" s="159" t="s">
        <v>1002</v>
      </c>
      <c r="F798" s="158" t="s">
        <v>933</v>
      </c>
      <c r="G798" s="91"/>
      <c r="H798" s="20">
        <v>3733.8</v>
      </c>
      <c r="I798" s="20" t="e">
        <f t="shared" si="22"/>
        <v>#DIV/0!</v>
      </c>
    </row>
    <row r="799" spans="1:9" s="118" customFormat="1" ht="15" hidden="1">
      <c r="A799" s="128" t="s">
        <v>48</v>
      </c>
      <c r="B799" s="183"/>
      <c r="C799" s="171" t="s">
        <v>1</v>
      </c>
      <c r="D799" s="171"/>
      <c r="E799" s="171"/>
      <c r="F799" s="161"/>
      <c r="G799" s="92">
        <f>SUM(G800+G804+G814+G818)</f>
        <v>0</v>
      </c>
      <c r="H799" s="27" t="e">
        <f>SUM(H800+H820+H840+H845+H858+H869)</f>
        <v>#REF!</v>
      </c>
      <c r="I799" s="27" t="e">
        <f t="shared" si="22"/>
        <v>#REF!</v>
      </c>
    </row>
    <row r="800" spans="1:9" ht="15.75" customHeight="1" hidden="1">
      <c r="A800" s="106" t="s">
        <v>754</v>
      </c>
      <c r="B800" s="155"/>
      <c r="C800" s="159" t="s">
        <v>1</v>
      </c>
      <c r="D800" s="159" t="s">
        <v>237</v>
      </c>
      <c r="E800" s="159"/>
      <c r="F800" s="157"/>
      <c r="G800" s="91">
        <f>SUM(G801)</f>
        <v>0</v>
      </c>
      <c r="H800" s="20">
        <f>SUM(H805+H807)</f>
        <v>7467.6</v>
      </c>
      <c r="I800" s="20" t="e">
        <f t="shared" si="22"/>
        <v>#DIV/0!</v>
      </c>
    </row>
    <row r="801" spans="1:9" ht="15" hidden="1">
      <c r="A801" s="106" t="s">
        <v>791</v>
      </c>
      <c r="B801" s="155"/>
      <c r="C801" s="159" t="s">
        <v>1</v>
      </c>
      <c r="D801" s="159" t="s">
        <v>237</v>
      </c>
      <c r="E801" s="159" t="s">
        <v>758</v>
      </c>
      <c r="F801" s="157"/>
      <c r="G801" s="91">
        <f>SUM(G802)</f>
        <v>0</v>
      </c>
      <c r="H801" s="20">
        <f>SUM(H802)</f>
        <v>3733.8</v>
      </c>
      <c r="I801" s="20" t="e">
        <f t="shared" si="22"/>
        <v>#DIV/0!</v>
      </c>
    </row>
    <row r="802" spans="1:9" ht="30.75" customHeight="1" hidden="1">
      <c r="A802" s="106" t="s">
        <v>482</v>
      </c>
      <c r="B802" s="174"/>
      <c r="C802" s="159" t="s">
        <v>1</v>
      </c>
      <c r="D802" s="159" t="s">
        <v>237</v>
      </c>
      <c r="E802" s="159" t="s">
        <v>759</v>
      </c>
      <c r="F802" s="157"/>
      <c r="G802" s="91">
        <f>SUM(G803)</f>
        <v>0</v>
      </c>
      <c r="H802" s="20">
        <f>SUM(H803)</f>
        <v>3733.8</v>
      </c>
      <c r="I802" s="20" t="e">
        <f aca="true" t="shared" si="23" ref="I802:I811">SUM(H802/G802*100)</f>
        <v>#DIV/0!</v>
      </c>
    </row>
    <row r="803" spans="1:9" ht="16.5" customHeight="1" hidden="1">
      <c r="A803" s="108" t="s">
        <v>483</v>
      </c>
      <c r="B803" s="120"/>
      <c r="C803" s="159" t="s">
        <v>1</v>
      </c>
      <c r="D803" s="159" t="s">
        <v>237</v>
      </c>
      <c r="E803" s="159" t="s">
        <v>759</v>
      </c>
      <c r="F803" s="158" t="s">
        <v>933</v>
      </c>
      <c r="G803" s="91"/>
      <c r="H803" s="20">
        <v>3733.8</v>
      </c>
      <c r="I803" s="20" t="e">
        <f t="shared" si="23"/>
        <v>#DIV/0!</v>
      </c>
    </row>
    <row r="804" spans="1:9" ht="18.75" customHeight="1" hidden="1">
      <c r="A804" s="106" t="s">
        <v>911</v>
      </c>
      <c r="B804" s="155"/>
      <c r="C804" s="159" t="s">
        <v>1</v>
      </c>
      <c r="D804" s="159" t="s">
        <v>239</v>
      </c>
      <c r="E804" s="159"/>
      <c r="F804" s="157"/>
      <c r="G804" s="91">
        <f>SUM(G805+G808+G811)</f>
        <v>0</v>
      </c>
      <c r="H804" s="20" t="e">
        <f>SUM(H805+H812+H823+H827)</f>
        <v>#REF!</v>
      </c>
      <c r="I804" s="20" t="e">
        <f t="shared" si="23"/>
        <v>#REF!</v>
      </c>
    </row>
    <row r="805" spans="1:9" ht="15" hidden="1">
      <c r="A805" s="106" t="s">
        <v>791</v>
      </c>
      <c r="B805" s="155"/>
      <c r="C805" s="159" t="s">
        <v>1</v>
      </c>
      <c r="D805" s="159" t="s">
        <v>239</v>
      </c>
      <c r="E805" s="159" t="s">
        <v>758</v>
      </c>
      <c r="F805" s="157"/>
      <c r="G805" s="91">
        <f>SUM(G806)</f>
        <v>0</v>
      </c>
      <c r="H805" s="20">
        <f>SUM(H806)</f>
        <v>3733.8</v>
      </c>
      <c r="I805" s="20" t="e">
        <f t="shared" si="23"/>
        <v>#DIV/0!</v>
      </c>
    </row>
    <row r="806" spans="1:9" ht="30.75" customHeight="1" hidden="1">
      <c r="A806" s="106" t="s">
        <v>482</v>
      </c>
      <c r="B806" s="174"/>
      <c r="C806" s="159" t="s">
        <v>1</v>
      </c>
      <c r="D806" s="159" t="s">
        <v>239</v>
      </c>
      <c r="E806" s="159" t="s">
        <v>759</v>
      </c>
      <c r="F806" s="157"/>
      <c r="G806" s="91">
        <f>SUM(G807)</f>
        <v>0</v>
      </c>
      <c r="H806" s="20">
        <f>SUM(H807)</f>
        <v>3733.8</v>
      </c>
      <c r="I806" s="20" t="e">
        <f t="shared" si="23"/>
        <v>#DIV/0!</v>
      </c>
    </row>
    <row r="807" spans="1:9" ht="16.5" customHeight="1" hidden="1">
      <c r="A807" s="108" t="s">
        <v>483</v>
      </c>
      <c r="B807" s="120"/>
      <c r="C807" s="159" t="s">
        <v>1</v>
      </c>
      <c r="D807" s="159" t="s">
        <v>239</v>
      </c>
      <c r="E807" s="159" t="s">
        <v>759</v>
      </c>
      <c r="F807" s="158" t="s">
        <v>933</v>
      </c>
      <c r="G807" s="91"/>
      <c r="H807" s="20">
        <v>3733.8</v>
      </c>
      <c r="I807" s="20" t="e">
        <f t="shared" si="23"/>
        <v>#DIV/0!</v>
      </c>
    </row>
    <row r="808" spans="1:9" ht="15.75" customHeight="1" hidden="1">
      <c r="A808" s="106" t="s">
        <v>912</v>
      </c>
      <c r="B808" s="155"/>
      <c r="C808" s="159" t="s">
        <v>1</v>
      </c>
      <c r="D808" s="159" t="s">
        <v>239</v>
      </c>
      <c r="E808" s="159" t="s">
        <v>913</v>
      </c>
      <c r="F808" s="157"/>
      <c r="G808" s="91">
        <f>SUM(G809)</f>
        <v>0</v>
      </c>
      <c r="H808" s="20">
        <f>SUM(H809)</f>
        <v>3733.8</v>
      </c>
      <c r="I808" s="20" t="e">
        <f t="shared" si="23"/>
        <v>#DIV/0!</v>
      </c>
    </row>
    <row r="809" spans="1:9" ht="30.75" customHeight="1" hidden="1">
      <c r="A809" s="106" t="s">
        <v>482</v>
      </c>
      <c r="B809" s="174"/>
      <c r="C809" s="159" t="s">
        <v>1</v>
      </c>
      <c r="D809" s="159" t="s">
        <v>239</v>
      </c>
      <c r="E809" s="159" t="s">
        <v>914</v>
      </c>
      <c r="F809" s="157"/>
      <c r="G809" s="91">
        <f>SUM(G810)</f>
        <v>0</v>
      </c>
      <c r="H809" s="20">
        <f>SUM(H810)</f>
        <v>3733.8</v>
      </c>
      <c r="I809" s="20" t="e">
        <f t="shared" si="23"/>
        <v>#DIV/0!</v>
      </c>
    </row>
    <row r="810" spans="1:9" ht="16.5" customHeight="1" hidden="1">
      <c r="A810" s="108" t="s">
        <v>483</v>
      </c>
      <c r="B810" s="120"/>
      <c r="C810" s="159" t="s">
        <v>1</v>
      </c>
      <c r="D810" s="159" t="s">
        <v>239</v>
      </c>
      <c r="E810" s="159" t="s">
        <v>914</v>
      </c>
      <c r="F810" s="158" t="s">
        <v>933</v>
      </c>
      <c r="G810" s="91"/>
      <c r="H810" s="20">
        <v>3733.8</v>
      </c>
      <c r="I810" s="20" t="e">
        <f t="shared" si="23"/>
        <v>#DIV/0!</v>
      </c>
    </row>
    <row r="811" spans="1:9" ht="14.25" customHeight="1" hidden="1">
      <c r="A811" s="106" t="s">
        <v>916</v>
      </c>
      <c r="B811" s="155"/>
      <c r="C811" s="159" t="s">
        <v>1</v>
      </c>
      <c r="D811" s="159" t="s">
        <v>239</v>
      </c>
      <c r="E811" s="159" t="s">
        <v>917</v>
      </c>
      <c r="F811" s="157"/>
      <c r="G811" s="91">
        <f>SUM(G812)</f>
        <v>0</v>
      </c>
      <c r="H811" s="20">
        <f>SUM(H812)</f>
        <v>3733.8</v>
      </c>
      <c r="I811" s="20" t="e">
        <f t="shared" si="23"/>
        <v>#DIV/0!</v>
      </c>
    </row>
    <row r="812" spans="1:9" ht="30.75" customHeight="1" hidden="1">
      <c r="A812" s="106" t="s">
        <v>482</v>
      </c>
      <c r="B812" s="174"/>
      <c r="C812" s="159" t="s">
        <v>1</v>
      </c>
      <c r="D812" s="159" t="s">
        <v>239</v>
      </c>
      <c r="E812" s="159" t="s">
        <v>657</v>
      </c>
      <c r="F812" s="157"/>
      <c r="G812" s="91">
        <f>SUM(G813)</f>
        <v>0</v>
      </c>
      <c r="H812" s="20">
        <f>SUM(H813)</f>
        <v>3733.8</v>
      </c>
      <c r="I812" s="20" t="e">
        <f aca="true" t="shared" si="24" ref="I812:I821">SUM(H812/G812*100)</f>
        <v>#DIV/0!</v>
      </c>
    </row>
    <row r="813" spans="1:9" ht="16.5" customHeight="1" hidden="1">
      <c r="A813" s="108" t="s">
        <v>483</v>
      </c>
      <c r="B813" s="120"/>
      <c r="C813" s="159" t="s">
        <v>1</v>
      </c>
      <c r="D813" s="159" t="s">
        <v>239</v>
      </c>
      <c r="E813" s="159" t="s">
        <v>657</v>
      </c>
      <c r="F813" s="158" t="s">
        <v>933</v>
      </c>
      <c r="G813" s="91"/>
      <c r="H813" s="20">
        <v>3733.8</v>
      </c>
      <c r="I813" s="20" t="e">
        <f t="shared" si="24"/>
        <v>#DIV/0!</v>
      </c>
    </row>
    <row r="814" spans="1:9" ht="15" hidden="1">
      <c r="A814" s="108" t="s">
        <v>921</v>
      </c>
      <c r="B814" s="155"/>
      <c r="C814" s="159" t="s">
        <v>1</v>
      </c>
      <c r="D814" s="159" t="s">
        <v>625</v>
      </c>
      <c r="E814" s="159"/>
      <c r="F814" s="157"/>
      <c r="G814" s="91">
        <f>SUM(G815)</f>
        <v>0</v>
      </c>
      <c r="H814" s="20" t="e">
        <f>SUM(H817+H823+H815)</f>
        <v>#REF!</v>
      </c>
      <c r="I814" s="20" t="e">
        <f t="shared" si="24"/>
        <v>#REF!</v>
      </c>
    </row>
    <row r="815" spans="1:9" ht="15" customHeight="1" hidden="1">
      <c r="A815" s="106" t="s">
        <v>922</v>
      </c>
      <c r="B815" s="155"/>
      <c r="C815" s="159" t="s">
        <v>1</v>
      </c>
      <c r="D815" s="159" t="s">
        <v>625</v>
      </c>
      <c r="E815" s="159" t="s">
        <v>923</v>
      </c>
      <c r="F815" s="157"/>
      <c r="G815" s="91">
        <f>SUM(G816)</f>
        <v>0</v>
      </c>
      <c r="H815" s="20" t="e">
        <f>SUM(H816)</f>
        <v>#REF!</v>
      </c>
      <c r="I815" s="20" t="e">
        <f t="shared" si="24"/>
        <v>#REF!</v>
      </c>
    </row>
    <row r="816" spans="1:9" ht="30" customHeight="1" hidden="1">
      <c r="A816" s="106" t="s">
        <v>482</v>
      </c>
      <c r="B816" s="155"/>
      <c r="C816" s="159" t="s">
        <v>1</v>
      </c>
      <c r="D816" s="159" t="s">
        <v>625</v>
      </c>
      <c r="E816" s="159" t="s">
        <v>924</v>
      </c>
      <c r="F816" s="157"/>
      <c r="G816" s="91">
        <f>SUM(G817)</f>
        <v>0</v>
      </c>
      <c r="H816" s="20" t="e">
        <f>SUM(H817:H820)</f>
        <v>#REF!</v>
      </c>
      <c r="I816" s="20" t="e">
        <f t="shared" si="24"/>
        <v>#REF!</v>
      </c>
    </row>
    <row r="817" spans="1:9" ht="17.25" customHeight="1" hidden="1">
      <c r="A817" s="108" t="s">
        <v>483</v>
      </c>
      <c r="B817" s="155"/>
      <c r="C817" s="159" t="s">
        <v>1</v>
      </c>
      <c r="D817" s="159" t="s">
        <v>625</v>
      </c>
      <c r="E817" s="159" t="s">
        <v>924</v>
      </c>
      <c r="F817" s="157" t="s">
        <v>933</v>
      </c>
      <c r="G817" s="91"/>
      <c r="H817" s="20">
        <v>34637.7</v>
      </c>
      <c r="I817" s="20" t="e">
        <f t="shared" si="24"/>
        <v>#DIV/0!</v>
      </c>
    </row>
    <row r="818" spans="1:9" ht="15" hidden="1">
      <c r="A818" s="106" t="s">
        <v>908</v>
      </c>
      <c r="B818" s="155"/>
      <c r="C818" s="159" t="s">
        <v>1</v>
      </c>
      <c r="D818" s="159" t="s">
        <v>1</v>
      </c>
      <c r="E818" s="159"/>
      <c r="F818" s="157"/>
      <c r="G818" s="91">
        <f>SUM(G819)</f>
        <v>0</v>
      </c>
      <c r="H818" s="20" t="e">
        <f>SUM(H819+H827+H834+H836+H832)</f>
        <v>#REF!</v>
      </c>
      <c r="I818" s="20" t="e">
        <f t="shared" si="24"/>
        <v>#REF!</v>
      </c>
    </row>
    <row r="819" spans="1:9" ht="28.5" hidden="1">
      <c r="A819" s="131" t="s">
        <v>755</v>
      </c>
      <c r="B819" s="155"/>
      <c r="C819" s="159" t="s">
        <v>1</v>
      </c>
      <c r="D819" s="159" t="s">
        <v>1</v>
      </c>
      <c r="E819" s="159" t="s">
        <v>756</v>
      </c>
      <c r="F819" s="157"/>
      <c r="G819" s="91">
        <f>SUM(G820)</f>
        <v>0</v>
      </c>
      <c r="H819" s="20" t="e">
        <f>SUM(H820)</f>
        <v>#REF!</v>
      </c>
      <c r="I819" s="20" t="e">
        <f t="shared" si="24"/>
        <v>#REF!</v>
      </c>
    </row>
    <row r="820" spans="1:9" ht="29.25" customHeight="1" hidden="1">
      <c r="A820" s="106" t="s">
        <v>482</v>
      </c>
      <c r="B820" s="155"/>
      <c r="C820" s="159" t="s">
        <v>1</v>
      </c>
      <c r="D820" s="159" t="s">
        <v>1</v>
      </c>
      <c r="E820" s="159" t="s">
        <v>757</v>
      </c>
      <c r="F820" s="157"/>
      <c r="G820" s="91">
        <f>SUM(G821)</f>
        <v>0</v>
      </c>
      <c r="H820" s="20" t="e">
        <f>SUM(H821:H822)</f>
        <v>#REF!</v>
      </c>
      <c r="I820" s="20" t="e">
        <f t="shared" si="24"/>
        <v>#REF!</v>
      </c>
    </row>
    <row r="821" spans="1:9" ht="18.75" customHeight="1" hidden="1">
      <c r="A821" s="108" t="s">
        <v>483</v>
      </c>
      <c r="B821" s="155"/>
      <c r="C821" s="159" t="s">
        <v>1</v>
      </c>
      <c r="D821" s="159" t="s">
        <v>1</v>
      </c>
      <c r="E821" s="159" t="s">
        <v>757</v>
      </c>
      <c r="F821" s="157" t="s">
        <v>933</v>
      </c>
      <c r="G821" s="91"/>
      <c r="H821" s="20">
        <v>6864.8</v>
      </c>
      <c r="I821" s="20" t="e">
        <f t="shared" si="24"/>
        <v>#DIV/0!</v>
      </c>
    </row>
    <row r="822" spans="1:9" s="33" customFormat="1" ht="15">
      <c r="A822" s="128" t="s">
        <v>776</v>
      </c>
      <c r="B822" s="155"/>
      <c r="C822" s="183" t="s">
        <v>348</v>
      </c>
      <c r="D822" s="183" t="s">
        <v>777</v>
      </c>
      <c r="E822" s="183"/>
      <c r="F822" s="184"/>
      <c r="G822" s="92">
        <f>SUM(G823+G827+G838+G943+G959)</f>
        <v>735159.4</v>
      </c>
      <c r="H822" s="27" t="e">
        <f>SUM(H823+H827+H838+H943+H959)</f>
        <v>#REF!</v>
      </c>
      <c r="I822" s="20" t="e">
        <f t="shared" si="20"/>
        <v>#REF!</v>
      </c>
    </row>
    <row r="823" spans="1:9" ht="15">
      <c r="A823" s="128" t="s">
        <v>778</v>
      </c>
      <c r="B823" s="155"/>
      <c r="C823" s="183" t="s">
        <v>348</v>
      </c>
      <c r="D823" s="183" t="s">
        <v>237</v>
      </c>
      <c r="E823" s="183"/>
      <c r="F823" s="184"/>
      <c r="G823" s="92">
        <f aca="true" t="shared" si="25" ref="G823:H825">SUM(G824)</f>
        <v>3794.9</v>
      </c>
      <c r="H823" s="27">
        <f t="shared" si="25"/>
        <v>1203.5</v>
      </c>
      <c r="I823" s="20">
        <f t="shared" si="20"/>
        <v>31.7136156420459</v>
      </c>
    </row>
    <row r="824" spans="1:9" ht="15">
      <c r="A824" s="127" t="s">
        <v>779</v>
      </c>
      <c r="B824" s="155"/>
      <c r="C824" s="155" t="s">
        <v>348</v>
      </c>
      <c r="D824" s="155" t="s">
        <v>237</v>
      </c>
      <c r="E824" s="155" t="s">
        <v>780</v>
      </c>
      <c r="F824" s="184"/>
      <c r="G824" s="91">
        <f t="shared" si="25"/>
        <v>3794.9</v>
      </c>
      <c r="H824" s="20">
        <f t="shared" si="25"/>
        <v>1203.5</v>
      </c>
      <c r="I824" s="20">
        <f t="shared" si="20"/>
        <v>31.7136156420459</v>
      </c>
    </row>
    <row r="825" spans="1:9" s="32" customFormat="1" ht="28.5">
      <c r="A825" s="127" t="s">
        <v>781</v>
      </c>
      <c r="B825" s="167"/>
      <c r="C825" s="155" t="s">
        <v>348</v>
      </c>
      <c r="D825" s="155" t="s">
        <v>237</v>
      </c>
      <c r="E825" s="155" t="s">
        <v>782</v>
      </c>
      <c r="F825" s="184"/>
      <c r="G825" s="91">
        <f t="shared" si="25"/>
        <v>3794.9</v>
      </c>
      <c r="H825" s="20">
        <f t="shared" si="25"/>
        <v>1203.5</v>
      </c>
      <c r="I825" s="20">
        <f t="shared" si="20"/>
        <v>31.7136156420459</v>
      </c>
    </row>
    <row r="826" spans="1:9" s="33" customFormat="1" ht="18" customHeight="1">
      <c r="A826" s="106" t="s">
        <v>1032</v>
      </c>
      <c r="B826" s="155"/>
      <c r="C826" s="155" t="s">
        <v>348</v>
      </c>
      <c r="D826" s="155" t="s">
        <v>237</v>
      </c>
      <c r="E826" s="155" t="s">
        <v>782</v>
      </c>
      <c r="F826" s="184" t="s">
        <v>1033</v>
      </c>
      <c r="G826" s="91">
        <v>3794.9</v>
      </c>
      <c r="H826" s="20">
        <v>1203.5</v>
      </c>
      <c r="I826" s="20">
        <f t="shared" si="20"/>
        <v>31.7136156420459</v>
      </c>
    </row>
    <row r="827" spans="1:9" s="33" customFormat="1" ht="15">
      <c r="A827" s="106" t="s">
        <v>783</v>
      </c>
      <c r="B827" s="155"/>
      <c r="C827" s="171" t="s">
        <v>348</v>
      </c>
      <c r="D827" s="171" t="s">
        <v>239</v>
      </c>
      <c r="E827" s="155"/>
      <c r="F827" s="184"/>
      <c r="G827" s="92">
        <f>SUM(G828+G833)</f>
        <v>34862.7</v>
      </c>
      <c r="H827" s="27" t="e">
        <f>SUM(H828+H833)</f>
        <v>#REF!</v>
      </c>
      <c r="I827" s="20" t="e">
        <f t="shared" si="20"/>
        <v>#REF!</v>
      </c>
    </row>
    <row r="828" spans="1:9" s="36" customFormat="1" ht="19.5" customHeight="1" hidden="1">
      <c r="A828" s="110" t="s">
        <v>549</v>
      </c>
      <c r="B828" s="155"/>
      <c r="C828" s="171" t="s">
        <v>348</v>
      </c>
      <c r="D828" s="171" t="s">
        <v>239</v>
      </c>
      <c r="E828" s="171" t="s">
        <v>550</v>
      </c>
      <c r="F828" s="161"/>
      <c r="G828" s="92"/>
      <c r="H828" s="27"/>
      <c r="I828" s="20" t="e">
        <f t="shared" si="20"/>
        <v>#DIV/0!</v>
      </c>
    </row>
    <row r="829" spans="1:9" ht="28.5" hidden="1">
      <c r="A829" s="110" t="s">
        <v>364</v>
      </c>
      <c r="B829" s="155"/>
      <c r="C829" s="159" t="s">
        <v>348</v>
      </c>
      <c r="D829" s="159" t="s">
        <v>239</v>
      </c>
      <c r="E829" s="159" t="s">
        <v>365</v>
      </c>
      <c r="F829" s="157"/>
      <c r="G829" s="91">
        <f>SUM(G830+G831)</f>
        <v>0</v>
      </c>
      <c r="H829" s="20">
        <f>SUM(H830+H831)</f>
        <v>0</v>
      </c>
      <c r="I829" s="20" t="e">
        <f t="shared" si="20"/>
        <v>#DIV/0!</v>
      </c>
    </row>
    <row r="830" spans="1:9" ht="15" hidden="1">
      <c r="A830" s="105" t="s">
        <v>932</v>
      </c>
      <c r="B830" s="155"/>
      <c r="C830" s="159" t="s">
        <v>348</v>
      </c>
      <c r="D830" s="159" t="s">
        <v>239</v>
      </c>
      <c r="E830" s="159" t="s">
        <v>365</v>
      </c>
      <c r="F830" s="161" t="s">
        <v>933</v>
      </c>
      <c r="G830" s="91"/>
      <c r="H830" s="20"/>
      <c r="I830" s="20" t="e">
        <f t="shared" si="20"/>
        <v>#DIV/0!</v>
      </c>
    </row>
    <row r="831" spans="1:9" ht="19.5" customHeight="1" hidden="1">
      <c r="A831" s="110" t="s">
        <v>366</v>
      </c>
      <c r="B831" s="155"/>
      <c r="C831" s="159" t="s">
        <v>348</v>
      </c>
      <c r="D831" s="159" t="s">
        <v>239</v>
      </c>
      <c r="E831" s="159" t="s">
        <v>367</v>
      </c>
      <c r="F831" s="157"/>
      <c r="G831" s="91">
        <f>SUM(G832)</f>
        <v>0</v>
      </c>
      <c r="H831" s="20">
        <f>SUM(H832)</f>
        <v>0</v>
      </c>
      <c r="I831" s="20" t="e">
        <f t="shared" si="20"/>
        <v>#DIV/0!</v>
      </c>
    </row>
    <row r="832" spans="1:9" ht="15" hidden="1">
      <c r="A832" s="105" t="s">
        <v>932</v>
      </c>
      <c r="B832" s="155"/>
      <c r="C832" s="159" t="s">
        <v>348</v>
      </c>
      <c r="D832" s="159" t="s">
        <v>239</v>
      </c>
      <c r="E832" s="159" t="s">
        <v>367</v>
      </c>
      <c r="F832" s="161" t="s">
        <v>933</v>
      </c>
      <c r="G832" s="91"/>
      <c r="H832" s="20"/>
      <c r="I832" s="20" t="e">
        <f t="shared" si="20"/>
        <v>#DIV/0!</v>
      </c>
    </row>
    <row r="833" spans="1:9" ht="15">
      <c r="A833" s="110" t="s">
        <v>549</v>
      </c>
      <c r="B833" s="155"/>
      <c r="C833" s="171" t="s">
        <v>348</v>
      </c>
      <c r="D833" s="171" t="s">
        <v>239</v>
      </c>
      <c r="E833" s="171" t="s">
        <v>368</v>
      </c>
      <c r="F833" s="161"/>
      <c r="G833" s="91">
        <f>SUM(G834)</f>
        <v>34862.7</v>
      </c>
      <c r="H833" s="20" t="e">
        <f>SUM(H834+H836)</f>
        <v>#REF!</v>
      </c>
      <c r="I833" s="20" t="e">
        <f t="shared" si="20"/>
        <v>#REF!</v>
      </c>
    </row>
    <row r="834" spans="1:9" ht="28.5">
      <c r="A834" s="105" t="s">
        <v>482</v>
      </c>
      <c r="B834" s="155"/>
      <c r="C834" s="159" t="s">
        <v>348</v>
      </c>
      <c r="D834" s="159" t="s">
        <v>239</v>
      </c>
      <c r="E834" s="159" t="s">
        <v>369</v>
      </c>
      <c r="F834" s="161"/>
      <c r="G834" s="91">
        <f>SUM(G835+G837)</f>
        <v>34862.7</v>
      </c>
      <c r="H834" s="20" t="e">
        <f>SUM(#REF!)</f>
        <v>#REF!</v>
      </c>
      <c r="I834" s="20" t="e">
        <f t="shared" si="20"/>
        <v>#REF!</v>
      </c>
    </row>
    <row r="835" spans="1:9" ht="15">
      <c r="A835" s="105" t="s">
        <v>483</v>
      </c>
      <c r="B835" s="155"/>
      <c r="C835" s="159" t="s">
        <v>348</v>
      </c>
      <c r="D835" s="159" t="s">
        <v>239</v>
      </c>
      <c r="E835" s="159" t="s">
        <v>369</v>
      </c>
      <c r="F835" s="161" t="s">
        <v>933</v>
      </c>
      <c r="G835" s="91">
        <v>1692</v>
      </c>
      <c r="H835" s="20"/>
      <c r="I835" s="20"/>
    </row>
    <row r="836" spans="1:9" ht="28.5">
      <c r="A836" s="105" t="s">
        <v>370</v>
      </c>
      <c r="B836" s="155"/>
      <c r="C836" s="159" t="s">
        <v>348</v>
      </c>
      <c r="D836" s="159" t="s">
        <v>239</v>
      </c>
      <c r="E836" s="159" t="s">
        <v>371</v>
      </c>
      <c r="F836" s="161"/>
      <c r="G836" s="91">
        <f>SUM(G837)</f>
        <v>33170.7</v>
      </c>
      <c r="H836" s="20">
        <f>SUM(H837)</f>
        <v>16618.3</v>
      </c>
      <c r="I836" s="20">
        <f t="shared" si="20"/>
        <v>50.09933465377577</v>
      </c>
    </row>
    <row r="837" spans="1:9" ht="15">
      <c r="A837" s="105" t="s">
        <v>483</v>
      </c>
      <c r="B837" s="155"/>
      <c r="C837" s="159" t="s">
        <v>348</v>
      </c>
      <c r="D837" s="159" t="s">
        <v>239</v>
      </c>
      <c r="E837" s="159" t="s">
        <v>371</v>
      </c>
      <c r="F837" s="161" t="s">
        <v>933</v>
      </c>
      <c r="G837" s="91">
        <v>33170.7</v>
      </c>
      <c r="H837" s="20">
        <v>16618.3</v>
      </c>
      <c r="I837" s="20">
        <f t="shared" si="20"/>
        <v>50.09933465377577</v>
      </c>
    </row>
    <row r="838" spans="1:9" ht="15">
      <c r="A838" s="128" t="s">
        <v>372</v>
      </c>
      <c r="B838" s="155"/>
      <c r="C838" s="183" t="s">
        <v>348</v>
      </c>
      <c r="D838" s="183" t="s">
        <v>601</v>
      </c>
      <c r="E838" s="183"/>
      <c r="F838" s="184"/>
      <c r="G838" s="92">
        <f>SUM(G842+G935+G938+G839)</f>
        <v>635110.6</v>
      </c>
      <c r="H838" s="27">
        <f>SUM(H842+H935+H938+H839)</f>
        <v>443096.29999999993</v>
      </c>
      <c r="I838" s="20">
        <f t="shared" si="20"/>
        <v>69.76679337425638</v>
      </c>
    </row>
    <row r="839" spans="1:9" ht="15" hidden="1">
      <c r="A839" s="106" t="s">
        <v>148</v>
      </c>
      <c r="B839" s="155"/>
      <c r="C839" s="183" t="s">
        <v>348</v>
      </c>
      <c r="D839" s="183" t="s">
        <v>601</v>
      </c>
      <c r="E839" s="155" t="s">
        <v>150</v>
      </c>
      <c r="F839" s="156"/>
      <c r="G839" s="91">
        <f>SUM(G841)</f>
        <v>0</v>
      </c>
      <c r="H839" s="20">
        <f>SUM(H841)</f>
        <v>200</v>
      </c>
      <c r="I839" s="20" t="e">
        <f t="shared" si="20"/>
        <v>#DIV/0!</v>
      </c>
    </row>
    <row r="840" spans="1:9" ht="15" hidden="1">
      <c r="A840" s="106" t="s">
        <v>128</v>
      </c>
      <c r="B840" s="155"/>
      <c r="C840" s="183" t="s">
        <v>348</v>
      </c>
      <c r="D840" s="183" t="s">
        <v>601</v>
      </c>
      <c r="E840" s="155" t="s">
        <v>129</v>
      </c>
      <c r="F840" s="156"/>
      <c r="G840" s="91">
        <f>SUM(G841)</f>
        <v>0</v>
      </c>
      <c r="H840" s="20">
        <f>SUM(H841)</f>
        <v>200</v>
      </c>
      <c r="I840" s="20" t="e">
        <f t="shared" si="20"/>
        <v>#DIV/0!</v>
      </c>
    </row>
    <row r="841" spans="1:9" ht="15" hidden="1">
      <c r="A841" s="106" t="s">
        <v>1032</v>
      </c>
      <c r="B841" s="159"/>
      <c r="C841" s="183" t="s">
        <v>348</v>
      </c>
      <c r="D841" s="183" t="s">
        <v>601</v>
      </c>
      <c r="E841" s="155" t="s">
        <v>129</v>
      </c>
      <c r="F841" s="157" t="s">
        <v>1033</v>
      </c>
      <c r="G841" s="91"/>
      <c r="H841" s="20">
        <v>200</v>
      </c>
      <c r="I841" s="20" t="e">
        <f t="shared" si="20"/>
        <v>#DIV/0!</v>
      </c>
    </row>
    <row r="842" spans="1:9" ht="15">
      <c r="A842" s="106" t="s">
        <v>373</v>
      </c>
      <c r="B842" s="155"/>
      <c r="C842" s="155" t="s">
        <v>348</v>
      </c>
      <c r="D842" s="155" t="s">
        <v>601</v>
      </c>
      <c r="E842" s="155" t="s">
        <v>374</v>
      </c>
      <c r="F842" s="156"/>
      <c r="G842" s="91">
        <f>SUM(G843+G845+G847+G856+G858+G878+G885+G888+G890+G916+G862+G864+G871+G874+G881+G883+G869+G866+G876+G849+G852+G854+G860)</f>
        <v>633037.2</v>
      </c>
      <c r="H842" s="20">
        <f>SUM(H843+H845+H847+H856+H858+H878+H885+H888+H890+H916+H862+H864+H871+H874+H881+H883+H869+H866+H876+H849+H852)</f>
        <v>438649.6</v>
      </c>
      <c r="I842" s="20">
        <f t="shared" si="20"/>
        <v>69.292863041856</v>
      </c>
    </row>
    <row r="843" spans="1:9" ht="19.5" customHeight="1" hidden="1">
      <c r="A843" s="142" t="s">
        <v>375</v>
      </c>
      <c r="B843" s="155"/>
      <c r="C843" s="155" t="s">
        <v>348</v>
      </c>
      <c r="D843" s="155" t="s">
        <v>601</v>
      </c>
      <c r="E843" s="155" t="s">
        <v>376</v>
      </c>
      <c r="F843" s="156"/>
      <c r="G843" s="91">
        <f>SUM(G844:G844)</f>
        <v>0</v>
      </c>
      <c r="H843" s="20">
        <f>SUM(H844:H844)</f>
        <v>0</v>
      </c>
      <c r="I843" s="20" t="e">
        <f t="shared" si="20"/>
        <v>#DIV/0!</v>
      </c>
    </row>
    <row r="844" spans="1:9" ht="15" hidden="1">
      <c r="A844" s="106" t="s">
        <v>1032</v>
      </c>
      <c r="B844" s="155"/>
      <c r="C844" s="155" t="s">
        <v>348</v>
      </c>
      <c r="D844" s="155" t="s">
        <v>601</v>
      </c>
      <c r="E844" s="155" t="s">
        <v>376</v>
      </c>
      <c r="F844" s="156" t="s">
        <v>1033</v>
      </c>
      <c r="G844" s="91"/>
      <c r="H844" s="20"/>
      <c r="I844" s="20" t="e">
        <f t="shared" si="20"/>
        <v>#DIV/0!</v>
      </c>
    </row>
    <row r="845" spans="1:9" ht="42.75" hidden="1">
      <c r="A845" s="106" t="s">
        <v>377</v>
      </c>
      <c r="B845" s="155"/>
      <c r="C845" s="155" t="s">
        <v>348</v>
      </c>
      <c r="D845" s="155" t="s">
        <v>601</v>
      </c>
      <c r="E845" s="155" t="s">
        <v>378</v>
      </c>
      <c r="F845" s="156"/>
      <c r="G845" s="91">
        <f>SUM(G846:G846)</f>
        <v>0</v>
      </c>
      <c r="H845" s="20">
        <f>SUM(H846:H846)</f>
        <v>0</v>
      </c>
      <c r="I845" s="20" t="e">
        <f t="shared" si="20"/>
        <v>#DIV/0!</v>
      </c>
    </row>
    <row r="846" spans="1:9" ht="15" hidden="1">
      <c r="A846" s="106" t="s">
        <v>1032</v>
      </c>
      <c r="B846" s="155"/>
      <c r="C846" s="155" t="s">
        <v>348</v>
      </c>
      <c r="D846" s="155" t="s">
        <v>601</v>
      </c>
      <c r="E846" s="155" t="s">
        <v>378</v>
      </c>
      <c r="F846" s="156" t="s">
        <v>1033</v>
      </c>
      <c r="G846" s="91"/>
      <c r="H846" s="20"/>
      <c r="I846" s="20" t="e">
        <f t="shared" si="20"/>
        <v>#DIV/0!</v>
      </c>
    </row>
    <row r="847" spans="1:9" ht="42.75" hidden="1">
      <c r="A847" s="106" t="s">
        <v>379</v>
      </c>
      <c r="B847" s="155"/>
      <c r="C847" s="159" t="s">
        <v>348</v>
      </c>
      <c r="D847" s="155" t="s">
        <v>601</v>
      </c>
      <c r="E847" s="155" t="s">
        <v>380</v>
      </c>
      <c r="F847" s="156"/>
      <c r="G847" s="91">
        <f>SUM(G848)</f>
        <v>0</v>
      </c>
      <c r="H847" s="20">
        <f>SUM(H848)</f>
        <v>0</v>
      </c>
      <c r="I847" s="20" t="e">
        <f t="shared" si="20"/>
        <v>#DIV/0!</v>
      </c>
    </row>
    <row r="848" spans="1:9" ht="15" hidden="1">
      <c r="A848" s="106" t="s">
        <v>1032</v>
      </c>
      <c r="B848" s="155"/>
      <c r="C848" s="159" t="s">
        <v>348</v>
      </c>
      <c r="D848" s="155" t="s">
        <v>601</v>
      </c>
      <c r="E848" s="155" t="s">
        <v>380</v>
      </c>
      <c r="F848" s="156" t="s">
        <v>1033</v>
      </c>
      <c r="G848" s="91"/>
      <c r="H848" s="20"/>
      <c r="I848" s="20" t="e">
        <f t="shared" si="20"/>
        <v>#DIV/0!</v>
      </c>
    </row>
    <row r="849" spans="1:9" ht="90" customHeight="1" hidden="1">
      <c r="A849" s="106" t="s">
        <v>383</v>
      </c>
      <c r="B849" s="155"/>
      <c r="C849" s="159" t="s">
        <v>348</v>
      </c>
      <c r="D849" s="155" t="s">
        <v>601</v>
      </c>
      <c r="E849" s="155" t="s">
        <v>384</v>
      </c>
      <c r="F849" s="156"/>
      <c r="G849" s="91">
        <f>SUM(G850:G851)</f>
        <v>0</v>
      </c>
      <c r="H849" s="20">
        <f>SUM(H850)</f>
        <v>634.3</v>
      </c>
      <c r="I849" s="20" t="e">
        <f t="shared" si="20"/>
        <v>#DIV/0!</v>
      </c>
    </row>
    <row r="850" spans="1:9" ht="15" hidden="1">
      <c r="A850" s="106" t="s">
        <v>1032</v>
      </c>
      <c r="B850" s="155"/>
      <c r="C850" s="159" t="s">
        <v>348</v>
      </c>
      <c r="D850" s="155" t="s">
        <v>601</v>
      </c>
      <c r="E850" s="155" t="s">
        <v>384</v>
      </c>
      <c r="F850" s="156" t="s">
        <v>1033</v>
      </c>
      <c r="G850" s="91"/>
      <c r="H850" s="20">
        <v>634.3</v>
      </c>
      <c r="I850" s="20" t="e">
        <f t="shared" si="20"/>
        <v>#DIV/0!</v>
      </c>
    </row>
    <row r="851" spans="1:9" ht="15" hidden="1">
      <c r="A851" s="128" t="s">
        <v>598</v>
      </c>
      <c r="B851" s="155"/>
      <c r="C851" s="159" t="s">
        <v>348</v>
      </c>
      <c r="D851" s="155" t="s">
        <v>601</v>
      </c>
      <c r="E851" s="155" t="s">
        <v>384</v>
      </c>
      <c r="F851" s="156" t="s">
        <v>599</v>
      </c>
      <c r="G851" s="91"/>
      <c r="H851" s="20"/>
      <c r="I851" s="20"/>
    </row>
    <row r="852" spans="1:9" ht="66" customHeight="1" hidden="1">
      <c r="A852" s="106" t="s">
        <v>496</v>
      </c>
      <c r="B852" s="155"/>
      <c r="C852" s="159" t="s">
        <v>348</v>
      </c>
      <c r="D852" s="155" t="s">
        <v>601</v>
      </c>
      <c r="E852" s="155" t="s">
        <v>497</v>
      </c>
      <c r="F852" s="156"/>
      <c r="G852" s="91">
        <f>SUM(G853)</f>
        <v>0</v>
      </c>
      <c r="H852" s="20">
        <f>SUM(H853)</f>
        <v>542.8</v>
      </c>
      <c r="I852" s="20" t="e">
        <f t="shared" si="20"/>
        <v>#DIV/0!</v>
      </c>
    </row>
    <row r="853" spans="1:9" ht="15" hidden="1">
      <c r="A853" s="106" t="s">
        <v>1032</v>
      </c>
      <c r="B853" s="155"/>
      <c r="C853" s="159" t="s">
        <v>348</v>
      </c>
      <c r="D853" s="155" t="s">
        <v>601</v>
      </c>
      <c r="E853" s="155" t="s">
        <v>497</v>
      </c>
      <c r="F853" s="156" t="s">
        <v>1033</v>
      </c>
      <c r="G853" s="91"/>
      <c r="H853" s="20">
        <v>542.8</v>
      </c>
      <c r="I853" s="20" t="e">
        <f t="shared" si="20"/>
        <v>#DIV/0!</v>
      </c>
    </row>
    <row r="854" spans="1:9" ht="36.75" customHeight="1" hidden="1">
      <c r="A854" s="106" t="s">
        <v>245</v>
      </c>
      <c r="B854" s="155"/>
      <c r="C854" s="159" t="s">
        <v>348</v>
      </c>
      <c r="D854" s="155" t="s">
        <v>601</v>
      </c>
      <c r="E854" s="155" t="s">
        <v>246</v>
      </c>
      <c r="F854" s="156"/>
      <c r="G854" s="91">
        <f>SUM(G855)</f>
        <v>0</v>
      </c>
      <c r="H854" s="20">
        <f>SUM(H855)</f>
        <v>542.8</v>
      </c>
      <c r="I854" s="20" t="e">
        <f>SUM(H854/G854*100)</f>
        <v>#DIV/0!</v>
      </c>
    </row>
    <row r="855" spans="1:9" ht="15" hidden="1">
      <c r="A855" s="106" t="s">
        <v>1032</v>
      </c>
      <c r="B855" s="155"/>
      <c r="C855" s="159" t="s">
        <v>348</v>
      </c>
      <c r="D855" s="155" t="s">
        <v>601</v>
      </c>
      <c r="E855" s="155" t="s">
        <v>246</v>
      </c>
      <c r="F855" s="156" t="s">
        <v>1033</v>
      </c>
      <c r="G855" s="91"/>
      <c r="H855" s="20">
        <v>542.8</v>
      </c>
      <c r="I855" s="20" t="e">
        <f>SUM(H855/G855*100)</f>
        <v>#DIV/0!</v>
      </c>
    </row>
    <row r="856" spans="1:9" s="36" customFormat="1" ht="57" hidden="1">
      <c r="A856" s="133" t="s">
        <v>797</v>
      </c>
      <c r="B856" s="155"/>
      <c r="C856" s="159" t="s">
        <v>348</v>
      </c>
      <c r="D856" s="155" t="s">
        <v>601</v>
      </c>
      <c r="E856" s="155" t="s">
        <v>798</v>
      </c>
      <c r="F856" s="156"/>
      <c r="G856" s="91">
        <f>SUM(G857)</f>
        <v>0</v>
      </c>
      <c r="H856" s="20">
        <f>SUM(H857)</f>
        <v>1313.1</v>
      </c>
      <c r="I856" s="20" t="e">
        <f t="shared" si="20"/>
        <v>#DIV/0!</v>
      </c>
    </row>
    <row r="857" spans="1:9" s="36" customFormat="1" ht="15" hidden="1">
      <c r="A857" s="106" t="s">
        <v>1032</v>
      </c>
      <c r="B857" s="155"/>
      <c r="C857" s="159" t="s">
        <v>348</v>
      </c>
      <c r="D857" s="155" t="s">
        <v>601</v>
      </c>
      <c r="E857" s="155" t="s">
        <v>798</v>
      </c>
      <c r="F857" s="156" t="s">
        <v>1033</v>
      </c>
      <c r="G857" s="91"/>
      <c r="H857" s="20">
        <v>1313.1</v>
      </c>
      <c r="I857" s="20" t="e">
        <f t="shared" si="20"/>
        <v>#DIV/0!</v>
      </c>
    </row>
    <row r="858" spans="1:9" s="36" customFormat="1" ht="28.5">
      <c r="A858" s="127" t="s">
        <v>799</v>
      </c>
      <c r="B858" s="155"/>
      <c r="C858" s="159" t="s">
        <v>348</v>
      </c>
      <c r="D858" s="155" t="s">
        <v>601</v>
      </c>
      <c r="E858" s="155" t="s">
        <v>800</v>
      </c>
      <c r="F858" s="156"/>
      <c r="G858" s="91">
        <f>SUM(G859)</f>
        <v>10988.5</v>
      </c>
      <c r="H858" s="20">
        <f>SUM(H859)</f>
        <v>6301</v>
      </c>
      <c r="I858" s="20">
        <f t="shared" si="20"/>
        <v>57.34176639213724</v>
      </c>
    </row>
    <row r="859" spans="1:9" s="36" customFormat="1" ht="18" customHeight="1">
      <c r="A859" s="106" t="s">
        <v>1032</v>
      </c>
      <c r="B859" s="155"/>
      <c r="C859" s="159" t="s">
        <v>348</v>
      </c>
      <c r="D859" s="155" t="s">
        <v>601</v>
      </c>
      <c r="E859" s="155" t="s">
        <v>800</v>
      </c>
      <c r="F859" s="156" t="s">
        <v>1033</v>
      </c>
      <c r="G859" s="91">
        <v>10988.5</v>
      </c>
      <c r="H859" s="20">
        <v>6301</v>
      </c>
      <c r="I859" s="20">
        <f t="shared" si="20"/>
        <v>57.34176639213724</v>
      </c>
    </row>
    <row r="860" spans="1:9" s="36" customFormat="1" ht="31.5" customHeight="1" hidden="1">
      <c r="A860" s="106" t="s">
        <v>247</v>
      </c>
      <c r="B860" s="155"/>
      <c r="C860" s="159" t="s">
        <v>348</v>
      </c>
      <c r="D860" s="155" t="s">
        <v>601</v>
      </c>
      <c r="E860" s="155" t="s">
        <v>248</v>
      </c>
      <c r="F860" s="156"/>
      <c r="G860" s="91">
        <f>SUM(G861)</f>
        <v>0</v>
      </c>
      <c r="H860" s="20"/>
      <c r="I860" s="20"/>
    </row>
    <row r="861" spans="1:9" s="36" customFormat="1" ht="19.5" customHeight="1" hidden="1">
      <c r="A861" s="106" t="s">
        <v>1032</v>
      </c>
      <c r="B861" s="155"/>
      <c r="C861" s="159" t="s">
        <v>348</v>
      </c>
      <c r="D861" s="155" t="s">
        <v>601</v>
      </c>
      <c r="E861" s="155" t="s">
        <v>248</v>
      </c>
      <c r="F861" s="156" t="s">
        <v>1033</v>
      </c>
      <c r="G861" s="91"/>
      <c r="H861" s="20"/>
      <c r="I861" s="20" t="e">
        <f t="shared" si="20"/>
        <v>#DIV/0!</v>
      </c>
    </row>
    <row r="862" spans="1:9" s="36" customFormat="1" ht="65.25" customHeight="1" hidden="1">
      <c r="A862" s="106" t="s">
        <v>955</v>
      </c>
      <c r="B862" s="155"/>
      <c r="C862" s="159" t="s">
        <v>348</v>
      </c>
      <c r="D862" s="155" t="s">
        <v>601</v>
      </c>
      <c r="E862" s="155" t="s">
        <v>801</v>
      </c>
      <c r="F862" s="156"/>
      <c r="G862" s="91">
        <f>SUM(G863)</f>
        <v>0</v>
      </c>
      <c r="H862" s="20">
        <f>SUM(H863)</f>
        <v>18786.9</v>
      </c>
      <c r="I862" s="20" t="e">
        <f t="shared" si="20"/>
        <v>#DIV/0!</v>
      </c>
    </row>
    <row r="863" spans="1:9" s="36" customFormat="1" ht="19.5" customHeight="1" hidden="1">
      <c r="A863" s="106" t="s">
        <v>1032</v>
      </c>
      <c r="B863" s="155"/>
      <c r="C863" s="159" t="s">
        <v>348</v>
      </c>
      <c r="D863" s="155" t="s">
        <v>601</v>
      </c>
      <c r="E863" s="155" t="s">
        <v>801</v>
      </c>
      <c r="F863" s="156" t="s">
        <v>1033</v>
      </c>
      <c r="G863" s="91"/>
      <c r="H863" s="20">
        <v>18786.9</v>
      </c>
      <c r="I863" s="20" t="e">
        <f t="shared" si="20"/>
        <v>#DIV/0!</v>
      </c>
    </row>
    <row r="864" spans="1:9" s="36" customFormat="1" ht="72.75" customHeight="1" hidden="1">
      <c r="A864" s="106" t="s">
        <v>956</v>
      </c>
      <c r="B864" s="155"/>
      <c r="C864" s="159" t="s">
        <v>348</v>
      </c>
      <c r="D864" s="155" t="s">
        <v>601</v>
      </c>
      <c r="E864" s="155" t="s">
        <v>802</v>
      </c>
      <c r="F864" s="156"/>
      <c r="G864" s="91">
        <f>SUM(G865)</f>
        <v>0</v>
      </c>
      <c r="H864" s="20">
        <f>SUM(H865)</f>
        <v>15760.4</v>
      </c>
      <c r="I864" s="20" t="e">
        <f t="shared" si="20"/>
        <v>#DIV/0!</v>
      </c>
    </row>
    <row r="865" spans="1:9" s="36" customFormat="1" ht="19.5" customHeight="1" hidden="1">
      <c r="A865" s="106" t="s">
        <v>1032</v>
      </c>
      <c r="B865" s="155"/>
      <c r="C865" s="159" t="s">
        <v>348</v>
      </c>
      <c r="D865" s="155" t="s">
        <v>601</v>
      </c>
      <c r="E865" s="155" t="s">
        <v>802</v>
      </c>
      <c r="F865" s="156" t="s">
        <v>1033</v>
      </c>
      <c r="G865" s="91"/>
      <c r="H865" s="20">
        <v>15760.4</v>
      </c>
      <c r="I865" s="20" t="e">
        <f t="shared" si="20"/>
        <v>#DIV/0!</v>
      </c>
    </row>
    <row r="866" spans="1:9" s="36" customFormat="1" ht="67.5" customHeight="1" hidden="1">
      <c r="A866" s="106" t="s">
        <v>853</v>
      </c>
      <c r="B866" s="155"/>
      <c r="C866" s="159" t="s">
        <v>348</v>
      </c>
      <c r="D866" s="155" t="s">
        <v>601</v>
      </c>
      <c r="E866" s="155" t="s">
        <v>854</v>
      </c>
      <c r="F866" s="156"/>
      <c r="G866" s="91">
        <f>SUM(G867:G868)</f>
        <v>0</v>
      </c>
      <c r="H866" s="20">
        <f>SUM(H867)</f>
        <v>40636.1</v>
      </c>
      <c r="I866" s="20" t="e">
        <f t="shared" si="20"/>
        <v>#DIV/0!</v>
      </c>
    </row>
    <row r="867" spans="1:9" s="36" customFormat="1" ht="21.75" customHeight="1" hidden="1">
      <c r="A867" s="106" t="s">
        <v>1032</v>
      </c>
      <c r="B867" s="155"/>
      <c r="C867" s="159" t="s">
        <v>348</v>
      </c>
      <c r="D867" s="155" t="s">
        <v>601</v>
      </c>
      <c r="E867" s="155" t="s">
        <v>854</v>
      </c>
      <c r="F867" s="156" t="s">
        <v>1033</v>
      </c>
      <c r="G867" s="91"/>
      <c r="H867" s="20">
        <v>40636.1</v>
      </c>
      <c r="I867" s="20" t="e">
        <f t="shared" si="20"/>
        <v>#DIV/0!</v>
      </c>
    </row>
    <row r="868" spans="1:9" s="36" customFormat="1" ht="21.75" customHeight="1" hidden="1">
      <c r="A868" s="128" t="s">
        <v>598</v>
      </c>
      <c r="B868" s="155"/>
      <c r="C868" s="159" t="s">
        <v>348</v>
      </c>
      <c r="D868" s="155" t="s">
        <v>601</v>
      </c>
      <c r="E868" s="155" t="s">
        <v>854</v>
      </c>
      <c r="F868" s="156" t="s">
        <v>599</v>
      </c>
      <c r="G868" s="91"/>
      <c r="H868" s="20"/>
      <c r="I868" s="20"/>
    </row>
    <row r="869" spans="1:9" s="36" customFormat="1" ht="37.5" customHeight="1" hidden="1">
      <c r="A869" s="106" t="s">
        <v>855</v>
      </c>
      <c r="B869" s="155"/>
      <c r="C869" s="159" t="s">
        <v>348</v>
      </c>
      <c r="D869" s="155" t="s">
        <v>601</v>
      </c>
      <c r="E869" s="155" t="s">
        <v>856</v>
      </c>
      <c r="F869" s="156"/>
      <c r="G869" s="91">
        <f>SUM(G870)</f>
        <v>0</v>
      </c>
      <c r="H869" s="20">
        <f>SUM(H870)</f>
        <v>191.3</v>
      </c>
      <c r="I869" s="20" t="e">
        <f t="shared" si="20"/>
        <v>#DIV/0!</v>
      </c>
    </row>
    <row r="870" spans="1:9" s="36" customFormat="1" ht="19.5" customHeight="1" hidden="1">
      <c r="A870" s="106" t="s">
        <v>1032</v>
      </c>
      <c r="B870" s="155"/>
      <c r="C870" s="159" t="s">
        <v>348</v>
      </c>
      <c r="D870" s="155" t="s">
        <v>601</v>
      </c>
      <c r="E870" s="155" t="s">
        <v>856</v>
      </c>
      <c r="F870" s="156" t="s">
        <v>1033</v>
      </c>
      <c r="G870" s="91"/>
      <c r="H870" s="20">
        <v>191.3</v>
      </c>
      <c r="I870" s="20" t="e">
        <f t="shared" si="20"/>
        <v>#DIV/0!</v>
      </c>
    </row>
    <row r="871" spans="1:9" s="36" customFormat="1" ht="48.75" customHeight="1" hidden="1">
      <c r="A871" s="106" t="s">
        <v>857</v>
      </c>
      <c r="B871" s="155"/>
      <c r="C871" s="159" t="s">
        <v>348</v>
      </c>
      <c r="D871" s="155" t="s">
        <v>601</v>
      </c>
      <c r="E871" s="155" t="s">
        <v>858</v>
      </c>
      <c r="F871" s="156"/>
      <c r="G871" s="91">
        <f>SUM(G872:G873)</f>
        <v>0</v>
      </c>
      <c r="H871" s="20">
        <f>SUM(H872)</f>
        <v>4180.7</v>
      </c>
      <c r="I871" s="20" t="e">
        <f t="shared" si="20"/>
        <v>#DIV/0!</v>
      </c>
    </row>
    <row r="872" spans="1:9" s="36" customFormat="1" ht="18.75" customHeight="1" hidden="1">
      <c r="A872" s="106" t="s">
        <v>1032</v>
      </c>
      <c r="B872" s="155"/>
      <c r="C872" s="159" t="s">
        <v>348</v>
      </c>
      <c r="D872" s="155" t="s">
        <v>601</v>
      </c>
      <c r="E872" s="155" t="s">
        <v>858</v>
      </c>
      <c r="F872" s="156" t="s">
        <v>1033</v>
      </c>
      <c r="G872" s="91"/>
      <c r="H872" s="20">
        <v>4180.7</v>
      </c>
      <c r="I872" s="20" t="e">
        <f t="shared" si="20"/>
        <v>#DIV/0!</v>
      </c>
    </row>
    <row r="873" spans="1:9" s="36" customFormat="1" ht="18" customHeight="1" hidden="1">
      <c r="A873" s="128" t="s">
        <v>598</v>
      </c>
      <c r="B873" s="155"/>
      <c r="C873" s="159" t="s">
        <v>348</v>
      </c>
      <c r="D873" s="155" t="s">
        <v>601</v>
      </c>
      <c r="E873" s="155" t="s">
        <v>858</v>
      </c>
      <c r="F873" s="156" t="s">
        <v>599</v>
      </c>
      <c r="G873" s="91"/>
      <c r="H873" s="20"/>
      <c r="I873" s="20"/>
    </row>
    <row r="874" spans="1:9" s="36" customFormat="1" ht="19.5" customHeight="1" hidden="1">
      <c r="A874" s="106" t="s">
        <v>377</v>
      </c>
      <c r="B874" s="155"/>
      <c r="C874" s="159" t="s">
        <v>348</v>
      </c>
      <c r="D874" s="155" t="s">
        <v>601</v>
      </c>
      <c r="E874" s="155" t="s">
        <v>859</v>
      </c>
      <c r="F874" s="156"/>
      <c r="G874" s="91">
        <f>SUM(G875)</f>
        <v>0</v>
      </c>
      <c r="H874" s="20">
        <f>SUM(H875)</f>
        <v>0</v>
      </c>
      <c r="I874" s="20" t="e">
        <f t="shared" si="20"/>
        <v>#DIV/0!</v>
      </c>
    </row>
    <row r="875" spans="1:9" s="36" customFormat="1" ht="19.5" customHeight="1" hidden="1">
      <c r="A875" s="106" t="s">
        <v>1032</v>
      </c>
      <c r="B875" s="155"/>
      <c r="C875" s="159" t="s">
        <v>348</v>
      </c>
      <c r="D875" s="155" t="s">
        <v>601</v>
      </c>
      <c r="E875" s="155" t="s">
        <v>859</v>
      </c>
      <c r="F875" s="156" t="s">
        <v>1033</v>
      </c>
      <c r="G875" s="91"/>
      <c r="H875" s="20"/>
      <c r="I875" s="20" t="e">
        <f t="shared" si="20"/>
        <v>#DIV/0!</v>
      </c>
    </row>
    <row r="876" spans="1:9" s="36" customFormat="1" ht="19.5" customHeight="1" hidden="1">
      <c r="A876" s="106" t="s">
        <v>860</v>
      </c>
      <c r="B876" s="155"/>
      <c r="C876" s="159" t="s">
        <v>348</v>
      </c>
      <c r="D876" s="155" t="s">
        <v>601</v>
      </c>
      <c r="E876" s="155" t="s">
        <v>861</v>
      </c>
      <c r="F876" s="156"/>
      <c r="G876" s="91">
        <f>SUM(G877)</f>
        <v>0</v>
      </c>
      <c r="H876" s="20">
        <f>SUM(H877)</f>
        <v>0</v>
      </c>
      <c r="I876" s="20" t="e">
        <f t="shared" si="20"/>
        <v>#DIV/0!</v>
      </c>
    </row>
    <row r="877" spans="1:9" s="36" customFormat="1" ht="19.5" customHeight="1" hidden="1">
      <c r="A877" s="106" t="s">
        <v>1032</v>
      </c>
      <c r="B877" s="155"/>
      <c r="C877" s="159" t="s">
        <v>348</v>
      </c>
      <c r="D877" s="155" t="s">
        <v>601</v>
      </c>
      <c r="E877" s="155" t="s">
        <v>861</v>
      </c>
      <c r="F877" s="156" t="s">
        <v>1033</v>
      </c>
      <c r="G877" s="91"/>
      <c r="H877" s="20"/>
      <c r="I877" s="20" t="e">
        <f t="shared" si="20"/>
        <v>#DIV/0!</v>
      </c>
    </row>
    <row r="878" spans="1:9" ht="18" customHeight="1">
      <c r="A878" s="142" t="s">
        <v>862</v>
      </c>
      <c r="B878" s="180"/>
      <c r="C878" s="180" t="s">
        <v>348</v>
      </c>
      <c r="D878" s="180" t="s">
        <v>601</v>
      </c>
      <c r="E878" s="180" t="s">
        <v>863</v>
      </c>
      <c r="F878" s="158"/>
      <c r="G878" s="91">
        <f>SUM(G879)+G880</f>
        <v>13187.1</v>
      </c>
      <c r="H878" s="20">
        <f>SUM(H879)</f>
        <v>16724.6</v>
      </c>
      <c r="I878" s="20">
        <f t="shared" si="20"/>
        <v>126.82545821295052</v>
      </c>
    </row>
    <row r="879" spans="1:9" ht="16.5" customHeight="1">
      <c r="A879" s="106" t="s">
        <v>1032</v>
      </c>
      <c r="B879" s="180"/>
      <c r="C879" s="180" t="s">
        <v>348</v>
      </c>
      <c r="D879" s="180" t="s">
        <v>601</v>
      </c>
      <c r="E879" s="180" t="s">
        <v>863</v>
      </c>
      <c r="F879" s="158" t="s">
        <v>1033</v>
      </c>
      <c r="G879" s="91">
        <v>10304.6</v>
      </c>
      <c r="H879" s="20">
        <v>16724.6</v>
      </c>
      <c r="I879" s="20">
        <f t="shared" si="20"/>
        <v>162.30227277138363</v>
      </c>
    </row>
    <row r="880" spans="1:9" ht="15.75" customHeight="1">
      <c r="A880" s="106" t="s">
        <v>598</v>
      </c>
      <c r="B880" s="180"/>
      <c r="C880" s="180" t="s">
        <v>348</v>
      </c>
      <c r="D880" s="180" t="s">
        <v>601</v>
      </c>
      <c r="E880" s="180" t="s">
        <v>863</v>
      </c>
      <c r="F880" s="158" t="s">
        <v>599</v>
      </c>
      <c r="G880" s="91">
        <v>2882.5</v>
      </c>
      <c r="H880" s="20"/>
      <c r="I880" s="20"/>
    </row>
    <row r="881" spans="1:9" ht="35.25" customHeight="1" hidden="1">
      <c r="A881" s="106" t="s">
        <v>864</v>
      </c>
      <c r="B881" s="180"/>
      <c r="C881" s="180" t="s">
        <v>348</v>
      </c>
      <c r="D881" s="180" t="s">
        <v>601</v>
      </c>
      <c r="E881" s="180" t="s">
        <v>865</v>
      </c>
      <c r="F881" s="158"/>
      <c r="G881" s="91">
        <f>SUM(G882)</f>
        <v>0</v>
      </c>
      <c r="H881" s="20">
        <f>SUM(H882)</f>
        <v>4118.3</v>
      </c>
      <c r="I881" s="20" t="e">
        <f t="shared" si="20"/>
        <v>#DIV/0!</v>
      </c>
    </row>
    <row r="882" spans="1:9" ht="15.75" customHeight="1" hidden="1">
      <c r="A882" s="106" t="s">
        <v>1032</v>
      </c>
      <c r="B882" s="180"/>
      <c r="C882" s="180" t="s">
        <v>348</v>
      </c>
      <c r="D882" s="180" t="s">
        <v>601</v>
      </c>
      <c r="E882" s="180" t="s">
        <v>865</v>
      </c>
      <c r="F882" s="158" t="s">
        <v>1033</v>
      </c>
      <c r="G882" s="91"/>
      <c r="H882" s="20">
        <v>4118.3</v>
      </c>
      <c r="I882" s="20" t="e">
        <f t="shared" si="20"/>
        <v>#DIV/0!</v>
      </c>
    </row>
    <row r="883" spans="1:9" ht="48.75" customHeight="1">
      <c r="A883" s="133" t="s">
        <v>988</v>
      </c>
      <c r="B883" s="155"/>
      <c r="C883" s="159" t="s">
        <v>348</v>
      </c>
      <c r="D883" s="159" t="s">
        <v>601</v>
      </c>
      <c r="E883" s="159" t="s">
        <v>989</v>
      </c>
      <c r="F883" s="157"/>
      <c r="G883" s="91">
        <f>SUM(G884)</f>
        <v>77.1</v>
      </c>
      <c r="H883" s="20">
        <f>SUM(H884)</f>
        <v>12.8</v>
      </c>
      <c r="I883" s="20">
        <f t="shared" si="20"/>
        <v>16.60181582360571</v>
      </c>
    </row>
    <row r="884" spans="1:9" ht="19.5" customHeight="1">
      <c r="A884" s="106" t="s">
        <v>1032</v>
      </c>
      <c r="B884" s="155"/>
      <c r="C884" s="159" t="s">
        <v>348</v>
      </c>
      <c r="D884" s="159" t="s">
        <v>601</v>
      </c>
      <c r="E884" s="159" t="s">
        <v>989</v>
      </c>
      <c r="F884" s="157" t="s">
        <v>1033</v>
      </c>
      <c r="G884" s="91">
        <v>77.1</v>
      </c>
      <c r="H884" s="20">
        <v>12.8</v>
      </c>
      <c r="I884" s="20">
        <f t="shared" si="20"/>
        <v>16.60181582360571</v>
      </c>
    </row>
    <row r="885" spans="1:9" ht="20.25" customHeight="1">
      <c r="A885" s="127" t="s">
        <v>990</v>
      </c>
      <c r="B885" s="155"/>
      <c r="C885" s="159" t="s">
        <v>348</v>
      </c>
      <c r="D885" s="159" t="s">
        <v>601</v>
      </c>
      <c r="E885" s="159" t="s">
        <v>991</v>
      </c>
      <c r="F885" s="157"/>
      <c r="G885" s="91">
        <f>SUM(G886:G887)</f>
        <v>132188.8</v>
      </c>
      <c r="H885" s="20">
        <f>SUM(H886)</f>
        <v>90050.4</v>
      </c>
      <c r="I885" s="20">
        <f t="shared" si="20"/>
        <v>68.12256409014985</v>
      </c>
    </row>
    <row r="886" spans="1:9" ht="19.5" customHeight="1">
      <c r="A886" s="106" t="s">
        <v>1032</v>
      </c>
      <c r="B886" s="159"/>
      <c r="C886" s="159" t="s">
        <v>348</v>
      </c>
      <c r="D886" s="159" t="s">
        <v>601</v>
      </c>
      <c r="E886" s="159" t="s">
        <v>991</v>
      </c>
      <c r="F886" s="157" t="s">
        <v>1033</v>
      </c>
      <c r="G886" s="91">
        <v>132188.8</v>
      </c>
      <c r="H886" s="20">
        <v>90050.4</v>
      </c>
      <c r="I886" s="20">
        <f t="shared" si="20"/>
        <v>68.12256409014985</v>
      </c>
    </row>
    <row r="887" spans="1:9" ht="19.5" customHeight="1" hidden="1">
      <c r="A887" s="128" t="s">
        <v>598</v>
      </c>
      <c r="B887" s="159"/>
      <c r="C887" s="159" t="s">
        <v>348</v>
      </c>
      <c r="D887" s="159" t="s">
        <v>601</v>
      </c>
      <c r="E887" s="159" t="s">
        <v>991</v>
      </c>
      <c r="F887" s="157" t="s">
        <v>599</v>
      </c>
      <c r="G887" s="91"/>
      <c r="H887" s="20"/>
      <c r="I887" s="20"/>
    </row>
    <row r="888" spans="1:9" ht="33.75" customHeight="1">
      <c r="A888" s="106" t="s">
        <v>992</v>
      </c>
      <c r="B888" s="155"/>
      <c r="C888" s="159" t="s">
        <v>348</v>
      </c>
      <c r="D888" s="159" t="s">
        <v>601</v>
      </c>
      <c r="E888" s="159" t="s">
        <v>993</v>
      </c>
      <c r="F888" s="157"/>
      <c r="G888" s="91">
        <f>SUM(G889)</f>
        <v>70777.8</v>
      </c>
      <c r="H888" s="20">
        <f>SUM(H889)</f>
        <v>56493.7</v>
      </c>
      <c r="I888" s="20">
        <f t="shared" si="20"/>
        <v>79.81838938198135</v>
      </c>
    </row>
    <row r="889" spans="1:9" ht="18" customHeight="1">
      <c r="A889" s="106" t="s">
        <v>1032</v>
      </c>
      <c r="B889" s="155"/>
      <c r="C889" s="159" t="s">
        <v>348</v>
      </c>
      <c r="D889" s="159" t="s">
        <v>601</v>
      </c>
      <c r="E889" s="159" t="s">
        <v>993</v>
      </c>
      <c r="F889" s="157" t="s">
        <v>1033</v>
      </c>
      <c r="G889" s="91">
        <v>70777.8</v>
      </c>
      <c r="H889" s="20">
        <v>56493.7</v>
      </c>
      <c r="I889" s="20">
        <f t="shared" si="20"/>
        <v>79.81838938198135</v>
      </c>
    </row>
    <row r="890" spans="1:9" ht="21.75" customHeight="1">
      <c r="A890" s="106" t="s">
        <v>996</v>
      </c>
      <c r="B890" s="155"/>
      <c r="C890" s="159" t="s">
        <v>348</v>
      </c>
      <c r="D890" s="159" t="s">
        <v>601</v>
      </c>
      <c r="E890" s="159" t="s">
        <v>997</v>
      </c>
      <c r="F890" s="157"/>
      <c r="G890" s="91">
        <f>SUM(G893+G897+G899+G901+G903+G914+G912+G907+G918+G895+G910)+G921+G923+G925+G927+G929+G931+G933</f>
        <v>405817.89999999997</v>
      </c>
      <c r="H890" s="20">
        <f>SUM(H893+H897+H899+H901+H903+H914+H912+H907+H918)</f>
        <v>182903.19999999998</v>
      </c>
      <c r="I890" s="20">
        <f aca="true" t="shared" si="26" ref="I890:I972">SUM(H890/G890*100)</f>
        <v>45.07026427370503</v>
      </c>
    </row>
    <row r="891" spans="1:9" ht="49.5" customHeight="1" hidden="1">
      <c r="A891" s="108" t="s">
        <v>264</v>
      </c>
      <c r="B891" s="180"/>
      <c r="C891" s="180" t="s">
        <v>348</v>
      </c>
      <c r="D891" s="180" t="s">
        <v>601</v>
      </c>
      <c r="E891" s="180" t="s">
        <v>265</v>
      </c>
      <c r="F891" s="158"/>
      <c r="G891" s="208">
        <f>G892</f>
        <v>0</v>
      </c>
      <c r="H891" s="148">
        <f>H892</f>
        <v>4381.1</v>
      </c>
      <c r="I891" s="147">
        <f>I892</f>
        <v>9849.2</v>
      </c>
    </row>
    <row r="892" spans="1:9" ht="28.5" customHeight="1" hidden="1">
      <c r="A892" s="108" t="s">
        <v>1032</v>
      </c>
      <c r="B892" s="180"/>
      <c r="C892" s="180" t="s">
        <v>348</v>
      </c>
      <c r="D892" s="180" t="s">
        <v>601</v>
      </c>
      <c r="E892" s="180" t="s">
        <v>265</v>
      </c>
      <c r="F892" s="158" t="s">
        <v>1033</v>
      </c>
      <c r="G892" s="204">
        <v>0</v>
      </c>
      <c r="H892" s="148">
        <v>4381.1</v>
      </c>
      <c r="I892" s="147">
        <v>9849.2</v>
      </c>
    </row>
    <row r="893" spans="1:9" ht="29.25" customHeight="1">
      <c r="A893" s="133" t="s">
        <v>266</v>
      </c>
      <c r="B893" s="155"/>
      <c r="C893" s="159" t="s">
        <v>348</v>
      </c>
      <c r="D893" s="159" t="s">
        <v>601</v>
      </c>
      <c r="E893" s="159" t="s">
        <v>169</v>
      </c>
      <c r="F893" s="157"/>
      <c r="G893" s="209">
        <f>SUM(G894)</f>
        <v>51950</v>
      </c>
      <c r="H893" s="20">
        <f>SUM(H894)</f>
        <v>37224.7</v>
      </c>
      <c r="I893" s="20">
        <f t="shared" si="26"/>
        <v>71.6548604427334</v>
      </c>
    </row>
    <row r="894" spans="1:9" ht="18" customHeight="1">
      <c r="A894" s="106" t="s">
        <v>1032</v>
      </c>
      <c r="B894" s="155"/>
      <c r="C894" s="159" t="s">
        <v>348</v>
      </c>
      <c r="D894" s="159" t="s">
        <v>601</v>
      </c>
      <c r="E894" s="159" t="s">
        <v>169</v>
      </c>
      <c r="F894" s="157" t="s">
        <v>1033</v>
      </c>
      <c r="G894" s="91">
        <v>51950</v>
      </c>
      <c r="H894" s="20">
        <v>37224.7</v>
      </c>
      <c r="I894" s="20">
        <f t="shared" si="26"/>
        <v>71.6548604427334</v>
      </c>
    </row>
    <row r="895" spans="1:9" ht="57">
      <c r="A895" s="106" t="s">
        <v>267</v>
      </c>
      <c r="B895" s="155"/>
      <c r="C895" s="159" t="s">
        <v>348</v>
      </c>
      <c r="D895" s="155" t="s">
        <v>601</v>
      </c>
      <c r="E895" s="159" t="s">
        <v>249</v>
      </c>
      <c r="F895" s="156"/>
      <c r="G895" s="91">
        <f>SUM(G896)</f>
        <v>35270.5</v>
      </c>
      <c r="H895" s="20"/>
      <c r="I895" s="20">
        <f t="shared" si="26"/>
        <v>0</v>
      </c>
    </row>
    <row r="896" spans="1:9" ht="15">
      <c r="A896" s="106" t="s">
        <v>1032</v>
      </c>
      <c r="B896" s="155"/>
      <c r="C896" s="159" t="s">
        <v>348</v>
      </c>
      <c r="D896" s="155" t="s">
        <v>601</v>
      </c>
      <c r="E896" s="159" t="s">
        <v>249</v>
      </c>
      <c r="F896" s="156" t="s">
        <v>1033</v>
      </c>
      <c r="G896" s="91">
        <v>35270.5</v>
      </c>
      <c r="H896" s="20"/>
      <c r="I896" s="20">
        <f t="shared" si="26"/>
        <v>0</v>
      </c>
    </row>
    <row r="897" spans="1:9" ht="71.25" hidden="1">
      <c r="A897" s="130" t="s">
        <v>805</v>
      </c>
      <c r="B897" s="155"/>
      <c r="C897" s="159" t="s">
        <v>348</v>
      </c>
      <c r="D897" s="155" t="s">
        <v>601</v>
      </c>
      <c r="E897" s="159" t="s">
        <v>170</v>
      </c>
      <c r="F897" s="156"/>
      <c r="G897" s="91">
        <f>SUM(G898)</f>
        <v>0</v>
      </c>
      <c r="H897" s="20">
        <f>SUM(H898)</f>
        <v>29554</v>
      </c>
      <c r="I897" s="20" t="e">
        <f t="shared" si="26"/>
        <v>#DIV/0!</v>
      </c>
    </row>
    <row r="898" spans="1:9" ht="15" hidden="1">
      <c r="A898" s="106" t="s">
        <v>1032</v>
      </c>
      <c r="B898" s="155"/>
      <c r="C898" s="159" t="s">
        <v>348</v>
      </c>
      <c r="D898" s="155" t="s">
        <v>601</v>
      </c>
      <c r="E898" s="159" t="s">
        <v>170</v>
      </c>
      <c r="F898" s="156" t="s">
        <v>1033</v>
      </c>
      <c r="G898" s="91"/>
      <c r="H898" s="20">
        <v>29554</v>
      </c>
      <c r="I898" s="20" t="e">
        <f t="shared" si="26"/>
        <v>#DIV/0!</v>
      </c>
    </row>
    <row r="899" spans="1:9" ht="71.25" hidden="1">
      <c r="A899" s="130" t="s">
        <v>413</v>
      </c>
      <c r="B899" s="155"/>
      <c r="C899" s="159" t="s">
        <v>348</v>
      </c>
      <c r="D899" s="155" t="s">
        <v>601</v>
      </c>
      <c r="E899" s="159" t="s">
        <v>171</v>
      </c>
      <c r="F899" s="156"/>
      <c r="G899" s="91">
        <f>SUM(G900)</f>
        <v>0</v>
      </c>
      <c r="H899" s="20">
        <f>SUM(H900)</f>
        <v>37911</v>
      </c>
      <c r="I899" s="20" t="e">
        <f t="shared" si="26"/>
        <v>#DIV/0!</v>
      </c>
    </row>
    <row r="900" spans="1:9" ht="15" hidden="1">
      <c r="A900" s="106" t="s">
        <v>1032</v>
      </c>
      <c r="B900" s="155"/>
      <c r="C900" s="159" t="s">
        <v>348</v>
      </c>
      <c r="D900" s="155" t="s">
        <v>601</v>
      </c>
      <c r="E900" s="159" t="s">
        <v>171</v>
      </c>
      <c r="F900" s="156" t="s">
        <v>1033</v>
      </c>
      <c r="G900" s="91"/>
      <c r="H900" s="20">
        <v>37911</v>
      </c>
      <c r="I900" s="20" t="e">
        <f t="shared" si="26"/>
        <v>#DIV/0!</v>
      </c>
    </row>
    <row r="901" spans="1:9" ht="57" hidden="1">
      <c r="A901" s="106" t="s">
        <v>414</v>
      </c>
      <c r="B901" s="155"/>
      <c r="C901" s="159" t="s">
        <v>348</v>
      </c>
      <c r="D901" s="155" t="s">
        <v>601</v>
      </c>
      <c r="E901" s="159" t="s">
        <v>170</v>
      </c>
      <c r="F901" s="156"/>
      <c r="G901" s="91">
        <f>SUM(G902)</f>
        <v>0</v>
      </c>
      <c r="H901" s="20">
        <f>SUM(H902)</f>
        <v>0</v>
      </c>
      <c r="I901" s="20" t="e">
        <f t="shared" si="26"/>
        <v>#DIV/0!</v>
      </c>
    </row>
    <row r="902" spans="1:9" ht="15" hidden="1">
      <c r="A902" s="106" t="s">
        <v>1032</v>
      </c>
      <c r="B902" s="155"/>
      <c r="C902" s="159" t="s">
        <v>348</v>
      </c>
      <c r="D902" s="155" t="s">
        <v>601</v>
      </c>
      <c r="E902" s="159" t="s">
        <v>170</v>
      </c>
      <c r="F902" s="156" t="s">
        <v>1033</v>
      </c>
      <c r="G902" s="91"/>
      <c r="H902" s="20"/>
      <c r="I902" s="20" t="e">
        <f t="shared" si="26"/>
        <v>#DIV/0!</v>
      </c>
    </row>
    <row r="903" spans="1:9" ht="57" hidden="1">
      <c r="A903" s="106" t="s">
        <v>415</v>
      </c>
      <c r="B903" s="155"/>
      <c r="C903" s="159" t="s">
        <v>348</v>
      </c>
      <c r="D903" s="155" t="s">
        <v>601</v>
      </c>
      <c r="E903" s="159" t="s">
        <v>171</v>
      </c>
      <c r="F903" s="156"/>
      <c r="G903" s="91">
        <f>SUM(G904)</f>
        <v>0</v>
      </c>
      <c r="H903" s="20">
        <f>SUM(H904)</f>
        <v>0</v>
      </c>
      <c r="I903" s="20" t="e">
        <f t="shared" si="26"/>
        <v>#DIV/0!</v>
      </c>
    </row>
    <row r="904" spans="1:9" ht="15" hidden="1">
      <c r="A904" s="106" t="s">
        <v>1032</v>
      </c>
      <c r="B904" s="155"/>
      <c r="C904" s="159" t="s">
        <v>348</v>
      </c>
      <c r="D904" s="155" t="s">
        <v>601</v>
      </c>
      <c r="E904" s="159" t="s">
        <v>171</v>
      </c>
      <c r="F904" s="156" t="s">
        <v>1033</v>
      </c>
      <c r="G904" s="91"/>
      <c r="H904" s="20"/>
      <c r="I904" s="20" t="e">
        <f t="shared" si="26"/>
        <v>#DIV/0!</v>
      </c>
    </row>
    <row r="905" spans="1:9" ht="42.75" hidden="1">
      <c r="A905" s="133" t="s">
        <v>172</v>
      </c>
      <c r="B905" s="155"/>
      <c r="C905" s="159" t="s">
        <v>348</v>
      </c>
      <c r="D905" s="159" t="s">
        <v>601</v>
      </c>
      <c r="E905" s="159" t="s">
        <v>173</v>
      </c>
      <c r="F905" s="157"/>
      <c r="G905" s="91">
        <f>SUM(G906)</f>
        <v>8082.5</v>
      </c>
      <c r="H905" s="20">
        <f>SUM(H906)</f>
        <v>8082.5</v>
      </c>
      <c r="I905" s="20">
        <f t="shared" si="26"/>
        <v>100</v>
      </c>
    </row>
    <row r="906" spans="1:9" ht="15" hidden="1">
      <c r="A906" s="106" t="s">
        <v>1032</v>
      </c>
      <c r="B906" s="155"/>
      <c r="C906" s="159" t="s">
        <v>348</v>
      </c>
      <c r="D906" s="159" t="s">
        <v>601</v>
      </c>
      <c r="E906" s="159" t="s">
        <v>173</v>
      </c>
      <c r="F906" s="157" t="s">
        <v>1033</v>
      </c>
      <c r="G906" s="91">
        <v>8082.5</v>
      </c>
      <c r="H906" s="20">
        <v>8082.5</v>
      </c>
      <c r="I906" s="20">
        <f t="shared" si="26"/>
        <v>100</v>
      </c>
    </row>
    <row r="907" spans="1:9" ht="71.25">
      <c r="A907" s="106" t="s">
        <v>288</v>
      </c>
      <c r="B907" s="155"/>
      <c r="C907" s="159" t="s">
        <v>348</v>
      </c>
      <c r="D907" s="159" t="s">
        <v>601</v>
      </c>
      <c r="E907" s="159" t="s">
        <v>177</v>
      </c>
      <c r="F907" s="157"/>
      <c r="G907" s="91">
        <f>SUM(G908:G909)</f>
        <v>163216.8</v>
      </c>
      <c r="H907" s="20">
        <f>SUM(H908)</f>
        <v>70381.4</v>
      </c>
      <c r="I907" s="20">
        <f t="shared" si="26"/>
        <v>43.12141887354733</v>
      </c>
    </row>
    <row r="908" spans="1:9" ht="15">
      <c r="A908" s="106" t="s">
        <v>1032</v>
      </c>
      <c r="B908" s="155"/>
      <c r="C908" s="159" t="s">
        <v>348</v>
      </c>
      <c r="D908" s="155" t="s">
        <v>601</v>
      </c>
      <c r="E908" s="159" t="s">
        <v>177</v>
      </c>
      <c r="F908" s="156" t="s">
        <v>1033</v>
      </c>
      <c r="G908" s="91">
        <v>163216.8</v>
      </c>
      <c r="H908" s="20">
        <v>70381.4</v>
      </c>
      <c r="I908" s="20">
        <f t="shared" si="26"/>
        <v>43.12141887354733</v>
      </c>
    </row>
    <row r="909" spans="1:9" ht="15" hidden="1">
      <c r="A909" s="128" t="s">
        <v>598</v>
      </c>
      <c r="B909" s="155"/>
      <c r="C909" s="159" t="s">
        <v>348</v>
      </c>
      <c r="D909" s="155" t="s">
        <v>601</v>
      </c>
      <c r="E909" s="159" t="s">
        <v>177</v>
      </c>
      <c r="F909" s="156" t="s">
        <v>599</v>
      </c>
      <c r="G909" s="91"/>
      <c r="H909" s="20"/>
      <c r="I909" s="20"/>
    </row>
    <row r="910" spans="1:9" ht="71.25">
      <c r="A910" s="128" t="s">
        <v>268</v>
      </c>
      <c r="B910" s="155"/>
      <c r="C910" s="159" t="s">
        <v>348</v>
      </c>
      <c r="D910" s="159" t="s">
        <v>601</v>
      </c>
      <c r="E910" s="159" t="s">
        <v>250</v>
      </c>
      <c r="F910" s="156"/>
      <c r="G910" s="91">
        <f>SUM(G911)</f>
        <v>1190.3</v>
      </c>
      <c r="H910" s="20"/>
      <c r="I910" s="20"/>
    </row>
    <row r="911" spans="1:9" ht="14.25" customHeight="1">
      <c r="A911" s="106" t="s">
        <v>1032</v>
      </c>
      <c r="B911" s="155"/>
      <c r="C911" s="159" t="s">
        <v>348</v>
      </c>
      <c r="D911" s="159" t="s">
        <v>601</v>
      </c>
      <c r="E911" s="159" t="s">
        <v>250</v>
      </c>
      <c r="F911" s="156" t="s">
        <v>1033</v>
      </c>
      <c r="G911" s="91">
        <v>1190.3</v>
      </c>
      <c r="H911" s="20"/>
      <c r="I911" s="20"/>
    </row>
    <row r="912" spans="1:9" ht="79.5" customHeight="1" hidden="1">
      <c r="A912" s="133" t="s">
        <v>1013</v>
      </c>
      <c r="B912" s="155"/>
      <c r="C912" s="159" t="s">
        <v>348</v>
      </c>
      <c r="D912" s="159" t="s">
        <v>601</v>
      </c>
      <c r="E912" s="159" t="s">
        <v>178</v>
      </c>
      <c r="F912" s="157"/>
      <c r="G912" s="91">
        <f>SUM(G913)</f>
        <v>0</v>
      </c>
      <c r="H912" s="20">
        <f>SUM(H913)</f>
        <v>1365.8</v>
      </c>
      <c r="I912" s="20" t="e">
        <f t="shared" si="26"/>
        <v>#DIV/0!</v>
      </c>
    </row>
    <row r="913" spans="1:9" ht="15" hidden="1">
      <c r="A913" s="106" t="s">
        <v>1032</v>
      </c>
      <c r="B913" s="155"/>
      <c r="C913" s="159" t="s">
        <v>348</v>
      </c>
      <c r="D913" s="159" t="s">
        <v>601</v>
      </c>
      <c r="E913" s="159" t="s">
        <v>178</v>
      </c>
      <c r="F913" s="157" t="s">
        <v>1033</v>
      </c>
      <c r="G913" s="91"/>
      <c r="H913" s="20">
        <v>1365.8</v>
      </c>
      <c r="I913" s="20" t="e">
        <f t="shared" si="26"/>
        <v>#DIV/0!</v>
      </c>
    </row>
    <row r="914" spans="1:9" ht="85.5" hidden="1">
      <c r="A914" s="133" t="s">
        <v>806</v>
      </c>
      <c r="B914" s="155"/>
      <c r="C914" s="159" t="s">
        <v>348</v>
      </c>
      <c r="D914" s="159" t="s">
        <v>601</v>
      </c>
      <c r="E914" s="159" t="s">
        <v>179</v>
      </c>
      <c r="F914" s="157"/>
      <c r="G914" s="91">
        <f>SUM(G915)</f>
        <v>0</v>
      </c>
      <c r="H914" s="20">
        <f>SUM(H915)</f>
        <v>1324.9</v>
      </c>
      <c r="I914" s="20" t="e">
        <f t="shared" si="26"/>
        <v>#DIV/0!</v>
      </c>
    </row>
    <row r="915" spans="1:9" ht="15" hidden="1">
      <c r="A915" s="106" t="s">
        <v>1032</v>
      </c>
      <c r="B915" s="155"/>
      <c r="C915" s="159" t="s">
        <v>348</v>
      </c>
      <c r="D915" s="159" t="s">
        <v>601</v>
      </c>
      <c r="E915" s="159" t="s">
        <v>179</v>
      </c>
      <c r="F915" s="157" t="s">
        <v>1033</v>
      </c>
      <c r="G915" s="91"/>
      <c r="H915" s="20">
        <v>1324.9</v>
      </c>
      <c r="I915" s="20" t="e">
        <f t="shared" si="26"/>
        <v>#DIV/0!</v>
      </c>
    </row>
    <row r="916" spans="1:9" ht="19.5" customHeight="1" hidden="1">
      <c r="A916" s="105" t="s">
        <v>864</v>
      </c>
      <c r="B916" s="159"/>
      <c r="C916" s="159" t="s">
        <v>348</v>
      </c>
      <c r="D916" s="159" t="s">
        <v>601</v>
      </c>
      <c r="E916" s="159" t="s">
        <v>180</v>
      </c>
      <c r="F916" s="157"/>
      <c r="G916" s="91">
        <f>SUM(G917)</f>
        <v>0</v>
      </c>
      <c r="H916" s="20">
        <f>SUM(H917)</f>
        <v>0</v>
      </c>
      <c r="I916" s="20" t="e">
        <f t="shared" si="26"/>
        <v>#DIV/0!</v>
      </c>
    </row>
    <row r="917" spans="1:9" ht="19.5" customHeight="1" hidden="1">
      <c r="A917" s="105" t="s">
        <v>1032</v>
      </c>
      <c r="B917" s="159"/>
      <c r="C917" s="159" t="s">
        <v>348</v>
      </c>
      <c r="D917" s="159" t="s">
        <v>601</v>
      </c>
      <c r="E917" s="159" t="s">
        <v>180</v>
      </c>
      <c r="F917" s="157" t="s">
        <v>1033</v>
      </c>
      <c r="G917" s="91"/>
      <c r="H917" s="20"/>
      <c r="I917" s="20" t="e">
        <f t="shared" si="26"/>
        <v>#DIV/0!</v>
      </c>
    </row>
    <row r="918" spans="1:9" ht="99" customHeight="1">
      <c r="A918" s="105" t="s">
        <v>269</v>
      </c>
      <c r="B918" s="159"/>
      <c r="C918" s="159" t="s">
        <v>348</v>
      </c>
      <c r="D918" s="159" t="s">
        <v>601</v>
      </c>
      <c r="E918" s="159" t="s">
        <v>762</v>
      </c>
      <c r="F918" s="157"/>
      <c r="G918" s="91">
        <f>SUM(G919:G920)</f>
        <v>9000.5</v>
      </c>
      <c r="H918" s="20">
        <f>SUM(H919)</f>
        <v>5141.4</v>
      </c>
      <c r="I918" s="20">
        <f t="shared" si="26"/>
        <v>57.12349313927003</v>
      </c>
    </row>
    <row r="919" spans="1:9" ht="17.25" customHeight="1">
      <c r="A919" s="106" t="s">
        <v>1032</v>
      </c>
      <c r="B919" s="155"/>
      <c r="C919" s="159" t="s">
        <v>348</v>
      </c>
      <c r="D919" s="155" t="s">
        <v>601</v>
      </c>
      <c r="E919" s="159" t="s">
        <v>762</v>
      </c>
      <c r="F919" s="156" t="s">
        <v>1033</v>
      </c>
      <c r="G919" s="91">
        <v>9000.5</v>
      </c>
      <c r="H919" s="20">
        <v>5141.4</v>
      </c>
      <c r="I919" s="20">
        <f t="shared" si="26"/>
        <v>57.12349313927003</v>
      </c>
    </row>
    <row r="920" spans="1:9" ht="18" customHeight="1" hidden="1">
      <c r="A920" s="128" t="s">
        <v>598</v>
      </c>
      <c r="B920" s="155"/>
      <c r="C920" s="159" t="s">
        <v>348</v>
      </c>
      <c r="D920" s="155" t="s">
        <v>601</v>
      </c>
      <c r="E920" s="159" t="s">
        <v>762</v>
      </c>
      <c r="F920" s="156" t="s">
        <v>599</v>
      </c>
      <c r="G920" s="209"/>
      <c r="H920" s="20"/>
      <c r="I920" s="20"/>
    </row>
    <row r="921" spans="1:9" ht="60" customHeight="1">
      <c r="A921" s="108" t="s">
        <v>270</v>
      </c>
      <c r="B921" s="180"/>
      <c r="C921" s="180" t="s">
        <v>348</v>
      </c>
      <c r="D921" s="180" t="s">
        <v>601</v>
      </c>
      <c r="E921" s="180" t="s">
        <v>271</v>
      </c>
      <c r="F921" s="158"/>
      <c r="G921" s="204">
        <f>SUM(G922)</f>
        <v>126473.1</v>
      </c>
      <c r="H921" s="20"/>
      <c r="I921" s="20"/>
    </row>
    <row r="922" spans="1:9" ht="18" customHeight="1">
      <c r="A922" s="108" t="s">
        <v>1032</v>
      </c>
      <c r="B922" s="180"/>
      <c r="C922" s="180" t="s">
        <v>348</v>
      </c>
      <c r="D922" s="180" t="s">
        <v>601</v>
      </c>
      <c r="E922" s="180" t="s">
        <v>271</v>
      </c>
      <c r="F922" s="158" t="s">
        <v>1033</v>
      </c>
      <c r="G922" s="204">
        <v>126473.1</v>
      </c>
      <c r="H922" s="20"/>
      <c r="I922" s="20"/>
    </row>
    <row r="923" spans="1:9" ht="76.5" customHeight="1">
      <c r="A923" s="108" t="s">
        <v>272</v>
      </c>
      <c r="B923" s="180"/>
      <c r="C923" s="180" t="s">
        <v>348</v>
      </c>
      <c r="D923" s="180" t="s">
        <v>601</v>
      </c>
      <c r="E923" s="180" t="s">
        <v>273</v>
      </c>
      <c r="F923" s="158"/>
      <c r="G923" s="204">
        <f>SUM(G924)</f>
        <v>690.8</v>
      </c>
      <c r="H923" s="20"/>
      <c r="I923" s="20"/>
    </row>
    <row r="924" spans="1:9" ht="18" customHeight="1">
      <c r="A924" s="108" t="s">
        <v>1032</v>
      </c>
      <c r="B924" s="180"/>
      <c r="C924" s="180" t="s">
        <v>348</v>
      </c>
      <c r="D924" s="180" t="s">
        <v>601</v>
      </c>
      <c r="E924" s="180" t="s">
        <v>273</v>
      </c>
      <c r="F924" s="158" t="s">
        <v>1033</v>
      </c>
      <c r="G924" s="204">
        <v>690.8</v>
      </c>
      <c r="H924" s="20"/>
      <c r="I924" s="20"/>
    </row>
    <row r="925" spans="1:9" ht="73.5" customHeight="1">
      <c r="A925" s="108" t="s">
        <v>274</v>
      </c>
      <c r="B925" s="180"/>
      <c r="C925" s="180" t="s">
        <v>348</v>
      </c>
      <c r="D925" s="180" t="s">
        <v>601</v>
      </c>
      <c r="E925" s="180" t="s">
        <v>275</v>
      </c>
      <c r="F925" s="158"/>
      <c r="G925" s="204">
        <f>SUM(G926)</f>
        <v>452.7</v>
      </c>
      <c r="H925" s="20"/>
      <c r="I925" s="20"/>
    </row>
    <row r="926" spans="1:9" ht="18" customHeight="1">
      <c r="A926" s="108" t="s">
        <v>1032</v>
      </c>
      <c r="B926" s="180"/>
      <c r="C926" s="180" t="s">
        <v>348</v>
      </c>
      <c r="D926" s="180" t="s">
        <v>601</v>
      </c>
      <c r="E926" s="180" t="s">
        <v>275</v>
      </c>
      <c r="F926" s="158" t="s">
        <v>1033</v>
      </c>
      <c r="G926" s="204">
        <v>452.7</v>
      </c>
      <c r="H926" s="20"/>
      <c r="I926" s="20"/>
    </row>
    <row r="927" spans="1:9" ht="48.75" customHeight="1">
      <c r="A927" s="108" t="s">
        <v>276</v>
      </c>
      <c r="B927" s="180"/>
      <c r="C927" s="180" t="s">
        <v>348</v>
      </c>
      <c r="D927" s="180" t="s">
        <v>601</v>
      </c>
      <c r="E927" s="180" t="s">
        <v>277</v>
      </c>
      <c r="F927" s="158"/>
      <c r="G927" s="204">
        <f>SUM(G928)</f>
        <v>5746</v>
      </c>
      <c r="H927" s="20"/>
      <c r="I927" s="20"/>
    </row>
    <row r="928" spans="1:9" ht="18" customHeight="1">
      <c r="A928" s="108" t="s">
        <v>1032</v>
      </c>
      <c r="B928" s="180"/>
      <c r="C928" s="180" t="s">
        <v>348</v>
      </c>
      <c r="D928" s="180" t="s">
        <v>601</v>
      </c>
      <c r="E928" s="180" t="s">
        <v>277</v>
      </c>
      <c r="F928" s="158" t="s">
        <v>1033</v>
      </c>
      <c r="G928" s="204">
        <v>5746</v>
      </c>
      <c r="H928" s="20"/>
      <c r="I928" s="20"/>
    </row>
    <row r="929" spans="1:9" ht="39.75" customHeight="1">
      <c r="A929" s="108" t="s">
        <v>278</v>
      </c>
      <c r="B929" s="180"/>
      <c r="C929" s="180" t="s">
        <v>348</v>
      </c>
      <c r="D929" s="180" t="s">
        <v>601</v>
      </c>
      <c r="E929" s="180" t="s">
        <v>279</v>
      </c>
      <c r="F929" s="158"/>
      <c r="G929" s="204">
        <f>SUM(G930)</f>
        <v>5357.2</v>
      </c>
      <c r="H929" s="20"/>
      <c r="I929" s="20"/>
    </row>
    <row r="930" spans="1:9" ht="18" customHeight="1">
      <c r="A930" s="108" t="s">
        <v>1032</v>
      </c>
      <c r="B930" s="180"/>
      <c r="C930" s="180" t="s">
        <v>348</v>
      </c>
      <c r="D930" s="180" t="s">
        <v>601</v>
      </c>
      <c r="E930" s="180" t="s">
        <v>279</v>
      </c>
      <c r="F930" s="158" t="s">
        <v>1033</v>
      </c>
      <c r="G930" s="204">
        <v>5357.2</v>
      </c>
      <c r="H930" s="20"/>
      <c r="I930" s="20"/>
    </row>
    <row r="931" spans="1:9" ht="48" customHeight="1">
      <c r="A931" s="190" t="s">
        <v>280</v>
      </c>
      <c r="B931" s="180"/>
      <c r="C931" s="180" t="s">
        <v>348</v>
      </c>
      <c r="D931" s="180" t="s">
        <v>601</v>
      </c>
      <c r="E931" s="180" t="s">
        <v>281</v>
      </c>
      <c r="F931" s="158"/>
      <c r="G931" s="204">
        <f>SUM(G932)</f>
        <v>2046.2</v>
      </c>
      <c r="H931" s="20"/>
      <c r="I931" s="20"/>
    </row>
    <row r="932" spans="1:9" ht="18" customHeight="1">
      <c r="A932" s="108" t="s">
        <v>1032</v>
      </c>
      <c r="B932" s="180"/>
      <c r="C932" s="180" t="s">
        <v>348</v>
      </c>
      <c r="D932" s="180" t="s">
        <v>601</v>
      </c>
      <c r="E932" s="180" t="s">
        <v>281</v>
      </c>
      <c r="F932" s="158" t="s">
        <v>1033</v>
      </c>
      <c r="G932" s="204">
        <v>2046.2</v>
      </c>
      <c r="H932" s="20"/>
      <c r="I932" s="20"/>
    </row>
    <row r="933" spans="1:9" ht="45" customHeight="1">
      <c r="A933" s="108" t="s">
        <v>282</v>
      </c>
      <c r="B933" s="180"/>
      <c r="C933" s="180" t="s">
        <v>348</v>
      </c>
      <c r="D933" s="180" t="s">
        <v>601</v>
      </c>
      <c r="E933" s="180" t="s">
        <v>283</v>
      </c>
      <c r="F933" s="158"/>
      <c r="G933" s="204">
        <f>SUM(G934)</f>
        <v>4423.8</v>
      </c>
      <c r="H933" s="20"/>
      <c r="I933" s="20"/>
    </row>
    <row r="934" spans="1:9" ht="18" customHeight="1">
      <c r="A934" s="108" t="s">
        <v>1032</v>
      </c>
      <c r="B934" s="180"/>
      <c r="C934" s="180" t="s">
        <v>348</v>
      </c>
      <c r="D934" s="180" t="s">
        <v>601</v>
      </c>
      <c r="E934" s="180" t="s">
        <v>283</v>
      </c>
      <c r="F934" s="158" t="s">
        <v>1033</v>
      </c>
      <c r="G934" s="204">
        <v>4423.8</v>
      </c>
      <c r="H934" s="20"/>
      <c r="I934" s="20"/>
    </row>
    <row r="935" spans="1:9" ht="24.75" customHeight="1">
      <c r="A935" s="106" t="s">
        <v>765</v>
      </c>
      <c r="B935" s="155"/>
      <c r="C935" s="159" t="s">
        <v>348</v>
      </c>
      <c r="D935" s="155" t="s">
        <v>601</v>
      </c>
      <c r="E935" s="155" t="s">
        <v>766</v>
      </c>
      <c r="F935" s="157"/>
      <c r="G935" s="91">
        <f>SUM(G936)</f>
        <v>2073.4</v>
      </c>
      <c r="H935" s="20">
        <f>SUM(H936)</f>
        <v>927.6</v>
      </c>
      <c r="I935" s="20">
        <f t="shared" si="26"/>
        <v>44.73811131474872</v>
      </c>
    </row>
    <row r="936" spans="1:9" ht="15" customHeight="1">
      <c r="A936" s="105" t="s">
        <v>767</v>
      </c>
      <c r="B936" s="155"/>
      <c r="C936" s="159" t="s">
        <v>348</v>
      </c>
      <c r="D936" s="155" t="s">
        <v>601</v>
      </c>
      <c r="E936" s="155" t="s">
        <v>768</v>
      </c>
      <c r="F936" s="157"/>
      <c r="G936" s="91">
        <f>SUM(G937:G937)</f>
        <v>2073.4</v>
      </c>
      <c r="H936" s="20">
        <f>SUM(H937:H937)</f>
        <v>927.6</v>
      </c>
      <c r="I936" s="20">
        <f t="shared" si="26"/>
        <v>44.73811131474872</v>
      </c>
    </row>
    <row r="937" spans="1:9" ht="15" customHeight="1">
      <c r="A937" s="106" t="s">
        <v>1032</v>
      </c>
      <c r="B937" s="155"/>
      <c r="C937" s="159" t="s">
        <v>348</v>
      </c>
      <c r="D937" s="155" t="s">
        <v>601</v>
      </c>
      <c r="E937" s="155" t="s">
        <v>768</v>
      </c>
      <c r="F937" s="157" t="s">
        <v>1033</v>
      </c>
      <c r="G937" s="91">
        <v>2073.4</v>
      </c>
      <c r="H937" s="20">
        <v>927.6</v>
      </c>
      <c r="I937" s="20">
        <f t="shared" si="26"/>
        <v>44.73811131474872</v>
      </c>
    </row>
    <row r="938" spans="1:9" ht="15" hidden="1">
      <c r="A938" s="108" t="s">
        <v>634</v>
      </c>
      <c r="B938" s="155"/>
      <c r="C938" s="159" t="s">
        <v>348</v>
      </c>
      <c r="D938" s="159" t="s">
        <v>601</v>
      </c>
      <c r="E938" s="159" t="s">
        <v>635</v>
      </c>
      <c r="F938" s="157"/>
      <c r="G938" s="91">
        <f>SUM(G939+G941)</f>
        <v>0</v>
      </c>
      <c r="H938" s="20">
        <f>SUM(H939)</f>
        <v>3319.1</v>
      </c>
      <c r="I938" s="20" t="e">
        <f t="shared" si="26"/>
        <v>#DIV/0!</v>
      </c>
    </row>
    <row r="939" spans="1:9" ht="42.75" hidden="1">
      <c r="A939" s="108" t="s">
        <v>761</v>
      </c>
      <c r="B939" s="155"/>
      <c r="C939" s="159" t="s">
        <v>348</v>
      </c>
      <c r="D939" s="159" t="s">
        <v>601</v>
      </c>
      <c r="E939" s="159" t="s">
        <v>942</v>
      </c>
      <c r="F939" s="157"/>
      <c r="G939" s="91">
        <f>SUM(G940)</f>
        <v>0</v>
      </c>
      <c r="H939" s="20">
        <f>SUM(H940)</f>
        <v>3319.1</v>
      </c>
      <c r="I939" s="20" t="e">
        <f t="shared" si="26"/>
        <v>#DIV/0!</v>
      </c>
    </row>
    <row r="940" spans="1:9" ht="18" customHeight="1" hidden="1">
      <c r="A940" s="106" t="s">
        <v>767</v>
      </c>
      <c r="B940" s="120"/>
      <c r="C940" s="159" t="s">
        <v>348</v>
      </c>
      <c r="D940" s="159" t="s">
        <v>601</v>
      </c>
      <c r="E940" s="159" t="s">
        <v>942</v>
      </c>
      <c r="F940" s="158" t="s">
        <v>943</v>
      </c>
      <c r="G940" s="91"/>
      <c r="H940" s="20">
        <v>3319.1</v>
      </c>
      <c r="I940" s="20" t="e">
        <f t="shared" si="26"/>
        <v>#DIV/0!</v>
      </c>
    </row>
    <row r="941" spans="1:9" s="25" customFormat="1" ht="42.75" hidden="1">
      <c r="A941" s="105" t="s">
        <v>707</v>
      </c>
      <c r="B941" s="159"/>
      <c r="C941" s="159" t="s">
        <v>348</v>
      </c>
      <c r="D941" s="159" t="s">
        <v>601</v>
      </c>
      <c r="E941" s="159" t="s">
        <v>706</v>
      </c>
      <c r="F941" s="157"/>
      <c r="G941" s="91">
        <f>SUM(G942)</f>
        <v>0</v>
      </c>
      <c r="H941" s="20">
        <f>SUM(H942)</f>
        <v>3319.1</v>
      </c>
      <c r="I941" s="20" t="e">
        <f>SUM(H941/G941*100)</f>
        <v>#DIV/0!</v>
      </c>
    </row>
    <row r="942" spans="1:9" s="25" customFormat="1" ht="18" customHeight="1" hidden="1">
      <c r="A942" s="105" t="s">
        <v>767</v>
      </c>
      <c r="B942" s="163"/>
      <c r="C942" s="159" t="s">
        <v>348</v>
      </c>
      <c r="D942" s="159" t="s">
        <v>601</v>
      </c>
      <c r="E942" s="159" t="s">
        <v>706</v>
      </c>
      <c r="F942" s="157" t="s">
        <v>943</v>
      </c>
      <c r="G942" s="91"/>
      <c r="H942" s="20">
        <v>3319.1</v>
      </c>
      <c r="I942" s="20" t="e">
        <f>SUM(H942/G942*100)</f>
        <v>#DIV/0!</v>
      </c>
    </row>
    <row r="943" spans="1:9" ht="15">
      <c r="A943" s="133" t="s">
        <v>714</v>
      </c>
      <c r="B943" s="155"/>
      <c r="C943" s="171" t="s">
        <v>348</v>
      </c>
      <c r="D943" s="183" t="s">
        <v>625</v>
      </c>
      <c r="E943" s="183"/>
      <c r="F943" s="184"/>
      <c r="G943" s="92">
        <f>SUM(G944+G947)</f>
        <v>29970.399999999998</v>
      </c>
      <c r="H943" s="27">
        <f>SUM(H944+H947)</f>
        <v>17205.399999999998</v>
      </c>
      <c r="I943" s="20">
        <f t="shared" si="26"/>
        <v>57.4079758695246</v>
      </c>
    </row>
    <row r="944" spans="1:9" ht="15" hidden="1">
      <c r="A944" s="133" t="s">
        <v>373</v>
      </c>
      <c r="B944" s="155"/>
      <c r="C944" s="171" t="s">
        <v>348</v>
      </c>
      <c r="D944" s="183" t="s">
        <v>625</v>
      </c>
      <c r="E944" s="183" t="s">
        <v>374</v>
      </c>
      <c r="F944" s="184"/>
      <c r="G944" s="91">
        <f>SUM(G945)</f>
        <v>0</v>
      </c>
      <c r="H944" s="20">
        <f>SUM(H945)</f>
        <v>0</v>
      </c>
      <c r="I944" s="20" t="e">
        <f t="shared" si="26"/>
        <v>#DIV/0!</v>
      </c>
    </row>
    <row r="945" spans="1:9" ht="19.5" customHeight="1" hidden="1">
      <c r="A945" s="108" t="s">
        <v>416</v>
      </c>
      <c r="B945" s="155"/>
      <c r="C945" s="171" t="s">
        <v>348</v>
      </c>
      <c r="D945" s="183" t="s">
        <v>625</v>
      </c>
      <c r="E945" s="183" t="s">
        <v>715</v>
      </c>
      <c r="F945" s="184"/>
      <c r="G945" s="91">
        <f>SUM(G946)</f>
        <v>0</v>
      </c>
      <c r="H945" s="20">
        <f>SUM(H946)</f>
        <v>0</v>
      </c>
      <c r="I945" s="20" t="e">
        <f t="shared" si="26"/>
        <v>#DIV/0!</v>
      </c>
    </row>
    <row r="946" spans="1:9" ht="19.5" customHeight="1" hidden="1">
      <c r="A946" s="108" t="s">
        <v>1032</v>
      </c>
      <c r="B946" s="155"/>
      <c r="C946" s="171" t="s">
        <v>348</v>
      </c>
      <c r="D946" s="183" t="s">
        <v>625</v>
      </c>
      <c r="E946" s="183" t="s">
        <v>715</v>
      </c>
      <c r="F946" s="157" t="s">
        <v>1033</v>
      </c>
      <c r="G946" s="91"/>
      <c r="H946" s="20"/>
      <c r="I946" s="20" t="e">
        <f t="shared" si="26"/>
        <v>#DIV/0!</v>
      </c>
    </row>
    <row r="947" spans="1:9" ht="15">
      <c r="A947" s="108" t="s">
        <v>716</v>
      </c>
      <c r="B947" s="155"/>
      <c r="C947" s="171" t="s">
        <v>348</v>
      </c>
      <c r="D947" s="183" t="s">
        <v>625</v>
      </c>
      <c r="E947" s="183" t="s">
        <v>870</v>
      </c>
      <c r="F947" s="157"/>
      <c r="G947" s="91">
        <f>SUM(G948)</f>
        <v>29970.399999999998</v>
      </c>
      <c r="H947" s="20">
        <f>SUM(H948)</f>
        <v>17205.399999999998</v>
      </c>
      <c r="I947" s="20">
        <f t="shared" si="26"/>
        <v>57.4079758695246</v>
      </c>
    </row>
    <row r="948" spans="1:9" ht="28.5">
      <c r="A948" s="108" t="s">
        <v>284</v>
      </c>
      <c r="B948" s="155"/>
      <c r="C948" s="171" t="s">
        <v>348</v>
      </c>
      <c r="D948" s="183" t="s">
        <v>625</v>
      </c>
      <c r="E948" s="186" t="s">
        <v>720</v>
      </c>
      <c r="F948" s="184"/>
      <c r="G948" s="91">
        <f>SUM(G953)+G957+G949+G951</f>
        <v>29970.399999999998</v>
      </c>
      <c r="H948" s="20">
        <f>SUM(H953)+H954+H957+H949+H951</f>
        <v>17205.399999999998</v>
      </c>
      <c r="I948" s="20">
        <f t="shared" si="26"/>
        <v>57.4079758695246</v>
      </c>
    </row>
    <row r="949" spans="1:9" ht="15">
      <c r="A949" s="108" t="s">
        <v>721</v>
      </c>
      <c r="B949" s="155"/>
      <c r="C949" s="171" t="s">
        <v>348</v>
      </c>
      <c r="D949" s="171" t="s">
        <v>625</v>
      </c>
      <c r="E949" s="186" t="s">
        <v>722</v>
      </c>
      <c r="F949" s="161"/>
      <c r="G949" s="91">
        <f>SUM(G950)</f>
        <v>2397.6</v>
      </c>
      <c r="H949" s="20">
        <f>SUM(H950)</f>
        <v>241.8</v>
      </c>
      <c r="I949" s="20">
        <f t="shared" si="26"/>
        <v>10.085085085085085</v>
      </c>
    </row>
    <row r="950" spans="1:9" ht="28.5">
      <c r="A950" s="108" t="s">
        <v>723</v>
      </c>
      <c r="B950" s="155"/>
      <c r="C950" s="171" t="s">
        <v>348</v>
      </c>
      <c r="D950" s="171" t="s">
        <v>625</v>
      </c>
      <c r="E950" s="186" t="s">
        <v>722</v>
      </c>
      <c r="F950" s="161" t="s">
        <v>724</v>
      </c>
      <c r="G950" s="91">
        <v>2397.6</v>
      </c>
      <c r="H950" s="20">
        <v>241.8</v>
      </c>
      <c r="I950" s="20">
        <f t="shared" si="26"/>
        <v>10.085085085085085</v>
      </c>
    </row>
    <row r="951" spans="1:9" ht="15">
      <c r="A951" s="108" t="s">
        <v>285</v>
      </c>
      <c r="B951" s="155"/>
      <c r="C951" s="171" t="s">
        <v>348</v>
      </c>
      <c r="D951" s="171" t="s">
        <v>625</v>
      </c>
      <c r="E951" s="186" t="s">
        <v>725</v>
      </c>
      <c r="F951" s="161"/>
      <c r="G951" s="91">
        <f>SUM(G952)</f>
        <v>2397.6</v>
      </c>
      <c r="H951" s="20">
        <f>SUM(H952)</f>
        <v>252</v>
      </c>
      <c r="I951" s="20">
        <f t="shared" si="26"/>
        <v>10.51051051051051</v>
      </c>
    </row>
    <row r="952" spans="1:9" ht="27.75" customHeight="1">
      <c r="A952" s="108" t="s">
        <v>723</v>
      </c>
      <c r="B952" s="155"/>
      <c r="C952" s="171" t="s">
        <v>348</v>
      </c>
      <c r="D952" s="171" t="s">
        <v>625</v>
      </c>
      <c r="E952" s="186" t="s">
        <v>725</v>
      </c>
      <c r="F952" s="161" t="s">
        <v>724</v>
      </c>
      <c r="G952" s="91">
        <v>2397.6</v>
      </c>
      <c r="H952" s="20">
        <v>252</v>
      </c>
      <c r="I952" s="20">
        <f t="shared" si="26"/>
        <v>10.51051051051051</v>
      </c>
    </row>
    <row r="953" spans="1:9" ht="24.75" customHeight="1">
      <c r="A953" s="108" t="s">
        <v>286</v>
      </c>
      <c r="B953" s="155"/>
      <c r="C953" s="171" t="s">
        <v>348</v>
      </c>
      <c r="D953" s="171" t="s">
        <v>625</v>
      </c>
      <c r="E953" s="186" t="s">
        <v>287</v>
      </c>
      <c r="F953" s="161"/>
      <c r="G953" s="91">
        <f>SUM(G954)</f>
        <v>25175.2</v>
      </c>
      <c r="H953" s="20">
        <f>SUM(H956)</f>
        <v>0</v>
      </c>
      <c r="I953" s="20">
        <f t="shared" si="26"/>
        <v>0</v>
      </c>
    </row>
    <row r="954" spans="1:9" ht="25.5" customHeight="1">
      <c r="A954" s="108" t="s">
        <v>723</v>
      </c>
      <c r="B954" s="155"/>
      <c r="C954" s="171" t="s">
        <v>348</v>
      </c>
      <c r="D954" s="171" t="s">
        <v>625</v>
      </c>
      <c r="E954" s="186" t="s">
        <v>287</v>
      </c>
      <c r="F954" s="161" t="s">
        <v>724</v>
      </c>
      <c r="G954" s="91">
        <v>25175.2</v>
      </c>
      <c r="H954" s="20">
        <f>SUM(H955)</f>
        <v>0</v>
      </c>
      <c r="I954" s="20">
        <f t="shared" si="26"/>
        <v>0</v>
      </c>
    </row>
    <row r="955" spans="1:9" ht="28.5" customHeight="1" hidden="1">
      <c r="A955" s="105" t="s">
        <v>1032</v>
      </c>
      <c r="B955" s="155"/>
      <c r="C955" s="171" t="s">
        <v>348</v>
      </c>
      <c r="D955" s="171" t="s">
        <v>625</v>
      </c>
      <c r="E955" s="183" t="s">
        <v>726</v>
      </c>
      <c r="F955" s="161" t="s">
        <v>1033</v>
      </c>
      <c r="G955" s="91"/>
      <c r="H955" s="20"/>
      <c r="I955" s="20" t="e">
        <f t="shared" si="26"/>
        <v>#DIV/0!</v>
      </c>
    </row>
    <row r="956" spans="1:9" ht="27.75" customHeight="1" hidden="1">
      <c r="A956" s="105" t="s">
        <v>723</v>
      </c>
      <c r="B956" s="155"/>
      <c r="C956" s="171" t="s">
        <v>348</v>
      </c>
      <c r="D956" s="171" t="s">
        <v>625</v>
      </c>
      <c r="E956" s="183" t="s">
        <v>726</v>
      </c>
      <c r="F956" s="161" t="s">
        <v>724</v>
      </c>
      <c r="G956" s="91"/>
      <c r="H956" s="20"/>
      <c r="I956" s="20" t="e">
        <f t="shared" si="26"/>
        <v>#DIV/0!</v>
      </c>
    </row>
    <row r="957" spans="1:9" ht="28.5" hidden="1">
      <c r="A957" s="105" t="s">
        <v>723</v>
      </c>
      <c r="B957" s="155"/>
      <c r="C957" s="171" t="s">
        <v>348</v>
      </c>
      <c r="D957" s="171" t="s">
        <v>625</v>
      </c>
      <c r="E957" s="183" t="s">
        <v>727</v>
      </c>
      <c r="F957" s="161"/>
      <c r="G957" s="91">
        <f>SUM(G958)</f>
        <v>0</v>
      </c>
      <c r="H957" s="20">
        <f>SUM(H958)</f>
        <v>16711.6</v>
      </c>
      <c r="I957" s="20" t="e">
        <f t="shared" si="26"/>
        <v>#DIV/0!</v>
      </c>
    </row>
    <row r="958" spans="1:9" ht="42.75" hidden="1">
      <c r="A958" s="105" t="s">
        <v>728</v>
      </c>
      <c r="B958" s="155"/>
      <c r="C958" s="171" t="s">
        <v>348</v>
      </c>
      <c r="D958" s="171" t="s">
        <v>625</v>
      </c>
      <c r="E958" s="183" t="s">
        <v>727</v>
      </c>
      <c r="F958" s="161" t="s">
        <v>724</v>
      </c>
      <c r="G958" s="91"/>
      <c r="H958" s="20">
        <v>16711.6</v>
      </c>
      <c r="I958" s="20" t="e">
        <f t="shared" si="26"/>
        <v>#DIV/0!</v>
      </c>
    </row>
    <row r="959" spans="1:9" ht="20.25" customHeight="1">
      <c r="A959" s="128" t="s">
        <v>729</v>
      </c>
      <c r="B959" s="155"/>
      <c r="C959" s="183" t="s">
        <v>348</v>
      </c>
      <c r="D959" s="183" t="s">
        <v>132</v>
      </c>
      <c r="E959" s="183"/>
      <c r="F959" s="184"/>
      <c r="G959" s="92">
        <f>SUM(G960)+G980+G973+G975+G977</f>
        <v>31420.8</v>
      </c>
      <c r="H959" s="27">
        <f>SUM(H960)</f>
        <v>15109.199999999999</v>
      </c>
      <c r="I959" s="20">
        <f t="shared" si="26"/>
        <v>48.08661778185151</v>
      </c>
    </row>
    <row r="960" spans="1:9" ht="42.75" customHeight="1">
      <c r="A960" s="106" t="s">
        <v>594</v>
      </c>
      <c r="B960" s="155"/>
      <c r="C960" s="155" t="s">
        <v>348</v>
      </c>
      <c r="D960" s="155" t="s">
        <v>132</v>
      </c>
      <c r="E960" s="155" t="s">
        <v>595</v>
      </c>
      <c r="F960" s="157"/>
      <c r="G960" s="91">
        <f>SUM(G961)</f>
        <v>25901.3</v>
      </c>
      <c r="H960" s="20">
        <f>SUM(H961)</f>
        <v>15109.199999999999</v>
      </c>
      <c r="I960" s="20">
        <f t="shared" si="26"/>
        <v>58.333751587758144</v>
      </c>
    </row>
    <row r="961" spans="1:11" ht="15">
      <c r="A961" s="106" t="s">
        <v>602</v>
      </c>
      <c r="B961" s="155"/>
      <c r="C961" s="155" t="s">
        <v>348</v>
      </c>
      <c r="D961" s="155" t="s">
        <v>132</v>
      </c>
      <c r="E961" s="155" t="s">
        <v>604</v>
      </c>
      <c r="F961" s="157"/>
      <c r="G961" s="91">
        <f>SUM(G969+G963+G965+G971+G962)</f>
        <v>25901.3</v>
      </c>
      <c r="H961" s="20">
        <f>SUM(H969+H963+H965+H971+H962)</f>
        <v>15109.199999999999</v>
      </c>
      <c r="I961" s="20">
        <f t="shared" si="26"/>
        <v>58.333751587758144</v>
      </c>
      <c r="K961" s="95"/>
    </row>
    <row r="962" spans="1:9" ht="21" customHeight="1">
      <c r="A962" s="128" t="s">
        <v>598</v>
      </c>
      <c r="B962" s="155"/>
      <c r="C962" s="155" t="s">
        <v>348</v>
      </c>
      <c r="D962" s="155" t="s">
        <v>132</v>
      </c>
      <c r="E962" s="155" t="s">
        <v>604</v>
      </c>
      <c r="F962" s="166" t="s">
        <v>599</v>
      </c>
      <c r="G962" s="91">
        <v>2852.2</v>
      </c>
      <c r="H962" s="20">
        <v>227.6</v>
      </c>
      <c r="I962" s="20">
        <f t="shared" si="26"/>
        <v>7.979805062758573</v>
      </c>
    </row>
    <row r="963" spans="1:9" ht="19.5" customHeight="1" hidden="1">
      <c r="A963" s="128" t="s">
        <v>730</v>
      </c>
      <c r="B963" s="155"/>
      <c r="C963" s="155" t="s">
        <v>348</v>
      </c>
      <c r="D963" s="155" t="s">
        <v>132</v>
      </c>
      <c r="E963" s="155" t="s">
        <v>731</v>
      </c>
      <c r="F963" s="166"/>
      <c r="G963" s="91">
        <f>SUM(G964)</f>
        <v>0</v>
      </c>
      <c r="H963" s="20">
        <f>SUM(H964)</f>
        <v>0</v>
      </c>
      <c r="I963" s="20" t="e">
        <f t="shared" si="26"/>
        <v>#DIV/0!</v>
      </c>
    </row>
    <row r="964" spans="1:9" ht="19.5" customHeight="1" hidden="1">
      <c r="A964" s="128" t="s">
        <v>598</v>
      </c>
      <c r="B964" s="155"/>
      <c r="C964" s="155" t="s">
        <v>348</v>
      </c>
      <c r="D964" s="155" t="s">
        <v>132</v>
      </c>
      <c r="E964" s="155" t="s">
        <v>731</v>
      </c>
      <c r="F964" s="166" t="s">
        <v>599</v>
      </c>
      <c r="G964" s="91"/>
      <c r="H964" s="20"/>
      <c r="I964" s="20" t="e">
        <f t="shared" si="26"/>
        <v>#DIV/0!</v>
      </c>
    </row>
    <row r="965" spans="1:9" s="39" customFormat="1" ht="32.25" customHeight="1">
      <c r="A965" s="128" t="s">
        <v>732</v>
      </c>
      <c r="B965" s="155"/>
      <c r="C965" s="155" t="s">
        <v>348</v>
      </c>
      <c r="D965" s="155" t="s">
        <v>132</v>
      </c>
      <c r="E965" s="155" t="s">
        <v>733</v>
      </c>
      <c r="F965" s="166"/>
      <c r="G965" s="91">
        <f>SUM(G966)</f>
        <v>4029.3</v>
      </c>
      <c r="H965" s="20">
        <f>SUM(H966)</f>
        <v>2507.7</v>
      </c>
      <c r="I965" s="20">
        <f t="shared" si="26"/>
        <v>62.236616782071316</v>
      </c>
    </row>
    <row r="966" spans="1:9" s="39" customFormat="1" ht="29.25" customHeight="1">
      <c r="A966" s="128" t="s">
        <v>598</v>
      </c>
      <c r="B966" s="191"/>
      <c r="C966" s="155" t="s">
        <v>348</v>
      </c>
      <c r="D966" s="155" t="s">
        <v>132</v>
      </c>
      <c r="E966" s="155" t="s">
        <v>733</v>
      </c>
      <c r="F966" s="166" t="s">
        <v>599</v>
      </c>
      <c r="G966" s="91">
        <v>4029.3</v>
      </c>
      <c r="H966" s="20">
        <v>2507.7</v>
      </c>
      <c r="I966" s="20">
        <f t="shared" si="26"/>
        <v>62.236616782071316</v>
      </c>
    </row>
    <row r="967" spans="1:9" s="39" customFormat="1" ht="19.5" customHeight="1" hidden="1">
      <c r="A967" s="128" t="s">
        <v>734</v>
      </c>
      <c r="B967" s="191"/>
      <c r="C967" s="155" t="s">
        <v>348</v>
      </c>
      <c r="D967" s="155" t="s">
        <v>132</v>
      </c>
      <c r="E967" s="155" t="s">
        <v>735</v>
      </c>
      <c r="F967" s="166"/>
      <c r="G967" s="91"/>
      <c r="H967" s="20"/>
      <c r="I967" s="20" t="e">
        <f t="shared" si="26"/>
        <v>#DIV/0!</v>
      </c>
    </row>
    <row r="968" spans="1:9" ht="19.5" customHeight="1" hidden="1">
      <c r="A968" s="128" t="s">
        <v>598</v>
      </c>
      <c r="B968" s="155"/>
      <c r="C968" s="155" t="s">
        <v>348</v>
      </c>
      <c r="D968" s="155" t="s">
        <v>132</v>
      </c>
      <c r="E968" s="155" t="s">
        <v>735</v>
      </c>
      <c r="F968" s="166" t="s">
        <v>599</v>
      </c>
      <c r="G968" s="91">
        <f>2956.3+101.6</f>
        <v>3057.9</v>
      </c>
      <c r="H968" s="20">
        <f>2956.3+101.6</f>
        <v>3057.9</v>
      </c>
      <c r="I968" s="20">
        <f t="shared" si="26"/>
        <v>100</v>
      </c>
    </row>
    <row r="969" spans="1:9" ht="35.25" customHeight="1">
      <c r="A969" s="128" t="s">
        <v>730</v>
      </c>
      <c r="B969" s="155"/>
      <c r="C969" s="155" t="s">
        <v>348</v>
      </c>
      <c r="D969" s="155" t="s">
        <v>132</v>
      </c>
      <c r="E969" s="155" t="s">
        <v>731</v>
      </c>
      <c r="F969" s="166"/>
      <c r="G969" s="91">
        <f>SUM(G970)</f>
        <v>13748</v>
      </c>
      <c r="H969" s="20">
        <f>SUM(H970)</f>
        <v>10267.1</v>
      </c>
      <c r="I969" s="20">
        <f t="shared" si="26"/>
        <v>74.68068082630201</v>
      </c>
    </row>
    <row r="970" spans="1:9" ht="21.75" customHeight="1">
      <c r="A970" s="128" t="s">
        <v>598</v>
      </c>
      <c r="B970" s="155"/>
      <c r="C970" s="155" t="s">
        <v>348</v>
      </c>
      <c r="D970" s="155" t="s">
        <v>132</v>
      </c>
      <c r="E970" s="155" t="s">
        <v>731</v>
      </c>
      <c r="F970" s="166" t="s">
        <v>599</v>
      </c>
      <c r="G970" s="91">
        <v>13748</v>
      </c>
      <c r="H970" s="20">
        <v>10267.1</v>
      </c>
      <c r="I970" s="20">
        <f t="shared" si="26"/>
        <v>74.68068082630201</v>
      </c>
    </row>
    <row r="971" spans="1:9" s="39" customFormat="1" ht="37.5" customHeight="1">
      <c r="A971" s="128" t="s">
        <v>734</v>
      </c>
      <c r="B971" s="191"/>
      <c r="C971" s="155" t="s">
        <v>348</v>
      </c>
      <c r="D971" s="155" t="s">
        <v>132</v>
      </c>
      <c r="E971" s="155" t="s">
        <v>736</v>
      </c>
      <c r="F971" s="166"/>
      <c r="G971" s="91">
        <f>SUM(G972)</f>
        <v>5271.8</v>
      </c>
      <c r="H971" s="20">
        <f>SUM(H972)</f>
        <v>2106.8</v>
      </c>
      <c r="I971" s="20">
        <f t="shared" si="26"/>
        <v>39.963579801965174</v>
      </c>
    </row>
    <row r="972" spans="1:9" ht="21.75" customHeight="1">
      <c r="A972" s="128" t="s">
        <v>598</v>
      </c>
      <c r="B972" s="155"/>
      <c r="C972" s="155" t="s">
        <v>348</v>
      </c>
      <c r="D972" s="155" t="s">
        <v>132</v>
      </c>
      <c r="E972" s="155" t="s">
        <v>736</v>
      </c>
      <c r="F972" s="166" t="s">
        <v>599</v>
      </c>
      <c r="G972" s="91">
        <v>5271.8</v>
      </c>
      <c r="H972" s="20">
        <v>2106.8</v>
      </c>
      <c r="I972" s="20">
        <f t="shared" si="26"/>
        <v>39.963579801965174</v>
      </c>
    </row>
    <row r="973" spans="1:9" s="25" customFormat="1" ht="18.75" customHeight="1">
      <c r="A973" s="106" t="s">
        <v>306</v>
      </c>
      <c r="B973" s="155"/>
      <c r="C973" s="155" t="s">
        <v>348</v>
      </c>
      <c r="D973" s="155" t="s">
        <v>132</v>
      </c>
      <c r="E973" s="155" t="s">
        <v>307</v>
      </c>
      <c r="F973" s="156"/>
      <c r="G973" s="30">
        <f>SUM(G974)</f>
        <v>333.8</v>
      </c>
      <c r="H973" s="20"/>
      <c r="I973" s="20"/>
    </row>
    <row r="974" spans="1:9" s="25" customFormat="1" ht="28.5" customHeight="1">
      <c r="A974" s="106" t="s">
        <v>598</v>
      </c>
      <c r="B974" s="155"/>
      <c r="C974" s="155" t="s">
        <v>348</v>
      </c>
      <c r="D974" s="155" t="s">
        <v>132</v>
      </c>
      <c r="E974" s="155" t="s">
        <v>307</v>
      </c>
      <c r="F974" s="156" t="s">
        <v>599</v>
      </c>
      <c r="G974" s="30">
        <v>333.8</v>
      </c>
      <c r="H974" s="20"/>
      <c r="I974" s="20"/>
    </row>
    <row r="975" spans="1:9" s="25" customFormat="1" ht="36" customHeight="1">
      <c r="A975" s="106" t="s">
        <v>308</v>
      </c>
      <c r="B975" s="155"/>
      <c r="C975" s="155" t="s">
        <v>348</v>
      </c>
      <c r="D975" s="155" t="s">
        <v>132</v>
      </c>
      <c r="E975" s="155" t="s">
        <v>309</v>
      </c>
      <c r="F975" s="156"/>
      <c r="G975" s="30">
        <f>SUM(G976)</f>
        <v>1176.9</v>
      </c>
      <c r="H975" s="20"/>
      <c r="I975" s="20"/>
    </row>
    <row r="976" spans="1:9" s="25" customFormat="1" ht="29.25" customHeight="1">
      <c r="A976" s="106" t="s">
        <v>598</v>
      </c>
      <c r="B976" s="155"/>
      <c r="C976" s="155" t="s">
        <v>348</v>
      </c>
      <c r="D976" s="155" t="s">
        <v>132</v>
      </c>
      <c r="E976" s="155" t="s">
        <v>309</v>
      </c>
      <c r="F976" s="156" t="s">
        <v>599</v>
      </c>
      <c r="G976" s="30">
        <v>1176.9</v>
      </c>
      <c r="H976" s="20">
        <v>1026.3</v>
      </c>
      <c r="I976" s="20">
        <f>SUM(H976/G976*100)</f>
        <v>87.20367066020901</v>
      </c>
    </row>
    <row r="977" spans="1:9" s="25" customFormat="1" ht="29.25" customHeight="1">
      <c r="A977" s="106" t="s">
        <v>609</v>
      </c>
      <c r="B977" s="155"/>
      <c r="C977" s="155" t="s">
        <v>348</v>
      </c>
      <c r="D977" s="155" t="s">
        <v>132</v>
      </c>
      <c r="E977" s="155" t="s">
        <v>610</v>
      </c>
      <c r="F977" s="158"/>
      <c r="G977" s="91">
        <f>SUM(G978)</f>
        <v>2343</v>
      </c>
      <c r="H977" s="20"/>
      <c r="I977" s="20"/>
    </row>
    <row r="978" spans="1:9" s="25" customFormat="1" ht="29.25" customHeight="1">
      <c r="A978" s="106" t="s">
        <v>611</v>
      </c>
      <c r="B978" s="155"/>
      <c r="C978" s="155" t="s">
        <v>348</v>
      </c>
      <c r="D978" s="155" t="s">
        <v>132</v>
      </c>
      <c r="E978" s="155" t="s">
        <v>936</v>
      </c>
      <c r="F978" s="158"/>
      <c r="G978" s="91">
        <f>SUM(G979)</f>
        <v>2343</v>
      </c>
      <c r="H978" s="20"/>
      <c r="I978" s="20"/>
    </row>
    <row r="979" spans="1:9" s="25" customFormat="1" ht="29.25" customHeight="1">
      <c r="A979" s="106" t="s">
        <v>598</v>
      </c>
      <c r="B979" s="155"/>
      <c r="C979" s="155" t="s">
        <v>348</v>
      </c>
      <c r="D979" s="155" t="s">
        <v>132</v>
      </c>
      <c r="E979" s="155" t="s">
        <v>936</v>
      </c>
      <c r="F979" s="158" t="s">
        <v>599</v>
      </c>
      <c r="G979" s="91">
        <v>2343</v>
      </c>
      <c r="H979" s="20"/>
      <c r="I979" s="20"/>
    </row>
    <row r="980" spans="1:9" s="25" customFormat="1" ht="18.75" customHeight="1">
      <c r="A980" s="105" t="s">
        <v>634</v>
      </c>
      <c r="B980" s="159"/>
      <c r="C980" s="159" t="s">
        <v>348</v>
      </c>
      <c r="D980" s="159" t="s">
        <v>132</v>
      </c>
      <c r="E980" s="159" t="s">
        <v>635</v>
      </c>
      <c r="F980" s="157"/>
      <c r="G980" s="91">
        <f>SUM(G981)</f>
        <v>1665.8000000000002</v>
      </c>
      <c r="H980" s="20"/>
      <c r="I980" s="20"/>
    </row>
    <row r="981" spans="1:9" ht="86.25" customHeight="1">
      <c r="A981" s="128" t="s">
        <v>658</v>
      </c>
      <c r="B981" s="155"/>
      <c r="C981" s="155" t="s">
        <v>348</v>
      </c>
      <c r="D981" s="155" t="s">
        <v>132</v>
      </c>
      <c r="E981" s="159" t="s">
        <v>92</v>
      </c>
      <c r="F981" s="166"/>
      <c r="G981" s="91">
        <f>SUM(G983+G984)+G982</f>
        <v>1665.8000000000002</v>
      </c>
      <c r="H981" s="20"/>
      <c r="I981" s="20"/>
    </row>
    <row r="982" spans="1:9" ht="29.25" customHeight="1" hidden="1">
      <c r="A982" s="128" t="s">
        <v>598</v>
      </c>
      <c r="B982" s="159"/>
      <c r="C982" s="155" t="s">
        <v>348</v>
      </c>
      <c r="D982" s="155" t="s">
        <v>132</v>
      </c>
      <c r="E982" s="159" t="s">
        <v>92</v>
      </c>
      <c r="F982" s="157" t="s">
        <v>599</v>
      </c>
      <c r="G982" s="91"/>
      <c r="H982" s="20">
        <v>1026.3</v>
      </c>
      <c r="I982" s="20" t="e">
        <f>SUM(H982/G982*100)</f>
        <v>#DIV/0!</v>
      </c>
    </row>
    <row r="983" spans="1:9" ht="45.75" customHeight="1">
      <c r="A983" s="128" t="s">
        <v>710</v>
      </c>
      <c r="B983" s="155"/>
      <c r="C983" s="155" t="s">
        <v>348</v>
      </c>
      <c r="D983" s="155" t="s">
        <v>132</v>
      </c>
      <c r="E983" s="159" t="s">
        <v>92</v>
      </c>
      <c r="F983" s="166" t="s">
        <v>485</v>
      </c>
      <c r="G983" s="91">
        <v>1036.7</v>
      </c>
      <c r="H983" s="20"/>
      <c r="I983" s="20"/>
    </row>
    <row r="984" spans="1:9" ht="24" customHeight="1">
      <c r="A984" s="128" t="s">
        <v>711</v>
      </c>
      <c r="B984" s="155"/>
      <c r="C984" s="155" t="s">
        <v>348</v>
      </c>
      <c r="D984" s="155" t="s">
        <v>132</v>
      </c>
      <c r="E984" s="159" t="s">
        <v>92</v>
      </c>
      <c r="F984" s="166" t="s">
        <v>566</v>
      </c>
      <c r="G984" s="91">
        <v>629.1</v>
      </c>
      <c r="H984" s="20"/>
      <c r="I984" s="20"/>
    </row>
    <row r="985" spans="1:11" ht="30.75" customHeight="1" hidden="1">
      <c r="A985" s="162" t="s">
        <v>804</v>
      </c>
      <c r="B985" s="174" t="s">
        <v>957</v>
      </c>
      <c r="C985" s="175"/>
      <c r="D985" s="175"/>
      <c r="E985" s="175"/>
      <c r="F985" s="176"/>
      <c r="G985" s="203">
        <f>SUM(G986+G1006+G1022+G1044)+G1072+G998</f>
        <v>0</v>
      </c>
      <c r="H985" s="81" t="e">
        <f>SUM(H1039+#REF!)</f>
        <v>#REF!</v>
      </c>
      <c r="I985" s="20" t="e">
        <f>SUM(H985/G985*100)</f>
        <v>#REF!</v>
      </c>
      <c r="K985" s="95"/>
    </row>
    <row r="986" spans="1:9" ht="18.75" customHeight="1" hidden="1">
      <c r="A986" s="106" t="s">
        <v>236</v>
      </c>
      <c r="B986" s="155"/>
      <c r="C986" s="155" t="s">
        <v>237</v>
      </c>
      <c r="D986" s="155"/>
      <c r="E986" s="155"/>
      <c r="F986" s="156"/>
      <c r="G986" s="91">
        <f>SUM(G987+G991)</f>
        <v>0</v>
      </c>
      <c r="H986" s="81"/>
      <c r="I986" s="20"/>
    </row>
    <row r="987" spans="1:9" ht="37.5" customHeight="1" hidden="1">
      <c r="A987" s="106" t="s">
        <v>411</v>
      </c>
      <c r="B987" s="155"/>
      <c r="C987" s="155" t="s">
        <v>237</v>
      </c>
      <c r="D987" s="155" t="s">
        <v>625</v>
      </c>
      <c r="E987" s="155"/>
      <c r="F987" s="156"/>
      <c r="G987" s="91">
        <f>SUM(G988)</f>
        <v>0</v>
      </c>
      <c r="H987" s="81"/>
      <c r="I987" s="20"/>
    </row>
    <row r="988" spans="1:9" ht="39" customHeight="1" hidden="1">
      <c r="A988" s="106" t="s">
        <v>594</v>
      </c>
      <c r="B988" s="155"/>
      <c r="C988" s="155" t="s">
        <v>237</v>
      </c>
      <c r="D988" s="155" t="s">
        <v>625</v>
      </c>
      <c r="E988" s="155" t="s">
        <v>595</v>
      </c>
      <c r="F988" s="157"/>
      <c r="G988" s="91">
        <f>SUM(G989)</f>
        <v>0</v>
      </c>
      <c r="H988" s="81"/>
      <c r="I988" s="20"/>
    </row>
    <row r="989" spans="1:9" ht="20.25" customHeight="1" hidden="1">
      <c r="A989" s="106" t="s">
        <v>602</v>
      </c>
      <c r="B989" s="155"/>
      <c r="C989" s="155" t="s">
        <v>237</v>
      </c>
      <c r="D989" s="155" t="s">
        <v>625</v>
      </c>
      <c r="E989" s="155" t="s">
        <v>604</v>
      </c>
      <c r="F989" s="157"/>
      <c r="G989" s="91">
        <f>SUM(G990)</f>
        <v>0</v>
      </c>
      <c r="H989" s="81"/>
      <c r="I989" s="20"/>
    </row>
    <row r="990" spans="1:9" ht="18" customHeight="1" hidden="1">
      <c r="A990" s="106" t="s">
        <v>598</v>
      </c>
      <c r="B990" s="155"/>
      <c r="C990" s="155" t="s">
        <v>237</v>
      </c>
      <c r="D990" s="155" t="s">
        <v>625</v>
      </c>
      <c r="E990" s="155" t="s">
        <v>604</v>
      </c>
      <c r="F990" s="156" t="s">
        <v>599</v>
      </c>
      <c r="G990" s="91"/>
      <c r="H990" s="81"/>
      <c r="I990" s="20"/>
    </row>
    <row r="991" spans="1:9" ht="18.75" customHeight="1" hidden="1">
      <c r="A991" s="106" t="s">
        <v>607</v>
      </c>
      <c r="B991" s="155"/>
      <c r="C991" s="155" t="s">
        <v>237</v>
      </c>
      <c r="D991" s="155" t="s">
        <v>904</v>
      </c>
      <c r="E991" s="155"/>
      <c r="F991" s="157"/>
      <c r="G991" s="91">
        <f>SUM(G992+G995)</f>
        <v>0</v>
      </c>
      <c r="H991" s="20" t="e">
        <f>SUM(H992+H1038+#REF!+#REF!+#REF!+#REF!+#REF!)+H997+H995</f>
        <v>#REF!</v>
      </c>
      <c r="I991" s="20" t="e">
        <f aca="true" t="shared" si="27" ref="I991:I1006">SUM(H991/G991*100)</f>
        <v>#REF!</v>
      </c>
    </row>
    <row r="992" spans="1:9" ht="28.5" hidden="1">
      <c r="A992" s="133" t="s">
        <v>934</v>
      </c>
      <c r="B992" s="155"/>
      <c r="C992" s="155" t="s">
        <v>237</v>
      </c>
      <c r="D992" s="155" t="s">
        <v>904</v>
      </c>
      <c r="E992" s="155" t="s">
        <v>621</v>
      </c>
      <c r="F992" s="156"/>
      <c r="G992" s="91">
        <f>SUM(G993)</f>
        <v>0</v>
      </c>
      <c r="H992" s="20">
        <f>SUM(H993)</f>
        <v>2749.5</v>
      </c>
      <c r="I992" s="20" t="e">
        <f t="shared" si="27"/>
        <v>#DIV/0!</v>
      </c>
    </row>
    <row r="993" spans="1:9" ht="28.5" hidden="1">
      <c r="A993" s="133" t="s">
        <v>622</v>
      </c>
      <c r="B993" s="155"/>
      <c r="C993" s="155" t="s">
        <v>237</v>
      </c>
      <c r="D993" s="155" t="s">
        <v>904</v>
      </c>
      <c r="E993" s="155" t="s">
        <v>935</v>
      </c>
      <c r="F993" s="156"/>
      <c r="G993" s="91">
        <f>SUM(G994)</f>
        <v>0</v>
      </c>
      <c r="H993" s="20">
        <f>SUM(H994)</f>
        <v>2749.5</v>
      </c>
      <c r="I993" s="20" t="e">
        <f t="shared" si="27"/>
        <v>#DIV/0!</v>
      </c>
    </row>
    <row r="994" spans="1:9" ht="27" customHeight="1" hidden="1">
      <c r="A994" s="106" t="s">
        <v>598</v>
      </c>
      <c r="B994" s="155"/>
      <c r="C994" s="155" t="s">
        <v>237</v>
      </c>
      <c r="D994" s="155" t="s">
        <v>904</v>
      </c>
      <c r="E994" s="155" t="s">
        <v>935</v>
      </c>
      <c r="F994" s="156" t="s">
        <v>599</v>
      </c>
      <c r="G994" s="91"/>
      <c r="H994" s="20">
        <v>2749.5</v>
      </c>
      <c r="I994" s="20" t="e">
        <f t="shared" si="27"/>
        <v>#DIV/0!</v>
      </c>
    </row>
    <row r="995" spans="1:9" ht="31.5" customHeight="1" hidden="1">
      <c r="A995" s="106" t="s">
        <v>609</v>
      </c>
      <c r="B995" s="155"/>
      <c r="C995" s="155" t="s">
        <v>237</v>
      </c>
      <c r="D995" s="155" t="s">
        <v>904</v>
      </c>
      <c r="E995" s="155" t="s">
        <v>610</v>
      </c>
      <c r="F995" s="158"/>
      <c r="G995" s="91">
        <f>SUM(G996)</f>
        <v>0</v>
      </c>
      <c r="H995" s="20">
        <f>SUM(H996)</f>
        <v>0</v>
      </c>
      <c r="I995" s="20" t="e">
        <f t="shared" si="27"/>
        <v>#DIV/0!</v>
      </c>
    </row>
    <row r="996" spans="1:9" ht="19.5" customHeight="1" hidden="1">
      <c r="A996" s="106" t="s">
        <v>611</v>
      </c>
      <c r="B996" s="155"/>
      <c r="C996" s="155" t="s">
        <v>237</v>
      </c>
      <c r="D996" s="155" t="s">
        <v>904</v>
      </c>
      <c r="E996" s="155" t="s">
        <v>936</v>
      </c>
      <c r="F996" s="158"/>
      <c r="G996" s="91">
        <f>SUM(G997)</f>
        <v>0</v>
      </c>
      <c r="H996" s="20"/>
      <c r="I996" s="20" t="e">
        <f t="shared" si="27"/>
        <v>#DIV/0!</v>
      </c>
    </row>
    <row r="997" spans="1:9" ht="19.5" customHeight="1" hidden="1">
      <c r="A997" s="106" t="s">
        <v>598</v>
      </c>
      <c r="B997" s="155"/>
      <c r="C997" s="155" t="s">
        <v>237</v>
      </c>
      <c r="D997" s="155" t="s">
        <v>904</v>
      </c>
      <c r="E997" s="155" t="s">
        <v>936</v>
      </c>
      <c r="F997" s="158" t="s">
        <v>599</v>
      </c>
      <c r="G997" s="91"/>
      <c r="H997" s="20" t="e">
        <f>SUM(#REF!)</f>
        <v>#REF!</v>
      </c>
      <c r="I997" s="20" t="e">
        <f t="shared" si="27"/>
        <v>#REF!</v>
      </c>
    </row>
    <row r="998" spans="1:9" ht="19.5" customHeight="1" hidden="1">
      <c r="A998" s="128" t="s">
        <v>649</v>
      </c>
      <c r="B998" s="183"/>
      <c r="C998" s="171" t="s">
        <v>601</v>
      </c>
      <c r="D998" s="171"/>
      <c r="E998" s="171"/>
      <c r="F998" s="161"/>
      <c r="G998" s="91">
        <f>SUM(G999)</f>
        <v>0</v>
      </c>
      <c r="H998" s="20"/>
      <c r="I998" s="20"/>
    </row>
    <row r="999" spans="1:9" ht="36.75" customHeight="1" hidden="1">
      <c r="A999" s="133" t="s">
        <v>0</v>
      </c>
      <c r="B999" s="155"/>
      <c r="C999" s="159" t="s">
        <v>601</v>
      </c>
      <c r="D999" s="159" t="s">
        <v>1</v>
      </c>
      <c r="E999" s="159"/>
      <c r="F999" s="157"/>
      <c r="G999" s="91">
        <f>SUM(G1003+G1011+G1014)+G1001</f>
        <v>0</v>
      </c>
      <c r="H999" s="20"/>
      <c r="I999" s="20"/>
    </row>
    <row r="1000" spans="1:9" ht="27" customHeight="1" hidden="1">
      <c r="A1000" s="106" t="s">
        <v>634</v>
      </c>
      <c r="B1000" s="155"/>
      <c r="C1000" s="159" t="s">
        <v>601</v>
      </c>
      <c r="D1000" s="159" t="s">
        <v>1</v>
      </c>
      <c r="E1000" s="155" t="s">
        <v>635</v>
      </c>
      <c r="F1000" s="157"/>
      <c r="G1000" s="91">
        <f>SUM(G1001)</f>
        <v>0</v>
      </c>
      <c r="H1000" s="20"/>
      <c r="I1000" s="20"/>
    </row>
    <row r="1001" spans="1:9" ht="30.75" customHeight="1" hidden="1">
      <c r="A1001" s="106" t="s">
        <v>678</v>
      </c>
      <c r="B1001" s="155"/>
      <c r="C1001" s="159" t="s">
        <v>601</v>
      </c>
      <c r="D1001" s="159" t="s">
        <v>1</v>
      </c>
      <c r="E1001" s="155" t="s">
        <v>679</v>
      </c>
      <c r="F1001" s="158"/>
      <c r="G1001" s="91">
        <f>SUM(G1002)</f>
        <v>0</v>
      </c>
      <c r="H1001" s="20"/>
      <c r="I1001" s="20"/>
    </row>
    <row r="1002" spans="1:9" ht="26.25" customHeight="1" hidden="1">
      <c r="A1002" s="106" t="s">
        <v>598</v>
      </c>
      <c r="B1002" s="155"/>
      <c r="C1002" s="159" t="s">
        <v>601</v>
      </c>
      <c r="D1002" s="159" t="s">
        <v>1</v>
      </c>
      <c r="E1002" s="155" t="s">
        <v>679</v>
      </c>
      <c r="F1002" s="158" t="s">
        <v>599</v>
      </c>
      <c r="G1002" s="91"/>
      <c r="H1002" s="20"/>
      <c r="I1002" s="20"/>
    </row>
    <row r="1003" spans="1:9" ht="19.5" customHeight="1" hidden="1">
      <c r="A1003" s="106"/>
      <c r="B1003" s="155"/>
      <c r="C1003" s="155"/>
      <c r="D1003" s="155"/>
      <c r="E1003" s="155"/>
      <c r="F1003" s="158"/>
      <c r="G1003" s="91"/>
      <c r="H1003" s="20"/>
      <c r="I1003" s="20"/>
    </row>
    <row r="1004" spans="1:9" ht="19.5" customHeight="1" hidden="1">
      <c r="A1004" s="106"/>
      <c r="B1004" s="155"/>
      <c r="C1004" s="155"/>
      <c r="D1004" s="155"/>
      <c r="E1004" s="155"/>
      <c r="F1004" s="158"/>
      <c r="G1004" s="91"/>
      <c r="H1004" s="20"/>
      <c r="I1004" s="20"/>
    </row>
    <row r="1005" spans="1:9" ht="19.5" customHeight="1" hidden="1">
      <c r="A1005" s="106"/>
      <c r="B1005" s="155"/>
      <c r="C1005" s="155"/>
      <c r="D1005" s="155"/>
      <c r="E1005" s="155"/>
      <c r="F1005" s="158"/>
      <c r="G1005" s="91"/>
      <c r="H1005" s="20"/>
      <c r="I1005" s="20"/>
    </row>
    <row r="1006" spans="1:9" s="116" customFormat="1" ht="14.25" customHeight="1" hidden="1">
      <c r="A1006" s="128" t="s">
        <v>624</v>
      </c>
      <c r="B1006" s="183"/>
      <c r="C1006" s="183" t="s">
        <v>625</v>
      </c>
      <c r="D1006" s="183"/>
      <c r="E1006" s="183"/>
      <c r="F1006" s="184"/>
      <c r="G1006" s="92">
        <f>SUM(G1013+G1007)</f>
        <v>0</v>
      </c>
      <c r="H1006" s="27" t="e">
        <f>SUM(H1013+#REF!)</f>
        <v>#REF!</v>
      </c>
      <c r="I1006" s="27" t="e">
        <f t="shared" si="27"/>
        <v>#REF!</v>
      </c>
    </row>
    <row r="1007" spans="1:9" s="116" customFormat="1" ht="15" hidden="1">
      <c r="A1007" s="128" t="s">
        <v>626</v>
      </c>
      <c r="B1007" s="183"/>
      <c r="C1007" s="183" t="s">
        <v>625</v>
      </c>
      <c r="D1007" s="183" t="s">
        <v>627</v>
      </c>
      <c r="E1007" s="183"/>
      <c r="F1007" s="184"/>
      <c r="G1007" s="92">
        <f>SUM(G1008,G1010)</f>
        <v>0</v>
      </c>
      <c r="H1007" s="27"/>
      <c r="I1007" s="27"/>
    </row>
    <row r="1008" spans="1:9" s="116" customFormat="1" ht="15" hidden="1">
      <c r="A1008" s="105" t="s">
        <v>251</v>
      </c>
      <c r="B1008" s="183"/>
      <c r="C1008" s="183" t="s">
        <v>625</v>
      </c>
      <c r="D1008" s="183" t="s">
        <v>627</v>
      </c>
      <c r="E1008" s="183" t="s">
        <v>252</v>
      </c>
      <c r="F1008" s="184"/>
      <c r="G1008" s="92">
        <f>SUM(G1009)</f>
        <v>0</v>
      </c>
      <c r="H1008" s="27"/>
      <c r="I1008" s="27"/>
    </row>
    <row r="1009" spans="1:9" s="116" customFormat="1" ht="17.25" customHeight="1" hidden="1">
      <c r="A1009" s="105" t="s">
        <v>598</v>
      </c>
      <c r="B1009" s="183"/>
      <c r="C1009" s="183" t="s">
        <v>625</v>
      </c>
      <c r="D1009" s="183" t="s">
        <v>627</v>
      </c>
      <c r="E1009" s="183" t="s">
        <v>252</v>
      </c>
      <c r="F1009" s="184" t="s">
        <v>599</v>
      </c>
      <c r="G1009" s="92"/>
      <c r="H1009" s="27"/>
      <c r="I1009" s="27"/>
    </row>
    <row r="1010" spans="1:9" s="116" customFormat="1" ht="19.5" customHeight="1" hidden="1">
      <c r="A1010" s="133" t="s">
        <v>330</v>
      </c>
      <c r="B1010" s="183"/>
      <c r="C1010" s="183" t="s">
        <v>625</v>
      </c>
      <c r="D1010" s="183" t="s">
        <v>627</v>
      </c>
      <c r="E1010" s="183" t="s">
        <v>1015</v>
      </c>
      <c r="F1010" s="184"/>
      <c r="G1010" s="92">
        <f>SUM(G1011)</f>
        <v>0</v>
      </c>
      <c r="H1010" s="27"/>
      <c r="I1010" s="27"/>
    </row>
    <row r="1011" spans="1:9" s="116" customFormat="1" ht="12.75" customHeight="1" hidden="1">
      <c r="A1011" s="133" t="s">
        <v>331</v>
      </c>
      <c r="B1011" s="183"/>
      <c r="C1011" s="183" t="s">
        <v>995</v>
      </c>
      <c r="D1011" s="183" t="s">
        <v>627</v>
      </c>
      <c r="E1011" s="183" t="s">
        <v>1017</v>
      </c>
      <c r="F1011" s="184"/>
      <c r="G1011" s="92">
        <f>SUM(G1012)</f>
        <v>0</v>
      </c>
      <c r="H1011" s="27"/>
      <c r="I1011" s="27"/>
    </row>
    <row r="1012" spans="1:9" s="116" customFormat="1" ht="17.25" customHeight="1" hidden="1">
      <c r="A1012" s="106" t="s">
        <v>351</v>
      </c>
      <c r="B1012" s="183"/>
      <c r="C1012" s="183" t="s">
        <v>625</v>
      </c>
      <c r="D1012" s="183" t="s">
        <v>627</v>
      </c>
      <c r="E1012" s="183" t="s">
        <v>1017</v>
      </c>
      <c r="F1012" s="184" t="s">
        <v>352</v>
      </c>
      <c r="G1012" s="92"/>
      <c r="H1012" s="27"/>
      <c r="I1012" s="27"/>
    </row>
    <row r="1013" spans="1:9" ht="19.5" customHeight="1" hidden="1">
      <c r="A1013" s="105" t="s">
        <v>165</v>
      </c>
      <c r="B1013" s="159"/>
      <c r="C1013" s="159" t="s">
        <v>625</v>
      </c>
      <c r="D1013" s="159" t="s">
        <v>149</v>
      </c>
      <c r="E1013" s="159"/>
      <c r="F1013" s="157"/>
      <c r="G1013" s="91">
        <f>SUM(G1014+G1019)</f>
        <v>0</v>
      </c>
      <c r="H1013" s="20" t="e">
        <f>SUM(H1017+H1019+#REF!+H1014)</f>
        <v>#REF!</v>
      </c>
      <c r="I1013" s="20" t="e">
        <f aca="true" t="shared" si="28" ref="I1013:I1021">SUM(H1013/G1013*100)</f>
        <v>#REF!</v>
      </c>
    </row>
    <row r="1014" spans="1:9" ht="19.5" customHeight="1" hidden="1">
      <c r="A1014" s="105" t="s">
        <v>937</v>
      </c>
      <c r="B1014" s="159"/>
      <c r="C1014" s="159" t="s">
        <v>625</v>
      </c>
      <c r="D1014" s="159" t="s">
        <v>149</v>
      </c>
      <c r="E1014" s="159" t="s">
        <v>183</v>
      </c>
      <c r="F1014" s="157"/>
      <c r="G1014" s="91">
        <f>SUM(G1016)</f>
        <v>0</v>
      </c>
      <c r="H1014" s="20">
        <f>SUM(H1016)</f>
        <v>0</v>
      </c>
      <c r="I1014" s="20" t="e">
        <f t="shared" si="28"/>
        <v>#DIV/0!</v>
      </c>
    </row>
    <row r="1015" spans="1:9" ht="19.5" customHeight="1" hidden="1">
      <c r="A1015" s="105" t="s">
        <v>639</v>
      </c>
      <c r="B1015" s="159"/>
      <c r="C1015" s="159" t="s">
        <v>625</v>
      </c>
      <c r="D1015" s="159" t="s">
        <v>149</v>
      </c>
      <c r="E1015" s="165" t="s">
        <v>640</v>
      </c>
      <c r="F1015" s="157"/>
      <c r="G1015" s="91">
        <f>SUM(G1016)</f>
        <v>0</v>
      </c>
      <c r="H1015" s="20">
        <f>SUM(H1016)</f>
        <v>0</v>
      </c>
      <c r="I1015" s="20" t="e">
        <f t="shared" si="28"/>
        <v>#DIV/0!</v>
      </c>
    </row>
    <row r="1016" spans="1:9" ht="19.5" customHeight="1" hidden="1">
      <c r="A1016" s="105" t="s">
        <v>641</v>
      </c>
      <c r="B1016" s="159"/>
      <c r="C1016" s="159" t="s">
        <v>625</v>
      </c>
      <c r="D1016" s="159" t="s">
        <v>149</v>
      </c>
      <c r="E1016" s="165" t="s">
        <v>640</v>
      </c>
      <c r="F1016" s="157" t="s">
        <v>642</v>
      </c>
      <c r="G1016" s="91"/>
      <c r="H1016" s="20"/>
      <c r="I1016" s="20" t="e">
        <f t="shared" si="28"/>
        <v>#DIV/0!</v>
      </c>
    </row>
    <row r="1017" spans="1:9" ht="19.5" customHeight="1" hidden="1">
      <c r="A1017" s="131" t="s">
        <v>191</v>
      </c>
      <c r="B1017" s="159"/>
      <c r="C1017" s="159" t="s">
        <v>625</v>
      </c>
      <c r="D1017" s="159" t="s">
        <v>149</v>
      </c>
      <c r="E1017" s="159" t="s">
        <v>192</v>
      </c>
      <c r="F1017" s="157"/>
      <c r="G1017" s="91">
        <f>SUM(G1018)</f>
        <v>0</v>
      </c>
      <c r="H1017" s="20">
        <f>SUM(H1018)</f>
        <v>0</v>
      </c>
      <c r="I1017" s="20" t="e">
        <f t="shared" si="28"/>
        <v>#DIV/0!</v>
      </c>
    </row>
    <row r="1018" spans="1:9" ht="19.5" customHeight="1" hidden="1">
      <c r="A1018" s="106" t="s">
        <v>598</v>
      </c>
      <c r="B1018" s="159"/>
      <c r="C1018" s="159" t="s">
        <v>625</v>
      </c>
      <c r="D1018" s="159" t="s">
        <v>149</v>
      </c>
      <c r="E1018" s="159" t="s">
        <v>192</v>
      </c>
      <c r="F1018" s="157" t="s">
        <v>599</v>
      </c>
      <c r="G1018" s="91"/>
      <c r="H1018" s="20"/>
      <c r="I1018" s="20" t="e">
        <f t="shared" si="28"/>
        <v>#DIV/0!</v>
      </c>
    </row>
    <row r="1019" spans="1:9" ht="28.5" hidden="1">
      <c r="A1019" s="106" t="s">
        <v>167</v>
      </c>
      <c r="B1019" s="155"/>
      <c r="C1019" s="159" t="s">
        <v>625</v>
      </c>
      <c r="D1019" s="159" t="s">
        <v>149</v>
      </c>
      <c r="E1019" s="155" t="s">
        <v>168</v>
      </c>
      <c r="F1019" s="157"/>
      <c r="G1019" s="91">
        <f>SUM(G1020)</f>
        <v>0</v>
      </c>
      <c r="H1019" s="20">
        <f>SUM(H1020)</f>
        <v>200</v>
      </c>
      <c r="I1019" s="20" t="e">
        <f t="shared" si="28"/>
        <v>#DIV/0!</v>
      </c>
    </row>
    <row r="1020" spans="1:9" ht="15" hidden="1">
      <c r="A1020" s="106" t="s">
        <v>193</v>
      </c>
      <c r="B1020" s="155"/>
      <c r="C1020" s="159" t="s">
        <v>625</v>
      </c>
      <c r="D1020" s="159" t="s">
        <v>149</v>
      </c>
      <c r="E1020" s="155" t="s">
        <v>194</v>
      </c>
      <c r="F1020" s="157"/>
      <c r="G1020" s="91">
        <f>SUM(G1021)</f>
        <v>0</v>
      </c>
      <c r="H1020" s="20">
        <f>SUM(H1021)</f>
        <v>200</v>
      </c>
      <c r="I1020" s="20" t="e">
        <f t="shared" si="28"/>
        <v>#DIV/0!</v>
      </c>
    </row>
    <row r="1021" spans="1:9" ht="29.25" customHeight="1" hidden="1">
      <c r="A1021" s="106" t="s">
        <v>598</v>
      </c>
      <c r="B1021" s="155"/>
      <c r="C1021" s="159" t="s">
        <v>625</v>
      </c>
      <c r="D1021" s="159" t="s">
        <v>149</v>
      </c>
      <c r="E1021" s="155" t="s">
        <v>194</v>
      </c>
      <c r="F1021" s="157" t="s">
        <v>599</v>
      </c>
      <c r="G1021" s="91"/>
      <c r="H1021" s="20">
        <v>200</v>
      </c>
      <c r="I1021" s="20" t="e">
        <f t="shared" si="28"/>
        <v>#DIV/0!</v>
      </c>
    </row>
    <row r="1022" spans="1:9" s="28" customFormat="1" ht="18" customHeight="1" hidden="1">
      <c r="A1022" s="105" t="s">
        <v>197</v>
      </c>
      <c r="B1022" s="159"/>
      <c r="C1022" s="159" t="s">
        <v>638</v>
      </c>
      <c r="D1022" s="159"/>
      <c r="E1022" s="159"/>
      <c r="F1022" s="158"/>
      <c r="G1022" s="91">
        <f>SUM(G1034,G1023)</f>
        <v>0</v>
      </c>
      <c r="H1022" s="83" t="e">
        <f>SUM(#REF!+H1227+H1289+H1316)</f>
        <v>#REF!</v>
      </c>
      <c r="I1022" s="20" t="e">
        <f aca="true" t="shared" si="29" ref="I1022:I1045">SUM(H1022/G1022*100)</f>
        <v>#REF!</v>
      </c>
    </row>
    <row r="1023" spans="1:9" ht="21" customHeight="1" hidden="1">
      <c r="A1023" s="105" t="s">
        <v>198</v>
      </c>
      <c r="B1023" s="159"/>
      <c r="C1023" s="159" t="s">
        <v>638</v>
      </c>
      <c r="D1023" s="159" t="s">
        <v>237</v>
      </c>
      <c r="E1023" s="159"/>
      <c r="F1023" s="157"/>
      <c r="G1023" s="91">
        <f>SUM(G1024,G1032)</f>
        <v>0</v>
      </c>
      <c r="H1023" s="20" t="e">
        <f>SUM(#REF!+H1171)+#REF!+H1159+H1026</f>
        <v>#REF!</v>
      </c>
      <c r="I1023" s="20" t="e">
        <f t="shared" si="29"/>
        <v>#REF!</v>
      </c>
    </row>
    <row r="1024" spans="1:9" s="25" customFormat="1" ht="19.5" customHeight="1" hidden="1">
      <c r="A1024" s="126" t="s">
        <v>329</v>
      </c>
      <c r="B1024" s="167"/>
      <c r="C1024" s="155" t="s">
        <v>638</v>
      </c>
      <c r="D1024" s="155" t="s">
        <v>237</v>
      </c>
      <c r="E1024" s="155" t="s">
        <v>200</v>
      </c>
      <c r="F1024" s="156"/>
      <c r="G1024" s="91">
        <f>SUM(G1025+G1028)</f>
        <v>0</v>
      </c>
      <c r="H1024" s="20" t="e">
        <f>SUM(H1025+H1038)</f>
        <v>#REF!</v>
      </c>
      <c r="I1024" s="20" t="e">
        <f t="shared" si="29"/>
        <v>#REF!</v>
      </c>
    </row>
    <row r="1025" spans="1:9" ht="19.5" customHeight="1" hidden="1">
      <c r="A1025" s="131" t="s">
        <v>327</v>
      </c>
      <c r="B1025" s="159"/>
      <c r="C1025" s="159" t="s">
        <v>638</v>
      </c>
      <c r="D1025" s="159" t="s">
        <v>237</v>
      </c>
      <c r="E1025" s="159" t="s">
        <v>202</v>
      </c>
      <c r="F1025" s="157"/>
      <c r="G1025" s="91">
        <f>SUM(G1026)</f>
        <v>0</v>
      </c>
      <c r="H1025" s="20" t="e">
        <f>SUM(#REF!)</f>
        <v>#REF!</v>
      </c>
      <c r="I1025" s="20" t="e">
        <f t="shared" si="29"/>
        <v>#REF!</v>
      </c>
    </row>
    <row r="1026" spans="1:9" ht="19.5" customHeight="1" hidden="1">
      <c r="A1026" s="131" t="s">
        <v>326</v>
      </c>
      <c r="B1026" s="159"/>
      <c r="C1026" s="159" t="s">
        <v>638</v>
      </c>
      <c r="D1026" s="159" t="s">
        <v>237</v>
      </c>
      <c r="E1026" s="159" t="s">
        <v>435</v>
      </c>
      <c r="F1026" s="157"/>
      <c r="G1026" s="91">
        <f>SUM(G1027)</f>
        <v>0</v>
      </c>
      <c r="H1026" s="20">
        <v>872.8</v>
      </c>
      <c r="I1026" s="20" t="e">
        <f t="shared" si="29"/>
        <v>#DIV/0!</v>
      </c>
    </row>
    <row r="1027" spans="1:9" ht="15" hidden="1">
      <c r="A1027" s="105" t="s">
        <v>504</v>
      </c>
      <c r="B1027" s="159"/>
      <c r="C1027" s="159" t="s">
        <v>638</v>
      </c>
      <c r="D1027" s="159" t="s">
        <v>237</v>
      </c>
      <c r="E1027" s="159" t="s">
        <v>435</v>
      </c>
      <c r="F1027" s="156" t="s">
        <v>642</v>
      </c>
      <c r="G1027" s="92"/>
      <c r="H1027" s="20" t="e">
        <f>SUM(#REF!)</f>
        <v>#REF!</v>
      </c>
      <c r="I1027" s="20" t="e">
        <f t="shared" si="29"/>
        <v>#REF!</v>
      </c>
    </row>
    <row r="1028" spans="1:9" ht="19.5" customHeight="1" hidden="1">
      <c r="A1028" s="131" t="s">
        <v>328</v>
      </c>
      <c r="B1028" s="159"/>
      <c r="C1028" s="159" t="s">
        <v>638</v>
      </c>
      <c r="D1028" s="159" t="s">
        <v>237</v>
      </c>
      <c r="E1028" s="159" t="s">
        <v>204</v>
      </c>
      <c r="F1028" s="157"/>
      <c r="G1028" s="91">
        <f>SUM(G1029)</f>
        <v>0</v>
      </c>
      <c r="H1028" s="20" t="e">
        <f>SUM(#REF!)</f>
        <v>#REF!</v>
      </c>
      <c r="I1028" s="20" t="e">
        <f t="shared" si="29"/>
        <v>#REF!</v>
      </c>
    </row>
    <row r="1029" spans="1:9" ht="19.5" customHeight="1" hidden="1">
      <c r="A1029" s="131" t="s">
        <v>209</v>
      </c>
      <c r="B1029" s="159"/>
      <c r="C1029" s="159" t="s">
        <v>638</v>
      </c>
      <c r="D1029" s="159" t="s">
        <v>237</v>
      </c>
      <c r="E1029" s="159" t="s">
        <v>210</v>
      </c>
      <c r="F1029" s="157"/>
      <c r="G1029" s="91">
        <f>SUM(G1031,G1030)</f>
        <v>0</v>
      </c>
      <c r="H1029" s="20">
        <v>872.8</v>
      </c>
      <c r="I1029" s="20" t="e">
        <f t="shared" si="29"/>
        <v>#DIV/0!</v>
      </c>
    </row>
    <row r="1030" spans="1:9" ht="19.5" customHeight="1" hidden="1">
      <c r="A1030" s="131" t="s">
        <v>641</v>
      </c>
      <c r="B1030" s="159"/>
      <c r="C1030" s="159" t="s">
        <v>638</v>
      </c>
      <c r="D1030" s="159" t="s">
        <v>237</v>
      </c>
      <c r="E1030" s="159" t="s">
        <v>210</v>
      </c>
      <c r="F1030" s="157" t="s">
        <v>642</v>
      </c>
      <c r="G1030" s="91"/>
      <c r="H1030" s="20"/>
      <c r="I1030" s="20"/>
    </row>
    <row r="1031" spans="1:9" ht="15" hidden="1">
      <c r="A1031" s="109" t="s">
        <v>213</v>
      </c>
      <c r="B1031" s="159"/>
      <c r="C1031" s="159" t="s">
        <v>638</v>
      </c>
      <c r="D1031" s="159" t="s">
        <v>237</v>
      </c>
      <c r="E1031" s="159" t="s">
        <v>210</v>
      </c>
      <c r="F1031" s="156" t="s">
        <v>214</v>
      </c>
      <c r="G1031" s="92"/>
      <c r="H1031" s="20" t="e">
        <f>SUM(#REF!)</f>
        <v>#REF!</v>
      </c>
      <c r="I1031" s="20" t="e">
        <f t="shared" si="29"/>
        <v>#REF!</v>
      </c>
    </row>
    <row r="1032" spans="1:9" ht="15" hidden="1">
      <c r="A1032" s="109" t="s">
        <v>175</v>
      </c>
      <c r="B1032" s="159"/>
      <c r="C1032" s="159" t="s">
        <v>638</v>
      </c>
      <c r="D1032" s="159" t="s">
        <v>237</v>
      </c>
      <c r="E1032" s="159" t="s">
        <v>174</v>
      </c>
      <c r="F1032" s="156"/>
      <c r="G1032" s="92">
        <f>SUM(G1033)</f>
        <v>0</v>
      </c>
      <c r="H1032" s="20"/>
      <c r="I1032" s="20"/>
    </row>
    <row r="1033" spans="1:9" ht="15" hidden="1">
      <c r="A1033" s="109" t="s">
        <v>641</v>
      </c>
      <c r="B1033" s="159"/>
      <c r="C1033" s="159" t="s">
        <v>638</v>
      </c>
      <c r="D1033" s="159" t="s">
        <v>237</v>
      </c>
      <c r="E1033" s="159" t="s">
        <v>174</v>
      </c>
      <c r="F1033" s="157" t="s">
        <v>642</v>
      </c>
      <c r="G1033" s="92"/>
      <c r="H1033" s="20"/>
      <c r="I1033" s="20"/>
    </row>
    <row r="1034" spans="1:9" ht="21" customHeight="1" hidden="1">
      <c r="A1034" s="105" t="s">
        <v>476</v>
      </c>
      <c r="B1034" s="159"/>
      <c r="C1034" s="159" t="s">
        <v>638</v>
      </c>
      <c r="D1034" s="159" t="s">
        <v>239</v>
      </c>
      <c r="E1034" s="159"/>
      <c r="F1034" s="157"/>
      <c r="G1034" s="91">
        <f>SUM(G1035,G1038,G1041)</f>
        <v>0</v>
      </c>
      <c r="H1034" s="20" t="e">
        <f>SUM(#REF!+H1175)+#REF!+H1171+H1039</f>
        <v>#REF!</v>
      </c>
      <c r="I1034" s="20" t="e">
        <f t="shared" si="29"/>
        <v>#REF!</v>
      </c>
    </row>
    <row r="1035" spans="1:9" ht="19.5" customHeight="1" hidden="1">
      <c r="A1035" s="131" t="s">
        <v>330</v>
      </c>
      <c r="B1035" s="159"/>
      <c r="C1035" s="159" t="s">
        <v>638</v>
      </c>
      <c r="D1035" s="159" t="s">
        <v>239</v>
      </c>
      <c r="E1035" s="159" t="s">
        <v>1015</v>
      </c>
      <c r="F1035" s="157"/>
      <c r="G1035" s="91">
        <f>SUM(G1036)</f>
        <v>0</v>
      </c>
      <c r="H1035" s="20" t="e">
        <f>SUM(#REF!)</f>
        <v>#REF!</v>
      </c>
      <c r="I1035" s="20" t="e">
        <f t="shared" si="29"/>
        <v>#REF!</v>
      </c>
    </row>
    <row r="1036" spans="1:9" ht="19.5" customHeight="1" hidden="1">
      <c r="A1036" s="133" t="s">
        <v>331</v>
      </c>
      <c r="B1036" s="159"/>
      <c r="C1036" s="159" t="s">
        <v>638</v>
      </c>
      <c r="D1036" s="159" t="s">
        <v>239</v>
      </c>
      <c r="E1036" s="159" t="s">
        <v>1017</v>
      </c>
      <c r="F1036" s="157"/>
      <c r="G1036" s="91">
        <f>SUM(G1037)</f>
        <v>0</v>
      </c>
      <c r="H1036" s="20">
        <v>872.8</v>
      </c>
      <c r="I1036" s="20" t="e">
        <f t="shared" si="29"/>
        <v>#DIV/0!</v>
      </c>
    </row>
    <row r="1037" spans="1:9" ht="15" hidden="1">
      <c r="A1037" s="106" t="s">
        <v>351</v>
      </c>
      <c r="B1037" s="159"/>
      <c r="C1037" s="159" t="s">
        <v>638</v>
      </c>
      <c r="D1037" s="159" t="s">
        <v>239</v>
      </c>
      <c r="E1037" s="159" t="s">
        <v>1017</v>
      </c>
      <c r="F1037" s="156" t="s">
        <v>352</v>
      </c>
      <c r="G1037" s="92"/>
      <c r="H1037" s="20" t="e">
        <f>SUM(#REF!)</f>
        <v>#REF!</v>
      </c>
      <c r="I1037" s="20" t="e">
        <f t="shared" si="29"/>
        <v>#REF!</v>
      </c>
    </row>
    <row r="1038" spans="1:9" ht="21" customHeight="1" hidden="1">
      <c r="A1038" s="131" t="s">
        <v>1018</v>
      </c>
      <c r="B1038" s="159"/>
      <c r="C1038" s="159" t="s">
        <v>638</v>
      </c>
      <c r="D1038" s="159" t="s">
        <v>239</v>
      </c>
      <c r="E1038" s="159" t="s">
        <v>478</v>
      </c>
      <c r="F1038" s="157"/>
      <c r="G1038" s="91">
        <f>SUM(G1039)</f>
        <v>0</v>
      </c>
      <c r="H1038" s="20" t="e">
        <f>SUM(#REF!)</f>
        <v>#REF!</v>
      </c>
      <c r="I1038" s="20" t="e">
        <f t="shared" si="29"/>
        <v>#REF!</v>
      </c>
    </row>
    <row r="1039" spans="1:9" ht="27" customHeight="1" hidden="1">
      <c r="A1039" s="133" t="s">
        <v>451</v>
      </c>
      <c r="B1039" s="159"/>
      <c r="C1039" s="159" t="s">
        <v>638</v>
      </c>
      <c r="D1039" s="159" t="s">
        <v>239</v>
      </c>
      <c r="E1039" s="159" t="s">
        <v>452</v>
      </c>
      <c r="F1039" s="157"/>
      <c r="G1039" s="91">
        <f>SUM(G1040)</f>
        <v>0</v>
      </c>
      <c r="H1039" s="20">
        <v>872.8</v>
      </c>
      <c r="I1039" s="20" t="e">
        <f t="shared" si="29"/>
        <v>#DIV/0!</v>
      </c>
    </row>
    <row r="1040" spans="1:9" ht="27" customHeight="1" hidden="1">
      <c r="A1040" s="106" t="s">
        <v>598</v>
      </c>
      <c r="B1040" s="159"/>
      <c r="C1040" s="159" t="s">
        <v>638</v>
      </c>
      <c r="D1040" s="159" t="s">
        <v>239</v>
      </c>
      <c r="E1040" s="159" t="s">
        <v>452</v>
      </c>
      <c r="F1040" s="156" t="s">
        <v>599</v>
      </c>
      <c r="G1040" s="92"/>
      <c r="H1040" s="20" t="e">
        <f>SUM(#REF!)</f>
        <v>#REF!</v>
      </c>
      <c r="I1040" s="20" t="e">
        <f t="shared" si="29"/>
        <v>#REF!</v>
      </c>
    </row>
    <row r="1041" spans="1:9" ht="15" hidden="1">
      <c r="A1041" s="108" t="s">
        <v>634</v>
      </c>
      <c r="B1041" s="159"/>
      <c r="C1041" s="159" t="s">
        <v>638</v>
      </c>
      <c r="D1041" s="159" t="s">
        <v>239</v>
      </c>
      <c r="E1041" s="159" t="s">
        <v>635</v>
      </c>
      <c r="F1041" s="156"/>
      <c r="G1041" s="92">
        <f>SUM(G1042)</f>
        <v>0</v>
      </c>
      <c r="H1041" s="20"/>
      <c r="I1041" s="20"/>
    </row>
    <row r="1042" spans="1:9" ht="15" hidden="1">
      <c r="A1042" s="105"/>
      <c r="B1042" s="159"/>
      <c r="C1042" s="159" t="s">
        <v>638</v>
      </c>
      <c r="D1042" s="159" t="s">
        <v>239</v>
      </c>
      <c r="E1042" s="159" t="s">
        <v>635</v>
      </c>
      <c r="F1042" s="156"/>
      <c r="G1042" s="92">
        <f>SUM(G1043)</f>
        <v>0</v>
      </c>
      <c r="H1042" s="20"/>
      <c r="I1042" s="20"/>
    </row>
    <row r="1043" spans="1:9" ht="19.5" customHeight="1" hidden="1">
      <c r="A1043" s="105" t="s">
        <v>598</v>
      </c>
      <c r="B1043" s="159"/>
      <c r="C1043" s="159" t="s">
        <v>638</v>
      </c>
      <c r="D1043" s="159" t="s">
        <v>239</v>
      </c>
      <c r="E1043" s="159" t="s">
        <v>635</v>
      </c>
      <c r="F1043" s="156" t="s">
        <v>599</v>
      </c>
      <c r="G1043" s="92">
        <f>6000-6000</f>
        <v>0</v>
      </c>
      <c r="H1043" s="20"/>
      <c r="I1043" s="20"/>
    </row>
    <row r="1044" spans="1:9" s="2" customFormat="1" ht="21.75" customHeight="1" hidden="1">
      <c r="A1044" s="128" t="s">
        <v>776</v>
      </c>
      <c r="B1044" s="183"/>
      <c r="C1044" s="183" t="s">
        <v>348</v>
      </c>
      <c r="D1044" s="183" t="s">
        <v>777</v>
      </c>
      <c r="E1044" s="183"/>
      <c r="F1044" s="184"/>
      <c r="G1044" s="92">
        <f>SUM(G1045)+G1068</f>
        <v>0</v>
      </c>
      <c r="H1044" s="27" t="e">
        <f>SUM(H1045+H1059+#REF!+H1319+H1349)</f>
        <v>#REF!</v>
      </c>
      <c r="I1044" s="27" t="e">
        <f t="shared" si="29"/>
        <v>#REF!</v>
      </c>
    </row>
    <row r="1045" spans="1:9" s="25" customFormat="1" ht="18" customHeight="1" hidden="1">
      <c r="A1045" s="128" t="s">
        <v>372</v>
      </c>
      <c r="B1045" s="155"/>
      <c r="C1045" s="183" t="s">
        <v>348</v>
      </c>
      <c r="D1045" s="183" t="s">
        <v>601</v>
      </c>
      <c r="E1045" s="183"/>
      <c r="F1045" s="184"/>
      <c r="G1045" s="92">
        <f>SUM(G1046+G1056+G1062)+G1052</f>
        <v>0</v>
      </c>
      <c r="H1045" s="27">
        <f>SUM(H1059+H1281+H1284+H1291+H1056)</f>
        <v>53118.9</v>
      </c>
      <c r="I1045" s="20" t="e">
        <f t="shared" si="29"/>
        <v>#DIV/0!</v>
      </c>
    </row>
    <row r="1046" spans="1:9" s="25" customFormat="1" ht="18" customHeight="1" hidden="1">
      <c r="A1046" s="128" t="s">
        <v>689</v>
      </c>
      <c r="B1046" s="155"/>
      <c r="C1046" s="155" t="s">
        <v>348</v>
      </c>
      <c r="D1046" s="159" t="s">
        <v>601</v>
      </c>
      <c r="E1046" s="155" t="s">
        <v>690</v>
      </c>
      <c r="F1046" s="184"/>
      <c r="G1046" s="92">
        <f>SUM(G1047)</f>
        <v>0</v>
      </c>
      <c r="H1046" s="27"/>
      <c r="I1046" s="20"/>
    </row>
    <row r="1047" spans="1:9" s="25" customFormat="1" ht="21.75" customHeight="1" hidden="1">
      <c r="A1047" s="133" t="s">
        <v>686</v>
      </c>
      <c r="B1047" s="155"/>
      <c r="C1047" s="155" t="s">
        <v>348</v>
      </c>
      <c r="D1047" s="159" t="s">
        <v>601</v>
      </c>
      <c r="E1047" s="155" t="s">
        <v>687</v>
      </c>
      <c r="F1047" s="156"/>
      <c r="G1047" s="92">
        <f>SUM(G1050)+G1048</f>
        <v>0</v>
      </c>
      <c r="H1047" s="27"/>
      <c r="I1047" s="20"/>
    </row>
    <row r="1048" spans="1:9" s="25" customFormat="1" ht="30" customHeight="1" hidden="1">
      <c r="A1048" s="133" t="s">
        <v>849</v>
      </c>
      <c r="B1048" s="155"/>
      <c r="C1048" s="155" t="s">
        <v>348</v>
      </c>
      <c r="D1048" s="159" t="s">
        <v>601</v>
      </c>
      <c r="E1048" s="155" t="s">
        <v>837</v>
      </c>
      <c r="F1048" s="156"/>
      <c r="G1048" s="92">
        <f>SUM(G1049)</f>
        <v>0</v>
      </c>
      <c r="H1048" s="27"/>
      <c r="I1048" s="20"/>
    </row>
    <row r="1049" spans="1:9" s="25" customFormat="1" ht="21.75" customHeight="1" hidden="1">
      <c r="A1049" s="106" t="s">
        <v>1032</v>
      </c>
      <c r="B1049" s="155"/>
      <c r="C1049" s="155" t="s">
        <v>348</v>
      </c>
      <c r="D1049" s="159" t="s">
        <v>601</v>
      </c>
      <c r="E1049" s="155" t="s">
        <v>837</v>
      </c>
      <c r="F1049" s="156" t="s">
        <v>1033</v>
      </c>
      <c r="G1049" s="92"/>
      <c r="H1049" s="27"/>
      <c r="I1049" s="20"/>
    </row>
    <row r="1050" spans="1:9" s="25" customFormat="1" ht="28.5" customHeight="1" hidden="1">
      <c r="A1050" s="133" t="s">
        <v>794</v>
      </c>
      <c r="B1050" s="155"/>
      <c r="C1050" s="159" t="s">
        <v>348</v>
      </c>
      <c r="D1050" s="159" t="s">
        <v>601</v>
      </c>
      <c r="E1050" s="155" t="s">
        <v>688</v>
      </c>
      <c r="F1050" s="157"/>
      <c r="G1050" s="92">
        <f>SUM(G1051)</f>
        <v>0</v>
      </c>
      <c r="H1050" s="27"/>
      <c r="I1050" s="20"/>
    </row>
    <row r="1051" spans="1:9" s="25" customFormat="1" ht="15" customHeight="1" hidden="1">
      <c r="A1051" s="133" t="s">
        <v>938</v>
      </c>
      <c r="B1051" s="155"/>
      <c r="C1051" s="159" t="s">
        <v>348</v>
      </c>
      <c r="D1051" s="159" t="s">
        <v>601</v>
      </c>
      <c r="E1051" s="155" t="s">
        <v>688</v>
      </c>
      <c r="F1051" s="157" t="s">
        <v>940</v>
      </c>
      <c r="G1051" s="92"/>
      <c r="H1051" s="27"/>
      <c r="I1051" s="20"/>
    </row>
    <row r="1052" spans="1:9" s="25" customFormat="1" ht="19.5" customHeight="1" hidden="1">
      <c r="A1052" s="106" t="s">
        <v>373</v>
      </c>
      <c r="B1052" s="155"/>
      <c r="C1052" s="155" t="s">
        <v>348</v>
      </c>
      <c r="D1052" s="155" t="s">
        <v>601</v>
      </c>
      <c r="E1052" s="155" t="s">
        <v>374</v>
      </c>
      <c r="F1052" s="157"/>
      <c r="G1052" s="92">
        <f>SUM(G1053)</f>
        <v>0</v>
      </c>
      <c r="H1052" s="27"/>
      <c r="I1052" s="20"/>
    </row>
    <row r="1053" spans="1:9" s="25" customFormat="1" ht="19.5" customHeight="1" hidden="1">
      <c r="A1053" s="106" t="s">
        <v>815</v>
      </c>
      <c r="B1053" s="155"/>
      <c r="C1053" s="159" t="s">
        <v>348</v>
      </c>
      <c r="D1053" s="159" t="s">
        <v>601</v>
      </c>
      <c r="E1053" s="155" t="s">
        <v>816</v>
      </c>
      <c r="F1053" s="156"/>
      <c r="G1053" s="91">
        <f>SUM(G1054)</f>
        <v>0</v>
      </c>
      <c r="H1053" s="27"/>
      <c r="I1053" s="20"/>
    </row>
    <row r="1054" spans="1:9" s="25" customFormat="1" ht="19.5" customHeight="1" hidden="1">
      <c r="A1054" s="133" t="s">
        <v>556</v>
      </c>
      <c r="B1054" s="155"/>
      <c r="C1054" s="159" t="s">
        <v>348</v>
      </c>
      <c r="D1054" s="159" t="s">
        <v>601</v>
      </c>
      <c r="E1054" s="155" t="s">
        <v>557</v>
      </c>
      <c r="F1054" s="157"/>
      <c r="G1054" s="91">
        <f>SUM(G1055)</f>
        <v>0</v>
      </c>
      <c r="H1054" s="27"/>
      <c r="I1054" s="20"/>
    </row>
    <row r="1055" spans="1:9" s="25" customFormat="1" ht="19.5" customHeight="1" hidden="1">
      <c r="A1055" s="106" t="s">
        <v>1032</v>
      </c>
      <c r="B1055" s="160"/>
      <c r="C1055" s="159" t="s">
        <v>348</v>
      </c>
      <c r="D1055" s="159" t="s">
        <v>601</v>
      </c>
      <c r="E1055" s="155" t="s">
        <v>557</v>
      </c>
      <c r="F1055" s="161" t="s">
        <v>1033</v>
      </c>
      <c r="G1055" s="92"/>
      <c r="H1055" s="27"/>
      <c r="I1055" s="20"/>
    </row>
    <row r="1056" spans="1:9" ht="19.5" customHeight="1" hidden="1">
      <c r="A1056" s="106" t="s">
        <v>340</v>
      </c>
      <c r="B1056" s="120"/>
      <c r="C1056" s="159" t="s">
        <v>348</v>
      </c>
      <c r="D1056" s="159" t="s">
        <v>601</v>
      </c>
      <c r="E1056" s="159" t="s">
        <v>341</v>
      </c>
      <c r="F1056" s="161"/>
      <c r="G1056" s="92">
        <f>SUM(G1057)</f>
        <v>0</v>
      </c>
      <c r="H1056" s="20"/>
      <c r="I1056" s="20"/>
    </row>
    <row r="1057" spans="1:9" ht="42.75" hidden="1">
      <c r="A1057" s="106" t="s">
        <v>769</v>
      </c>
      <c r="B1057" s="160"/>
      <c r="C1057" s="159" t="s">
        <v>348</v>
      </c>
      <c r="D1057" s="159" t="s">
        <v>601</v>
      </c>
      <c r="E1057" s="159" t="s">
        <v>226</v>
      </c>
      <c r="F1057" s="161"/>
      <c r="G1057" s="92">
        <f>SUM(G1058)+G1060</f>
        <v>0</v>
      </c>
      <c r="H1057" s="20"/>
      <c r="I1057" s="20"/>
    </row>
    <row r="1058" spans="1:9" ht="28.5" hidden="1">
      <c r="A1058" s="106" t="s">
        <v>770</v>
      </c>
      <c r="B1058" s="160"/>
      <c r="C1058" s="159" t="s">
        <v>348</v>
      </c>
      <c r="D1058" s="159" t="s">
        <v>601</v>
      </c>
      <c r="E1058" s="159" t="s">
        <v>771</v>
      </c>
      <c r="F1058" s="161"/>
      <c r="G1058" s="92">
        <f>SUM(G1059)</f>
        <v>0</v>
      </c>
      <c r="H1058" s="20"/>
      <c r="I1058" s="20"/>
    </row>
    <row r="1059" spans="1:9" ht="15" hidden="1">
      <c r="A1059" s="133" t="s">
        <v>938</v>
      </c>
      <c r="B1059" s="160"/>
      <c r="C1059" s="159" t="s">
        <v>348</v>
      </c>
      <c r="D1059" s="159" t="s">
        <v>601</v>
      </c>
      <c r="E1059" s="159" t="s">
        <v>771</v>
      </c>
      <c r="F1059" s="156" t="s">
        <v>940</v>
      </c>
      <c r="G1059" s="92"/>
      <c r="H1059" s="20"/>
      <c r="I1059" s="20"/>
    </row>
    <row r="1060" spans="1:9" ht="28.5" hidden="1">
      <c r="A1060" s="106" t="s">
        <v>803</v>
      </c>
      <c r="B1060" s="160"/>
      <c r="C1060" s="159" t="s">
        <v>348</v>
      </c>
      <c r="D1060" s="159" t="s">
        <v>601</v>
      </c>
      <c r="E1060" s="159" t="s">
        <v>939</v>
      </c>
      <c r="F1060" s="161"/>
      <c r="G1060" s="92">
        <f>SUM(G1061)</f>
        <v>0</v>
      </c>
      <c r="H1060" s="20"/>
      <c r="I1060" s="20"/>
    </row>
    <row r="1061" spans="1:9" ht="15" hidden="1">
      <c r="A1061" s="106" t="s">
        <v>938</v>
      </c>
      <c r="B1061" s="160"/>
      <c r="C1061" s="159" t="s">
        <v>348</v>
      </c>
      <c r="D1061" s="159" t="s">
        <v>601</v>
      </c>
      <c r="E1061" s="159" t="s">
        <v>939</v>
      </c>
      <c r="F1061" s="161" t="s">
        <v>940</v>
      </c>
      <c r="G1061" s="92"/>
      <c r="H1061" s="20"/>
      <c r="I1061" s="20"/>
    </row>
    <row r="1062" spans="1:9" ht="15" hidden="1">
      <c r="A1062" s="108" t="s">
        <v>634</v>
      </c>
      <c r="B1062" s="155"/>
      <c r="C1062" s="159" t="s">
        <v>348</v>
      </c>
      <c r="D1062" s="159" t="s">
        <v>601</v>
      </c>
      <c r="E1062" s="159" t="s">
        <v>635</v>
      </c>
      <c r="F1062" s="157"/>
      <c r="G1062" s="91">
        <f>SUM(G1063)</f>
        <v>0</v>
      </c>
      <c r="H1062" s="20"/>
      <c r="I1062" s="20"/>
    </row>
    <row r="1063" spans="1:9" ht="15" hidden="1">
      <c r="A1063" s="128" t="s">
        <v>598</v>
      </c>
      <c r="B1063" s="155"/>
      <c r="C1063" s="159" t="s">
        <v>348</v>
      </c>
      <c r="D1063" s="159" t="s">
        <v>601</v>
      </c>
      <c r="E1063" s="159" t="s">
        <v>635</v>
      </c>
      <c r="F1063" s="157" t="s">
        <v>599</v>
      </c>
      <c r="G1063" s="91"/>
      <c r="H1063" s="20"/>
      <c r="I1063" s="20"/>
    </row>
    <row r="1064" spans="1:9" ht="42" customHeight="1" hidden="1">
      <c r="A1064" s="128" t="s">
        <v>7</v>
      </c>
      <c r="B1064" s="155"/>
      <c r="C1064" s="159" t="s">
        <v>348</v>
      </c>
      <c r="D1064" s="159" t="s">
        <v>601</v>
      </c>
      <c r="E1064" s="159" t="s">
        <v>8</v>
      </c>
      <c r="F1064" s="157" t="s">
        <v>599</v>
      </c>
      <c r="G1064" s="91"/>
      <c r="H1064" s="20"/>
      <c r="I1064" s="20"/>
    </row>
    <row r="1065" spans="1:9" ht="28.5" hidden="1">
      <c r="A1065" s="128" t="s">
        <v>660</v>
      </c>
      <c r="B1065" s="155"/>
      <c r="C1065" s="159" t="s">
        <v>348</v>
      </c>
      <c r="D1065" s="159" t="s">
        <v>601</v>
      </c>
      <c r="E1065" s="171" t="s">
        <v>462</v>
      </c>
      <c r="F1065" s="156" t="s">
        <v>599</v>
      </c>
      <c r="G1065" s="91"/>
      <c r="H1065" s="20"/>
      <c r="I1065" s="20"/>
    </row>
    <row r="1066" spans="1:9" ht="36.75" customHeight="1" hidden="1">
      <c r="A1066" s="106" t="s">
        <v>770</v>
      </c>
      <c r="B1066" s="159"/>
      <c r="C1066" s="159" t="s">
        <v>348</v>
      </c>
      <c r="D1066" s="159" t="s">
        <v>601</v>
      </c>
      <c r="E1066" s="171" t="s">
        <v>944</v>
      </c>
      <c r="F1066" s="156" t="s">
        <v>599</v>
      </c>
      <c r="G1066" s="92"/>
      <c r="H1066" s="20"/>
      <c r="I1066" s="20"/>
    </row>
    <row r="1067" spans="1:9" ht="38.25" customHeight="1" hidden="1">
      <c r="A1067" s="105" t="s">
        <v>828</v>
      </c>
      <c r="B1067" s="159"/>
      <c r="C1067" s="159" t="s">
        <v>348</v>
      </c>
      <c r="D1067" s="159" t="s">
        <v>601</v>
      </c>
      <c r="E1067" s="171" t="s">
        <v>713</v>
      </c>
      <c r="F1067" s="156" t="s">
        <v>599</v>
      </c>
      <c r="G1067" s="92"/>
      <c r="H1067" s="20"/>
      <c r="I1067" s="20"/>
    </row>
    <row r="1068" spans="1:9" ht="17.25" customHeight="1" hidden="1">
      <c r="A1068" s="133" t="s">
        <v>714</v>
      </c>
      <c r="B1068" s="155"/>
      <c r="C1068" s="171" t="s">
        <v>348</v>
      </c>
      <c r="D1068" s="183" t="s">
        <v>625</v>
      </c>
      <c r="E1068" s="183"/>
      <c r="F1068" s="158"/>
      <c r="G1068" s="92">
        <f>SUM(G1069)</f>
        <v>0</v>
      </c>
      <c r="H1068" s="27">
        <f>SUM(H1069)</f>
        <v>0</v>
      </c>
      <c r="I1068" s="20" t="e">
        <f>SUM(H1068/G1068*100)</f>
        <v>#DIV/0!</v>
      </c>
    </row>
    <row r="1069" spans="1:9" s="25" customFormat="1" ht="42.75" customHeight="1" hidden="1">
      <c r="A1069" s="106" t="s">
        <v>815</v>
      </c>
      <c r="B1069" s="155"/>
      <c r="C1069" s="171" t="s">
        <v>348</v>
      </c>
      <c r="D1069" s="183" t="s">
        <v>625</v>
      </c>
      <c r="E1069" s="155" t="s">
        <v>816</v>
      </c>
      <c r="F1069" s="156"/>
      <c r="G1069" s="91">
        <f>SUM(G1070)</f>
        <v>0</v>
      </c>
      <c r="H1069" s="27"/>
      <c r="I1069" s="20"/>
    </row>
    <row r="1070" spans="1:9" s="25" customFormat="1" ht="51" customHeight="1" hidden="1">
      <c r="A1070" s="133" t="s">
        <v>262</v>
      </c>
      <c r="B1070" s="155"/>
      <c r="C1070" s="171" t="s">
        <v>348</v>
      </c>
      <c r="D1070" s="183" t="s">
        <v>625</v>
      </c>
      <c r="E1070" s="155" t="s">
        <v>261</v>
      </c>
      <c r="F1070" s="157"/>
      <c r="G1070" s="91">
        <f>SUM(G1071)</f>
        <v>0</v>
      </c>
      <c r="H1070" s="27"/>
      <c r="I1070" s="20"/>
    </row>
    <row r="1071" spans="1:9" s="25" customFormat="1" ht="16.5" customHeight="1" hidden="1">
      <c r="A1071" s="106" t="s">
        <v>1032</v>
      </c>
      <c r="B1071" s="160"/>
      <c r="C1071" s="171" t="s">
        <v>348</v>
      </c>
      <c r="D1071" s="183" t="s">
        <v>625</v>
      </c>
      <c r="E1071" s="155" t="s">
        <v>261</v>
      </c>
      <c r="F1071" s="161" t="s">
        <v>1033</v>
      </c>
      <c r="G1071" s="92"/>
      <c r="H1071" s="27"/>
      <c r="I1071" s="20"/>
    </row>
    <row r="1072" spans="1:9" s="116" customFormat="1" ht="15" hidden="1">
      <c r="A1072" s="128" t="s">
        <v>925</v>
      </c>
      <c r="B1072" s="183"/>
      <c r="C1072" s="171" t="s">
        <v>166</v>
      </c>
      <c r="D1072" s="171"/>
      <c r="E1072" s="171"/>
      <c r="F1072" s="161"/>
      <c r="G1072" s="92">
        <f>SUM(G1073)</f>
        <v>0</v>
      </c>
      <c r="H1072" s="27" t="e">
        <f>SUM(H1073+#REF!+H1086+H1092+H1109+H1135)</f>
        <v>#REF!</v>
      </c>
      <c r="I1072" s="27" t="e">
        <f>SUM(H1072/G1072*100)</f>
        <v>#REF!</v>
      </c>
    </row>
    <row r="1073" spans="1:9" ht="15" hidden="1">
      <c r="A1073" s="106" t="s">
        <v>907</v>
      </c>
      <c r="B1073" s="155"/>
      <c r="C1073" s="155" t="s">
        <v>166</v>
      </c>
      <c r="D1073" s="155" t="s">
        <v>638</v>
      </c>
      <c r="E1073" s="159"/>
      <c r="F1073" s="157"/>
      <c r="G1073" s="92">
        <f>SUM(G1074)</f>
        <v>0</v>
      </c>
      <c r="H1073" s="20"/>
      <c r="I1073" s="20"/>
    </row>
    <row r="1074" spans="1:9" ht="15" hidden="1">
      <c r="A1074" s="108" t="s">
        <v>634</v>
      </c>
      <c r="B1074" s="159"/>
      <c r="C1074" s="155" t="s">
        <v>166</v>
      </c>
      <c r="D1074" s="155" t="s">
        <v>638</v>
      </c>
      <c r="E1074" s="159" t="s">
        <v>635</v>
      </c>
      <c r="F1074" s="157"/>
      <c r="G1074" s="92">
        <f>SUM(G1075)</f>
        <v>0</v>
      </c>
      <c r="H1074" s="20" t="e">
        <f>SUM(#REF!)+#REF!+#REF!</f>
        <v>#REF!</v>
      </c>
      <c r="I1074" s="20" t="e">
        <f>SUM(H1074/G1074*100)</f>
        <v>#REF!</v>
      </c>
    </row>
    <row r="1075" spans="1:9" ht="28.5" hidden="1">
      <c r="A1075" s="106" t="s">
        <v>775</v>
      </c>
      <c r="B1075" s="155"/>
      <c r="C1075" s="155" t="s">
        <v>166</v>
      </c>
      <c r="D1075" s="155" t="s">
        <v>638</v>
      </c>
      <c r="E1075" s="159" t="s">
        <v>475</v>
      </c>
      <c r="F1075" s="161"/>
      <c r="G1075" s="92">
        <f>SUM(G1076)</f>
        <v>0</v>
      </c>
      <c r="H1075" s="27">
        <f>SUM(H1076)</f>
        <v>1042.3</v>
      </c>
      <c r="I1075" s="20" t="e">
        <f>SUM(H1075/G1075*100)</f>
        <v>#DIV/0!</v>
      </c>
    </row>
    <row r="1076" spans="1:9" ht="15" hidden="1">
      <c r="A1076" s="105" t="s">
        <v>504</v>
      </c>
      <c r="B1076" s="155"/>
      <c r="C1076" s="155" t="s">
        <v>166</v>
      </c>
      <c r="D1076" s="155" t="s">
        <v>638</v>
      </c>
      <c r="E1076" s="159" t="s">
        <v>475</v>
      </c>
      <c r="F1076" s="161" t="s">
        <v>642</v>
      </c>
      <c r="G1076" s="92"/>
      <c r="H1076" s="27">
        <v>1042.3</v>
      </c>
      <c r="I1076" s="20" t="e">
        <f>SUM(H1076/G1076*100)</f>
        <v>#DIV/0!</v>
      </c>
    </row>
    <row r="1077" spans="1:9" ht="37.5" customHeight="1">
      <c r="A1077" s="173" t="s">
        <v>310</v>
      </c>
      <c r="B1077" s="174" t="s">
        <v>807</v>
      </c>
      <c r="C1077" s="175"/>
      <c r="D1077" s="175"/>
      <c r="E1077" s="175"/>
      <c r="F1077" s="176"/>
      <c r="G1077" s="203">
        <f>SUM(G1078+G1087+G1141)</f>
        <v>62428.9</v>
      </c>
      <c r="H1077" s="81" t="e">
        <f>SUM(#REF!+H1236)</f>
        <v>#REF!</v>
      </c>
      <c r="I1077" s="20" t="e">
        <f>SUM(H1077/G1077*100)</f>
        <v>#REF!</v>
      </c>
    </row>
    <row r="1078" spans="1:9" ht="19.5" customHeight="1" hidden="1">
      <c r="A1078" s="106" t="s">
        <v>236</v>
      </c>
      <c r="B1078" s="155"/>
      <c r="C1078" s="155" t="s">
        <v>237</v>
      </c>
      <c r="D1078" s="155"/>
      <c r="E1078" s="155"/>
      <c r="F1078" s="156"/>
      <c r="G1078" s="91">
        <f>SUM(G1079+G1083)</f>
        <v>0</v>
      </c>
      <c r="H1078" s="81"/>
      <c r="I1078" s="20"/>
    </row>
    <row r="1079" spans="1:9" ht="19.5" customHeight="1" hidden="1">
      <c r="A1079" s="106" t="s">
        <v>411</v>
      </c>
      <c r="B1079" s="155"/>
      <c r="C1079" s="155" t="s">
        <v>237</v>
      </c>
      <c r="D1079" s="155" t="s">
        <v>625</v>
      </c>
      <c r="E1079" s="155"/>
      <c r="F1079" s="156"/>
      <c r="G1079" s="91">
        <f>SUM(G1080)</f>
        <v>0</v>
      </c>
      <c r="H1079" s="81"/>
      <c r="I1079" s="20"/>
    </row>
    <row r="1080" spans="1:9" ht="19.5" customHeight="1" hidden="1">
      <c r="A1080" s="106" t="s">
        <v>594</v>
      </c>
      <c r="B1080" s="155"/>
      <c r="C1080" s="155" t="s">
        <v>237</v>
      </c>
      <c r="D1080" s="155" t="s">
        <v>625</v>
      </c>
      <c r="E1080" s="155" t="s">
        <v>595</v>
      </c>
      <c r="F1080" s="157"/>
      <c r="G1080" s="91">
        <f>SUM(G1081)</f>
        <v>0</v>
      </c>
      <c r="H1080" s="81"/>
      <c r="I1080" s="20"/>
    </row>
    <row r="1081" spans="1:9" ht="19.5" customHeight="1" hidden="1">
      <c r="A1081" s="106" t="s">
        <v>602</v>
      </c>
      <c r="B1081" s="155"/>
      <c r="C1081" s="155" t="s">
        <v>237</v>
      </c>
      <c r="D1081" s="155" t="s">
        <v>625</v>
      </c>
      <c r="E1081" s="155" t="s">
        <v>604</v>
      </c>
      <c r="F1081" s="157"/>
      <c r="G1081" s="91">
        <f>SUM(G1082)</f>
        <v>0</v>
      </c>
      <c r="H1081" s="81"/>
      <c r="I1081" s="20"/>
    </row>
    <row r="1082" spans="1:9" ht="19.5" customHeight="1" hidden="1">
      <c r="A1082" s="106" t="s">
        <v>598</v>
      </c>
      <c r="B1082" s="155"/>
      <c r="C1082" s="155" t="s">
        <v>237</v>
      </c>
      <c r="D1082" s="155" t="s">
        <v>625</v>
      </c>
      <c r="E1082" s="155" t="s">
        <v>604</v>
      </c>
      <c r="F1082" s="156" t="s">
        <v>599</v>
      </c>
      <c r="G1082" s="91"/>
      <c r="H1082" s="81"/>
      <c r="I1082" s="20"/>
    </row>
    <row r="1083" spans="1:9" ht="15" hidden="1">
      <c r="A1083" s="106" t="s">
        <v>607</v>
      </c>
      <c r="B1083" s="155"/>
      <c r="C1083" s="155" t="s">
        <v>237</v>
      </c>
      <c r="D1083" s="155" t="s">
        <v>152</v>
      </c>
      <c r="E1083" s="155"/>
      <c r="F1083" s="157"/>
      <c r="G1083" s="91">
        <f>SUM(G1084)</f>
        <v>0</v>
      </c>
      <c r="H1083" s="20">
        <f>SUM(H1084)</f>
        <v>186.6</v>
      </c>
      <c r="I1083" s="20" t="e">
        <f aca="true" t="shared" si="30" ref="I1083:I1090">SUM(H1083/G1083*100)</f>
        <v>#DIV/0!</v>
      </c>
    </row>
    <row r="1084" spans="1:9" ht="28.5" hidden="1">
      <c r="A1084" s="133" t="s">
        <v>609</v>
      </c>
      <c r="B1084" s="155"/>
      <c r="C1084" s="155" t="s">
        <v>237</v>
      </c>
      <c r="D1084" s="155" t="s">
        <v>152</v>
      </c>
      <c r="E1084" s="155" t="s">
        <v>610</v>
      </c>
      <c r="F1084" s="158"/>
      <c r="G1084" s="91">
        <f>SUM(G1086)</f>
        <v>0</v>
      </c>
      <c r="H1084" s="20">
        <f>SUM(H1086)</f>
        <v>186.6</v>
      </c>
      <c r="I1084" s="20" t="e">
        <f t="shared" si="30"/>
        <v>#DIV/0!</v>
      </c>
    </row>
    <row r="1085" spans="1:9" ht="15" hidden="1">
      <c r="A1085" s="133" t="s">
        <v>611</v>
      </c>
      <c r="B1085" s="155"/>
      <c r="C1085" s="155" t="s">
        <v>237</v>
      </c>
      <c r="D1085" s="155" t="s">
        <v>152</v>
      </c>
      <c r="E1085" s="155" t="s">
        <v>936</v>
      </c>
      <c r="F1085" s="158"/>
      <c r="G1085" s="91">
        <f>SUM(G1086)</f>
        <v>0</v>
      </c>
      <c r="H1085" s="20">
        <f>SUM(H1086)</f>
        <v>186.6</v>
      </c>
      <c r="I1085" s="20" t="e">
        <f t="shared" si="30"/>
        <v>#DIV/0!</v>
      </c>
    </row>
    <row r="1086" spans="1:9" ht="19.5" customHeight="1" hidden="1">
      <c r="A1086" s="106" t="s">
        <v>598</v>
      </c>
      <c r="B1086" s="155"/>
      <c r="C1086" s="155" t="s">
        <v>237</v>
      </c>
      <c r="D1086" s="155" t="s">
        <v>152</v>
      </c>
      <c r="E1086" s="155" t="s">
        <v>936</v>
      </c>
      <c r="F1086" s="158" t="s">
        <v>599</v>
      </c>
      <c r="G1086" s="91">
        <f>276.8-276.8</f>
        <v>0</v>
      </c>
      <c r="H1086" s="20">
        <v>186.6</v>
      </c>
      <c r="I1086" s="20" t="e">
        <f t="shared" si="30"/>
        <v>#DIV/0!</v>
      </c>
    </row>
    <row r="1087" spans="1:11" s="116" customFormat="1" ht="15">
      <c r="A1087" s="128" t="s">
        <v>613</v>
      </c>
      <c r="B1087" s="183"/>
      <c r="C1087" s="171" t="s">
        <v>614</v>
      </c>
      <c r="D1087" s="171"/>
      <c r="E1087" s="171"/>
      <c r="F1087" s="161"/>
      <c r="G1087" s="91">
        <f>SUM(G1088,G1102,G1131)</f>
        <v>50383.9</v>
      </c>
      <c r="H1087" s="27" t="e">
        <f>SUM(H1088+H1160+H1284+H1316)</f>
        <v>#REF!</v>
      </c>
      <c r="I1087" s="27" t="e">
        <f t="shared" si="30"/>
        <v>#REF!</v>
      </c>
      <c r="K1087" s="149"/>
    </row>
    <row r="1088" spans="1:9" s="36" customFormat="1" ht="15.75" customHeight="1">
      <c r="A1088" s="106" t="s">
        <v>81</v>
      </c>
      <c r="B1088" s="174"/>
      <c r="C1088" s="159" t="s">
        <v>614</v>
      </c>
      <c r="D1088" s="159" t="s">
        <v>239</v>
      </c>
      <c r="E1088" s="159"/>
      <c r="F1088" s="157"/>
      <c r="G1088" s="91">
        <f>SUM(G1089+G1098)</f>
        <v>50383.9</v>
      </c>
      <c r="H1088" s="20" t="e">
        <f>SUM(H1143+#REF!+H1186+H1217)+H1229+H1179+H1198+H1195+H1089+H1235</f>
        <v>#REF!</v>
      </c>
      <c r="I1088" s="20" t="e">
        <f t="shared" si="30"/>
        <v>#REF!</v>
      </c>
    </row>
    <row r="1089" spans="1:9" ht="18" customHeight="1">
      <c r="A1089" s="106" t="s">
        <v>36</v>
      </c>
      <c r="B1089" s="155"/>
      <c r="C1089" s="159" t="s">
        <v>614</v>
      </c>
      <c r="D1089" s="159" t="s">
        <v>239</v>
      </c>
      <c r="E1089" s="159" t="s">
        <v>37</v>
      </c>
      <c r="F1089" s="157"/>
      <c r="G1089" s="91">
        <f>SUM(G1090)</f>
        <v>50383.9</v>
      </c>
      <c r="H1089" s="20">
        <f>SUM(H1090)</f>
        <v>58066.5</v>
      </c>
      <c r="I1089" s="20">
        <f t="shared" si="30"/>
        <v>115.24812489704053</v>
      </c>
    </row>
    <row r="1090" spans="1:9" ht="22.5" customHeight="1">
      <c r="A1090" s="106" t="s">
        <v>361</v>
      </c>
      <c r="B1090" s="174"/>
      <c r="C1090" s="159" t="s">
        <v>614</v>
      </c>
      <c r="D1090" s="159" t="s">
        <v>239</v>
      </c>
      <c r="E1090" s="159" t="s">
        <v>559</v>
      </c>
      <c r="F1090" s="157"/>
      <c r="G1090" s="91">
        <f>SUM(G1091)+G1093</f>
        <v>50383.9</v>
      </c>
      <c r="H1090" s="20">
        <f>SUM(H1092+H1145+H1143)</f>
        <v>58066.5</v>
      </c>
      <c r="I1090" s="20">
        <f t="shared" si="30"/>
        <v>115.24812489704053</v>
      </c>
    </row>
    <row r="1091" spans="1:9" ht="35.25" customHeight="1">
      <c r="A1091" s="106" t="s">
        <v>585</v>
      </c>
      <c r="B1091" s="174"/>
      <c r="C1091" s="159" t="s">
        <v>614</v>
      </c>
      <c r="D1091" s="159" t="s">
        <v>239</v>
      </c>
      <c r="E1091" s="159" t="s">
        <v>560</v>
      </c>
      <c r="F1091" s="157"/>
      <c r="G1091" s="91">
        <f>SUM(G1092)</f>
        <v>49998.8</v>
      </c>
      <c r="H1091" s="20"/>
      <c r="I1091" s="20"/>
    </row>
    <row r="1092" spans="1:9" ht="51" customHeight="1">
      <c r="A1092" s="108" t="s">
        <v>362</v>
      </c>
      <c r="B1092" s="120"/>
      <c r="C1092" s="159" t="s">
        <v>614</v>
      </c>
      <c r="D1092" s="159" t="s">
        <v>239</v>
      </c>
      <c r="E1092" s="159" t="s">
        <v>560</v>
      </c>
      <c r="F1092" s="158" t="s">
        <v>485</v>
      </c>
      <c r="G1092" s="91">
        <v>49998.8</v>
      </c>
      <c r="H1092" s="20">
        <v>56722</v>
      </c>
      <c r="I1092" s="20">
        <f>SUM(H1092/G1092*100)</f>
        <v>113.44672272134531</v>
      </c>
    </row>
    <row r="1093" spans="1:9" ht="15.75" customHeight="1">
      <c r="A1093" s="108" t="s">
        <v>711</v>
      </c>
      <c r="B1093" s="174"/>
      <c r="C1093" s="159" t="s">
        <v>614</v>
      </c>
      <c r="D1093" s="159" t="s">
        <v>239</v>
      </c>
      <c r="E1093" s="159" t="s">
        <v>680</v>
      </c>
      <c r="F1093" s="157"/>
      <c r="G1093" s="91">
        <f>SUM(G1096)+G1094</f>
        <v>385.1</v>
      </c>
      <c r="H1093" s="20"/>
      <c r="I1093" s="20"/>
    </row>
    <row r="1094" spans="1:9" ht="31.5" customHeight="1">
      <c r="A1094" s="108" t="s">
        <v>159</v>
      </c>
      <c r="B1094" s="174"/>
      <c r="C1094" s="159" t="s">
        <v>614</v>
      </c>
      <c r="D1094" s="159" t="s">
        <v>239</v>
      </c>
      <c r="E1094" s="159" t="s">
        <v>850</v>
      </c>
      <c r="F1094" s="157"/>
      <c r="G1094" s="91">
        <f>SUM(G1095)</f>
        <v>200</v>
      </c>
      <c r="H1094" s="20"/>
      <c r="I1094" s="20"/>
    </row>
    <row r="1095" spans="1:9" ht="15.75" customHeight="1">
      <c r="A1095" s="108" t="s">
        <v>666</v>
      </c>
      <c r="B1095" s="174"/>
      <c r="C1095" s="159" t="s">
        <v>614</v>
      </c>
      <c r="D1095" s="159" t="s">
        <v>239</v>
      </c>
      <c r="E1095" s="159" t="s">
        <v>850</v>
      </c>
      <c r="F1095" s="157" t="s">
        <v>566</v>
      </c>
      <c r="G1095" s="91">
        <v>200</v>
      </c>
      <c r="H1095" s="20"/>
      <c r="I1095" s="20"/>
    </row>
    <row r="1096" spans="1:9" ht="15.75" customHeight="1">
      <c r="A1096" s="106" t="s">
        <v>838</v>
      </c>
      <c r="B1096" s="174"/>
      <c r="C1096" s="159" t="s">
        <v>614</v>
      </c>
      <c r="D1096" s="159" t="s">
        <v>239</v>
      </c>
      <c r="E1096" s="159" t="s">
        <v>844</v>
      </c>
      <c r="F1096" s="157"/>
      <c r="G1096" s="91">
        <f>SUM(G1097)</f>
        <v>185.1</v>
      </c>
      <c r="H1096" s="20"/>
      <c r="I1096" s="20"/>
    </row>
    <row r="1097" spans="1:9" ht="27.75" customHeight="1">
      <c r="A1097" s="108" t="s">
        <v>666</v>
      </c>
      <c r="B1097" s="174"/>
      <c r="C1097" s="159" t="s">
        <v>614</v>
      </c>
      <c r="D1097" s="159" t="s">
        <v>239</v>
      </c>
      <c r="E1097" s="159" t="s">
        <v>844</v>
      </c>
      <c r="F1097" s="157" t="s">
        <v>566</v>
      </c>
      <c r="G1097" s="91">
        <v>185.1</v>
      </c>
      <c r="H1097" s="20"/>
      <c r="I1097" s="20"/>
    </row>
    <row r="1098" spans="1:9" ht="15" hidden="1">
      <c r="A1098" s="108" t="s">
        <v>634</v>
      </c>
      <c r="B1098" s="188"/>
      <c r="C1098" s="159" t="s">
        <v>614</v>
      </c>
      <c r="D1098" s="159" t="s">
        <v>239</v>
      </c>
      <c r="E1098" s="159" t="s">
        <v>635</v>
      </c>
      <c r="F1098" s="158"/>
      <c r="G1098" s="91">
        <f>SUM(G1099)</f>
        <v>0</v>
      </c>
      <c r="H1098" s="20" t="e">
        <f>SUM(#REF!)</f>
        <v>#REF!</v>
      </c>
      <c r="I1098" s="20" t="e">
        <f>SUM(H1098/G1098*100)</f>
        <v>#REF!</v>
      </c>
    </row>
    <row r="1099" spans="1:9" ht="46.5" customHeight="1" hidden="1">
      <c r="A1099" s="109" t="s">
        <v>821</v>
      </c>
      <c r="B1099" s="188"/>
      <c r="C1099" s="159" t="s">
        <v>614</v>
      </c>
      <c r="D1099" s="159" t="s">
        <v>239</v>
      </c>
      <c r="E1099" s="159" t="s">
        <v>1037</v>
      </c>
      <c r="F1099" s="158"/>
      <c r="G1099" s="91">
        <f>SUM(G1101)+G1100</f>
        <v>0</v>
      </c>
      <c r="H1099" s="20"/>
      <c r="I1099" s="20"/>
    </row>
    <row r="1100" spans="1:9" ht="22.5" customHeight="1" hidden="1">
      <c r="A1100" s="108" t="s">
        <v>483</v>
      </c>
      <c r="B1100" s="188"/>
      <c r="C1100" s="159" t="s">
        <v>614</v>
      </c>
      <c r="D1100" s="159" t="s">
        <v>239</v>
      </c>
      <c r="E1100" s="159" t="s">
        <v>1037</v>
      </c>
      <c r="F1100" s="158" t="s">
        <v>933</v>
      </c>
      <c r="G1100" s="91"/>
      <c r="H1100" s="20"/>
      <c r="I1100" s="20"/>
    </row>
    <row r="1101" spans="1:9" ht="22.5" customHeight="1" hidden="1">
      <c r="A1101" s="108" t="s">
        <v>666</v>
      </c>
      <c r="B1101" s="188"/>
      <c r="C1101" s="159" t="s">
        <v>614</v>
      </c>
      <c r="D1101" s="159" t="s">
        <v>239</v>
      </c>
      <c r="E1101" s="159" t="s">
        <v>1037</v>
      </c>
      <c r="F1101" s="158" t="s">
        <v>566</v>
      </c>
      <c r="G1101" s="91"/>
      <c r="H1101" s="20"/>
      <c r="I1101" s="20"/>
    </row>
    <row r="1102" spans="1:9" ht="23.25" customHeight="1" hidden="1">
      <c r="A1102" s="106" t="s">
        <v>615</v>
      </c>
      <c r="B1102" s="155"/>
      <c r="C1102" s="155" t="s">
        <v>614</v>
      </c>
      <c r="D1102" s="155" t="s">
        <v>614</v>
      </c>
      <c r="E1102" s="155"/>
      <c r="F1102" s="156"/>
      <c r="G1102" s="91">
        <f>SUM(G1107)+G1120+G1116+G1123</f>
        <v>0</v>
      </c>
      <c r="H1102" s="20" t="e">
        <f>SUM(H1107+H1142+H1159+H1103)</f>
        <v>#REF!</v>
      </c>
      <c r="I1102" s="20" t="e">
        <f aca="true" t="shared" si="31" ref="I1102:I1111">SUM(H1102/G1102*100)</f>
        <v>#REF!</v>
      </c>
    </row>
    <row r="1103" spans="1:9" ht="15" hidden="1">
      <c r="A1103" s="106" t="s">
        <v>148</v>
      </c>
      <c r="B1103" s="155"/>
      <c r="C1103" s="155" t="s">
        <v>614</v>
      </c>
      <c r="D1103" s="155" t="s">
        <v>614</v>
      </c>
      <c r="E1103" s="155" t="s">
        <v>150</v>
      </c>
      <c r="F1103" s="156"/>
      <c r="G1103" s="91">
        <f>SUM(G1104)</f>
        <v>0</v>
      </c>
      <c r="H1103" s="20">
        <f>SUM(H1104)</f>
        <v>1563.8</v>
      </c>
      <c r="I1103" s="20" t="e">
        <f t="shared" si="31"/>
        <v>#DIV/0!</v>
      </c>
    </row>
    <row r="1104" spans="1:9" ht="15" hidden="1">
      <c r="A1104" s="106" t="s">
        <v>128</v>
      </c>
      <c r="B1104" s="155"/>
      <c r="C1104" s="155" t="s">
        <v>614</v>
      </c>
      <c r="D1104" s="155" t="s">
        <v>614</v>
      </c>
      <c r="E1104" s="155" t="s">
        <v>129</v>
      </c>
      <c r="F1104" s="156"/>
      <c r="G1104" s="91">
        <f>SUM(G1105+G1106)</f>
        <v>0</v>
      </c>
      <c r="H1104" s="20">
        <f>SUM(H1105+H1106)</f>
        <v>1563.8</v>
      </c>
      <c r="I1104" s="20" t="e">
        <f t="shared" si="31"/>
        <v>#DIV/0!</v>
      </c>
    </row>
    <row r="1105" spans="1:9" ht="15" hidden="1">
      <c r="A1105" s="108" t="s">
        <v>932</v>
      </c>
      <c r="B1105" s="159"/>
      <c r="C1105" s="155" t="s">
        <v>614</v>
      </c>
      <c r="D1105" s="155" t="s">
        <v>614</v>
      </c>
      <c r="E1105" s="155" t="s">
        <v>129</v>
      </c>
      <c r="F1105" s="157" t="s">
        <v>933</v>
      </c>
      <c r="G1105" s="91"/>
      <c r="H1105" s="20">
        <v>964</v>
      </c>
      <c r="I1105" s="20" t="e">
        <f t="shared" si="31"/>
        <v>#DIV/0!</v>
      </c>
    </row>
    <row r="1106" spans="1:9" ht="15" hidden="1">
      <c r="A1106" s="108" t="s">
        <v>876</v>
      </c>
      <c r="B1106" s="159"/>
      <c r="C1106" s="155" t="s">
        <v>614</v>
      </c>
      <c r="D1106" s="155" t="s">
        <v>614</v>
      </c>
      <c r="E1106" s="155" t="s">
        <v>129</v>
      </c>
      <c r="F1106" s="157" t="s">
        <v>877</v>
      </c>
      <c r="G1106" s="91"/>
      <c r="H1106" s="20">
        <v>599.8</v>
      </c>
      <c r="I1106" s="20" t="e">
        <f t="shared" si="31"/>
        <v>#DIV/0!</v>
      </c>
    </row>
    <row r="1107" spans="1:9" ht="15" hidden="1">
      <c r="A1107" s="105" t="s">
        <v>878</v>
      </c>
      <c r="B1107" s="159"/>
      <c r="C1107" s="159" t="s">
        <v>614</v>
      </c>
      <c r="D1107" s="159" t="s">
        <v>614</v>
      </c>
      <c r="E1107" s="159" t="s">
        <v>879</v>
      </c>
      <c r="F1107" s="157"/>
      <c r="G1107" s="91">
        <f>SUM(G1108+G1114)+G1110</f>
        <v>0</v>
      </c>
      <c r="H1107" s="20" t="e">
        <f>SUM(H1108+#REF!+#REF!)</f>
        <v>#REF!</v>
      </c>
      <c r="I1107" s="20" t="e">
        <f t="shared" si="31"/>
        <v>#REF!</v>
      </c>
    </row>
    <row r="1108" spans="1:9" ht="19.5" customHeight="1" hidden="1">
      <c r="A1108" s="105" t="s">
        <v>880</v>
      </c>
      <c r="B1108" s="159"/>
      <c r="C1108" s="159" t="s">
        <v>614</v>
      </c>
      <c r="D1108" s="159" t="s">
        <v>614</v>
      </c>
      <c r="E1108" s="159" t="s">
        <v>881</v>
      </c>
      <c r="F1108" s="157"/>
      <c r="G1108" s="91">
        <f>SUM(G1109,G1112)</f>
        <v>0</v>
      </c>
      <c r="H1108" s="20" t="e">
        <f>SUM(H1109:H1115)</f>
        <v>#REF!</v>
      </c>
      <c r="I1108" s="20" t="e">
        <f t="shared" si="31"/>
        <v>#REF!</v>
      </c>
    </row>
    <row r="1109" spans="1:9" ht="19.5" customHeight="1" hidden="1">
      <c r="A1109" s="108" t="s">
        <v>483</v>
      </c>
      <c r="B1109" s="159"/>
      <c r="C1109" s="159" t="s">
        <v>614</v>
      </c>
      <c r="D1109" s="159" t="s">
        <v>614</v>
      </c>
      <c r="E1109" s="159" t="s">
        <v>881</v>
      </c>
      <c r="F1109" s="157" t="s">
        <v>933</v>
      </c>
      <c r="G1109" s="91">
        <f>1393.8-1393.8</f>
        <v>0</v>
      </c>
      <c r="H1109" s="20">
        <v>341.9</v>
      </c>
      <c r="I1109" s="20" t="e">
        <f t="shared" si="31"/>
        <v>#DIV/0!</v>
      </c>
    </row>
    <row r="1110" spans="1:9" ht="33" customHeight="1" hidden="1">
      <c r="A1110" s="105" t="s">
        <v>417</v>
      </c>
      <c r="B1110" s="159"/>
      <c r="C1110" s="159" t="s">
        <v>614</v>
      </c>
      <c r="D1110" s="159" t="s">
        <v>614</v>
      </c>
      <c r="E1110" s="159" t="s">
        <v>834</v>
      </c>
      <c r="F1110" s="157"/>
      <c r="G1110" s="91">
        <f>SUM(G1111)</f>
        <v>0</v>
      </c>
      <c r="H1110" s="20" t="e">
        <f>SUM(H1111:H1132)</f>
        <v>#REF!</v>
      </c>
      <c r="I1110" s="20" t="e">
        <f t="shared" si="31"/>
        <v>#REF!</v>
      </c>
    </row>
    <row r="1111" spans="1:9" ht="18.75" customHeight="1" hidden="1">
      <c r="A1111" s="108" t="s">
        <v>483</v>
      </c>
      <c r="B1111" s="159"/>
      <c r="C1111" s="159" t="s">
        <v>614</v>
      </c>
      <c r="D1111" s="159" t="s">
        <v>614</v>
      </c>
      <c r="E1111" s="159" t="s">
        <v>834</v>
      </c>
      <c r="F1111" s="157" t="s">
        <v>933</v>
      </c>
      <c r="G1111" s="91"/>
      <c r="H1111" s="20">
        <v>341.9</v>
      </c>
      <c r="I1111" s="20" t="e">
        <f t="shared" si="31"/>
        <v>#DIV/0!</v>
      </c>
    </row>
    <row r="1112" spans="1:9" ht="42.75" customHeight="1" hidden="1">
      <c r="A1112" s="108" t="s">
        <v>883</v>
      </c>
      <c r="B1112" s="159"/>
      <c r="C1112" s="159" t="s">
        <v>614</v>
      </c>
      <c r="D1112" s="159" t="s">
        <v>614</v>
      </c>
      <c r="E1112" s="159" t="s">
        <v>884</v>
      </c>
      <c r="F1112" s="157"/>
      <c r="G1112" s="91">
        <f>SUM(G1113)</f>
        <v>0</v>
      </c>
      <c r="H1112" s="20"/>
      <c r="I1112" s="20"/>
    </row>
    <row r="1113" spans="1:9" ht="19.5" customHeight="1" hidden="1">
      <c r="A1113" s="108" t="s">
        <v>932</v>
      </c>
      <c r="B1113" s="159"/>
      <c r="C1113" s="159" t="s">
        <v>614</v>
      </c>
      <c r="D1113" s="159" t="s">
        <v>614</v>
      </c>
      <c r="E1113" s="159" t="s">
        <v>884</v>
      </c>
      <c r="F1113" s="157" t="s">
        <v>933</v>
      </c>
      <c r="G1113" s="91"/>
      <c r="H1113" s="20"/>
      <c r="I1113" s="20"/>
    </row>
    <row r="1114" spans="1:9" ht="30.75" customHeight="1" hidden="1">
      <c r="A1114" s="106" t="s">
        <v>482</v>
      </c>
      <c r="B1114" s="159"/>
      <c r="C1114" s="159" t="s">
        <v>614</v>
      </c>
      <c r="D1114" s="159" t="s">
        <v>614</v>
      </c>
      <c r="E1114" s="159" t="s">
        <v>885</v>
      </c>
      <c r="F1114" s="157"/>
      <c r="G1114" s="91">
        <f>SUM(G1115)</f>
        <v>0</v>
      </c>
      <c r="H1114" s="20">
        <f>SUM(H1115)</f>
        <v>1026.3</v>
      </c>
      <c r="I1114" s="20" t="e">
        <f aca="true" t="shared" si="32" ref="I1114:I1120">SUM(H1114/G1114*100)</f>
        <v>#DIV/0!</v>
      </c>
    </row>
    <row r="1115" spans="1:9" ht="18" customHeight="1" hidden="1">
      <c r="A1115" s="108" t="s">
        <v>483</v>
      </c>
      <c r="B1115" s="159"/>
      <c r="C1115" s="159" t="s">
        <v>614</v>
      </c>
      <c r="D1115" s="159" t="s">
        <v>614</v>
      </c>
      <c r="E1115" s="159" t="s">
        <v>885</v>
      </c>
      <c r="F1115" s="157" t="s">
        <v>933</v>
      </c>
      <c r="G1115" s="91"/>
      <c r="H1115" s="20">
        <v>1026.3</v>
      </c>
      <c r="I1115" s="20" t="e">
        <f t="shared" si="32"/>
        <v>#DIV/0!</v>
      </c>
    </row>
    <row r="1116" spans="1:9" ht="15" hidden="1">
      <c r="A1116" s="133" t="s">
        <v>886</v>
      </c>
      <c r="B1116" s="155"/>
      <c r="C1116" s="155" t="s">
        <v>614</v>
      </c>
      <c r="D1116" s="155" t="s">
        <v>614</v>
      </c>
      <c r="E1116" s="155" t="s">
        <v>617</v>
      </c>
      <c r="F1116" s="156"/>
      <c r="G1116" s="91">
        <f>SUM(G1117)</f>
        <v>0</v>
      </c>
      <c r="H1116" s="20">
        <f>SUM(H1118+H1120+H1122)</f>
        <v>2757.3</v>
      </c>
      <c r="I1116" s="20" t="e">
        <f t="shared" si="32"/>
        <v>#DIV/0!</v>
      </c>
    </row>
    <row r="1117" spans="1:9" ht="28.5" hidden="1">
      <c r="A1117" s="110" t="s">
        <v>580</v>
      </c>
      <c r="B1117" s="159"/>
      <c r="C1117" s="159" t="s">
        <v>614</v>
      </c>
      <c r="D1117" s="159" t="s">
        <v>614</v>
      </c>
      <c r="E1117" s="159" t="s">
        <v>581</v>
      </c>
      <c r="F1117" s="157"/>
      <c r="G1117" s="91">
        <f>SUM(G1118)</f>
        <v>0</v>
      </c>
      <c r="H1117" s="20">
        <f>SUM(H1118)</f>
        <v>2757.3</v>
      </c>
      <c r="I1117" s="20" t="e">
        <f t="shared" si="32"/>
        <v>#DIV/0!</v>
      </c>
    </row>
    <row r="1118" spans="1:9" ht="55.5" customHeight="1" hidden="1">
      <c r="A1118" s="110" t="s">
        <v>582</v>
      </c>
      <c r="B1118" s="159"/>
      <c r="C1118" s="159" t="s">
        <v>614</v>
      </c>
      <c r="D1118" s="159" t="s">
        <v>614</v>
      </c>
      <c r="E1118" s="159" t="s">
        <v>583</v>
      </c>
      <c r="F1118" s="157"/>
      <c r="G1118" s="91">
        <f>SUM(G1119)</f>
        <v>0</v>
      </c>
      <c r="H1118" s="20">
        <v>2757.3</v>
      </c>
      <c r="I1118" s="20" t="e">
        <f t="shared" si="32"/>
        <v>#DIV/0!</v>
      </c>
    </row>
    <row r="1119" spans="1:9" ht="22.5" customHeight="1" hidden="1">
      <c r="A1119" s="106" t="s">
        <v>598</v>
      </c>
      <c r="B1119" s="159"/>
      <c r="C1119" s="159" t="s">
        <v>614</v>
      </c>
      <c r="D1119" s="159" t="s">
        <v>614</v>
      </c>
      <c r="E1119" s="159" t="s">
        <v>583</v>
      </c>
      <c r="F1119" s="157" t="s">
        <v>599</v>
      </c>
      <c r="G1119" s="91"/>
      <c r="H1119" s="20">
        <f>SUM(H1120)</f>
        <v>0</v>
      </c>
      <c r="I1119" s="20" t="e">
        <f t="shared" si="32"/>
        <v>#DIV/0!</v>
      </c>
    </row>
    <row r="1120" spans="1:9" ht="18.75" customHeight="1" hidden="1">
      <c r="A1120" s="106" t="s">
        <v>340</v>
      </c>
      <c r="B1120" s="120"/>
      <c r="C1120" s="159" t="s">
        <v>614</v>
      </c>
      <c r="D1120" s="159" t="s">
        <v>614</v>
      </c>
      <c r="E1120" s="159" t="s">
        <v>341</v>
      </c>
      <c r="F1120" s="158"/>
      <c r="G1120" s="91">
        <f>SUM(G1121)</f>
        <v>0</v>
      </c>
      <c r="H1120" s="20">
        <f>SUM(H1121)</f>
        <v>0</v>
      </c>
      <c r="I1120" s="20" t="e">
        <f t="shared" si="32"/>
        <v>#DIV/0!</v>
      </c>
    </row>
    <row r="1121" spans="1:9" ht="39.75" customHeight="1" hidden="1">
      <c r="A1121" s="140" t="s">
        <v>835</v>
      </c>
      <c r="B1121" s="171"/>
      <c r="C1121" s="171" t="s">
        <v>614</v>
      </c>
      <c r="D1121" s="171" t="s">
        <v>614</v>
      </c>
      <c r="E1121" s="171" t="s">
        <v>836</v>
      </c>
      <c r="F1121" s="161"/>
      <c r="G1121" s="92">
        <f>SUM(G1122)</f>
        <v>0</v>
      </c>
      <c r="H1121" s="20"/>
      <c r="I1121" s="20"/>
    </row>
    <row r="1122" spans="1:9" ht="18" customHeight="1" hidden="1">
      <c r="A1122" s="140" t="s">
        <v>876</v>
      </c>
      <c r="B1122" s="171"/>
      <c r="C1122" s="171" t="s">
        <v>614</v>
      </c>
      <c r="D1122" s="171" t="s">
        <v>614</v>
      </c>
      <c r="E1122" s="171" t="s">
        <v>836</v>
      </c>
      <c r="F1122" s="161" t="s">
        <v>877</v>
      </c>
      <c r="G1122" s="92"/>
      <c r="H1122" s="20"/>
      <c r="I1122" s="20"/>
    </row>
    <row r="1123" spans="1:9" ht="15" hidden="1">
      <c r="A1123" s="108" t="s">
        <v>634</v>
      </c>
      <c r="B1123" s="188"/>
      <c r="C1123" s="159" t="s">
        <v>614</v>
      </c>
      <c r="D1123" s="159" t="s">
        <v>614</v>
      </c>
      <c r="E1123" s="159" t="s">
        <v>635</v>
      </c>
      <c r="F1123" s="158"/>
      <c r="G1123" s="91">
        <f>SUM(G1128)+G1124+G1126</f>
        <v>0</v>
      </c>
      <c r="H1123" s="20" t="e">
        <f>SUM(#REF!)</f>
        <v>#REF!</v>
      </c>
      <c r="I1123" s="20" t="e">
        <f>SUM(H1123/G1123*100)</f>
        <v>#REF!</v>
      </c>
    </row>
    <row r="1124" spans="1:9" ht="47.25" customHeight="1" hidden="1">
      <c r="A1124" s="109" t="s">
        <v>821</v>
      </c>
      <c r="B1124" s="188"/>
      <c r="C1124" s="159" t="s">
        <v>614</v>
      </c>
      <c r="D1124" s="159" t="s">
        <v>614</v>
      </c>
      <c r="E1124" s="159" t="s">
        <v>1037</v>
      </c>
      <c r="F1124" s="158"/>
      <c r="G1124" s="91">
        <f>SUM(G1128)+G1125</f>
        <v>0</v>
      </c>
      <c r="H1124" s="20"/>
      <c r="I1124" s="20"/>
    </row>
    <row r="1125" spans="1:9" ht="22.5" customHeight="1" hidden="1">
      <c r="A1125" s="108" t="s">
        <v>483</v>
      </c>
      <c r="B1125" s="188"/>
      <c r="C1125" s="159" t="s">
        <v>614</v>
      </c>
      <c r="D1125" s="159" t="s">
        <v>614</v>
      </c>
      <c r="E1125" s="159" t="s">
        <v>1037</v>
      </c>
      <c r="F1125" s="158" t="s">
        <v>933</v>
      </c>
      <c r="G1125" s="91"/>
      <c r="H1125" s="20"/>
      <c r="I1125" s="20"/>
    </row>
    <row r="1126" spans="1:9" ht="22.5" customHeight="1" hidden="1">
      <c r="A1126" s="108" t="s">
        <v>292</v>
      </c>
      <c r="B1126" s="188"/>
      <c r="C1126" s="159" t="s">
        <v>614</v>
      </c>
      <c r="D1126" s="159" t="s">
        <v>614</v>
      </c>
      <c r="E1126" s="159" t="s">
        <v>590</v>
      </c>
      <c r="F1126" s="158"/>
      <c r="G1126" s="91">
        <f>SUM(G1127)</f>
        <v>0</v>
      </c>
      <c r="H1126" s="20"/>
      <c r="I1126" s="20"/>
    </row>
    <row r="1127" spans="1:9" ht="22.5" customHeight="1" hidden="1">
      <c r="A1127" s="108" t="s">
        <v>876</v>
      </c>
      <c r="B1127" s="188"/>
      <c r="C1127" s="159" t="s">
        <v>614</v>
      </c>
      <c r="D1127" s="159" t="s">
        <v>614</v>
      </c>
      <c r="E1127" s="159" t="s">
        <v>590</v>
      </c>
      <c r="F1127" s="158" t="s">
        <v>877</v>
      </c>
      <c r="G1127" s="91"/>
      <c r="H1127" s="20"/>
      <c r="I1127" s="20"/>
    </row>
    <row r="1128" spans="1:9" ht="42.75" hidden="1">
      <c r="A1128" s="109" t="s">
        <v>106</v>
      </c>
      <c r="B1128" s="188"/>
      <c r="C1128" s="159" t="s">
        <v>614</v>
      </c>
      <c r="D1128" s="159" t="s">
        <v>614</v>
      </c>
      <c r="E1128" s="159" t="s">
        <v>105</v>
      </c>
      <c r="F1128" s="158"/>
      <c r="G1128" s="91">
        <f>SUM(G1129:G1130)</f>
        <v>0</v>
      </c>
      <c r="H1128" s="20"/>
      <c r="I1128" s="20"/>
    </row>
    <row r="1129" spans="1:9" ht="22.5" customHeight="1" hidden="1">
      <c r="A1129" s="108" t="s">
        <v>876</v>
      </c>
      <c r="B1129" s="188"/>
      <c r="C1129" s="159" t="s">
        <v>614</v>
      </c>
      <c r="D1129" s="159" t="s">
        <v>614</v>
      </c>
      <c r="E1129" s="159" t="s">
        <v>105</v>
      </c>
      <c r="F1129" s="158" t="s">
        <v>877</v>
      </c>
      <c r="G1129" s="91"/>
      <c r="H1129" s="20"/>
      <c r="I1129" s="20"/>
    </row>
    <row r="1130" spans="1:9" ht="22.5" customHeight="1" hidden="1">
      <c r="A1130" s="108" t="s">
        <v>666</v>
      </c>
      <c r="B1130" s="188"/>
      <c r="C1130" s="159" t="s">
        <v>614</v>
      </c>
      <c r="D1130" s="159" t="s">
        <v>614</v>
      </c>
      <c r="E1130" s="159" t="s">
        <v>105</v>
      </c>
      <c r="F1130" s="158" t="s">
        <v>566</v>
      </c>
      <c r="G1130" s="91"/>
      <c r="H1130" s="20"/>
      <c r="I1130" s="20"/>
    </row>
    <row r="1131" spans="1:9" ht="15" hidden="1">
      <c r="A1131" s="108" t="s">
        <v>893</v>
      </c>
      <c r="B1131" s="159"/>
      <c r="C1131" s="159" t="s">
        <v>614</v>
      </c>
      <c r="D1131" s="159" t="s">
        <v>1</v>
      </c>
      <c r="E1131" s="159"/>
      <c r="F1131" s="157"/>
      <c r="G1131" s="91">
        <f>SUM(G1132)</f>
        <v>0</v>
      </c>
      <c r="H1131" s="20"/>
      <c r="I1131" s="20"/>
    </row>
    <row r="1132" spans="1:9" ht="13.5" customHeight="1" hidden="1">
      <c r="A1132" s="108" t="s">
        <v>634</v>
      </c>
      <c r="B1132" s="188"/>
      <c r="C1132" s="159" t="s">
        <v>614</v>
      </c>
      <c r="D1132" s="159" t="s">
        <v>1</v>
      </c>
      <c r="E1132" s="159" t="s">
        <v>635</v>
      </c>
      <c r="F1132" s="158"/>
      <c r="G1132" s="91">
        <f>SUM(G1133,G1135,G1136,G1137)+G1139</f>
        <v>0</v>
      </c>
      <c r="H1132" s="20" t="e">
        <f>SUM(#REF!)</f>
        <v>#REF!</v>
      </c>
      <c r="I1132" s="20" t="e">
        <f>SUM(H1132/G1132*100)</f>
        <v>#REF!</v>
      </c>
    </row>
    <row r="1133" spans="1:9" ht="42.75" hidden="1">
      <c r="A1133" s="109" t="s">
        <v>682</v>
      </c>
      <c r="B1133" s="188"/>
      <c r="C1133" s="159" t="s">
        <v>614</v>
      </c>
      <c r="D1133" s="159" t="s">
        <v>1</v>
      </c>
      <c r="E1133" s="159" t="s">
        <v>97</v>
      </c>
      <c r="F1133" s="158"/>
      <c r="G1133" s="91">
        <f>SUM(G1134)</f>
        <v>0</v>
      </c>
      <c r="H1133" s="20"/>
      <c r="I1133" s="20"/>
    </row>
    <row r="1134" spans="1:9" ht="22.5" customHeight="1" hidden="1">
      <c r="A1134" s="108" t="s">
        <v>876</v>
      </c>
      <c r="B1134" s="188"/>
      <c r="C1134" s="159" t="s">
        <v>614</v>
      </c>
      <c r="D1134" s="159" t="s">
        <v>1</v>
      </c>
      <c r="E1134" s="159" t="s">
        <v>97</v>
      </c>
      <c r="F1134" s="158" t="s">
        <v>877</v>
      </c>
      <c r="G1134" s="91"/>
      <c r="H1134" s="20"/>
      <c r="I1134" s="20"/>
    </row>
    <row r="1135" spans="1:9" ht="19.5" customHeight="1" hidden="1">
      <c r="A1135" s="108" t="s">
        <v>99</v>
      </c>
      <c r="B1135" s="188"/>
      <c r="C1135" s="159" t="s">
        <v>614</v>
      </c>
      <c r="D1135" s="159" t="s">
        <v>1</v>
      </c>
      <c r="E1135" s="159" t="s">
        <v>100</v>
      </c>
      <c r="F1135" s="158"/>
      <c r="G1135" s="91"/>
      <c r="H1135" s="20"/>
      <c r="I1135" s="20"/>
    </row>
    <row r="1136" spans="1:9" ht="19.5" customHeight="1" hidden="1">
      <c r="A1136" s="108" t="s">
        <v>101</v>
      </c>
      <c r="B1136" s="188"/>
      <c r="C1136" s="159" t="s">
        <v>614</v>
      </c>
      <c r="D1136" s="159" t="s">
        <v>1</v>
      </c>
      <c r="E1136" s="159" t="s">
        <v>102</v>
      </c>
      <c r="F1136" s="158"/>
      <c r="G1136" s="91"/>
      <c r="H1136" s="20"/>
      <c r="I1136" s="20"/>
    </row>
    <row r="1137" spans="1:9" ht="20.25" customHeight="1" hidden="1">
      <c r="A1137" s="108" t="s">
        <v>591</v>
      </c>
      <c r="B1137" s="188"/>
      <c r="C1137" s="159" t="s">
        <v>614</v>
      </c>
      <c r="D1137" s="159" t="s">
        <v>1</v>
      </c>
      <c r="E1137" s="159" t="s">
        <v>590</v>
      </c>
      <c r="F1137" s="158"/>
      <c r="G1137" s="91">
        <f>SUM(G1138)</f>
        <v>0</v>
      </c>
      <c r="H1137" s="20"/>
      <c r="I1137" s="20"/>
    </row>
    <row r="1138" spans="1:9" ht="18" customHeight="1" hidden="1">
      <c r="A1138" s="108" t="s">
        <v>876</v>
      </c>
      <c r="B1138" s="188"/>
      <c r="C1138" s="159" t="s">
        <v>614</v>
      </c>
      <c r="D1138" s="159" t="s">
        <v>1</v>
      </c>
      <c r="E1138" s="159" t="s">
        <v>590</v>
      </c>
      <c r="F1138" s="158" t="s">
        <v>877</v>
      </c>
      <c r="G1138" s="91"/>
      <c r="H1138" s="20"/>
      <c r="I1138" s="20"/>
    </row>
    <row r="1139" spans="1:9" ht="42.75" hidden="1">
      <c r="A1139" s="108" t="s">
        <v>156</v>
      </c>
      <c r="B1139" s="188"/>
      <c r="C1139" s="159" t="s">
        <v>614</v>
      </c>
      <c r="D1139" s="159" t="s">
        <v>1</v>
      </c>
      <c r="E1139" s="159" t="s">
        <v>157</v>
      </c>
      <c r="F1139" s="158"/>
      <c r="G1139" s="91">
        <f>SUM(G1140)</f>
        <v>0</v>
      </c>
      <c r="H1139" s="20"/>
      <c r="I1139" s="20"/>
    </row>
    <row r="1140" spans="1:9" ht="19.5" customHeight="1" hidden="1">
      <c r="A1140" s="108" t="s">
        <v>711</v>
      </c>
      <c r="B1140" s="120"/>
      <c r="C1140" s="159" t="s">
        <v>614</v>
      </c>
      <c r="D1140" s="159" t="s">
        <v>1</v>
      </c>
      <c r="E1140" s="159" t="s">
        <v>157</v>
      </c>
      <c r="F1140" s="158" t="s">
        <v>566</v>
      </c>
      <c r="G1140" s="91"/>
      <c r="H1140" s="20"/>
      <c r="I1140" s="20"/>
    </row>
    <row r="1141" spans="1:9" s="116" customFormat="1" ht="18.75" customHeight="1">
      <c r="A1141" s="128" t="s">
        <v>925</v>
      </c>
      <c r="B1141" s="183"/>
      <c r="C1141" s="171" t="s">
        <v>166</v>
      </c>
      <c r="D1141" s="171"/>
      <c r="E1141" s="171"/>
      <c r="F1141" s="161"/>
      <c r="G1141" s="92">
        <f>SUM(G1142+G1158+G1154)</f>
        <v>12045</v>
      </c>
      <c r="H1141" s="27" t="e">
        <f>SUM(H1142+#REF!+H1181+H1186+H1196+H1227)</f>
        <v>#REF!</v>
      </c>
      <c r="I1141" s="27" t="e">
        <f>SUM(H1141/G1141*100)</f>
        <v>#REF!</v>
      </c>
    </row>
    <row r="1142" spans="1:9" ht="16.5" customHeight="1">
      <c r="A1142" s="106" t="s">
        <v>906</v>
      </c>
      <c r="B1142" s="155"/>
      <c r="C1142" s="155" t="s">
        <v>166</v>
      </c>
      <c r="D1142" s="155" t="s">
        <v>237</v>
      </c>
      <c r="E1142" s="155"/>
      <c r="F1142" s="156"/>
      <c r="G1142" s="91">
        <f>SUM(G1143,G1145,G1148)</f>
        <v>9045</v>
      </c>
      <c r="H1142" s="20">
        <f>SUM(H1145+H1158+H1143)</f>
        <v>1344.5</v>
      </c>
      <c r="I1142" s="20">
        <f>SUM(H1142/G1142*100)</f>
        <v>14.86456605859591</v>
      </c>
    </row>
    <row r="1143" spans="1:9" ht="19.5" customHeight="1" hidden="1">
      <c r="A1143" s="108" t="s">
        <v>128</v>
      </c>
      <c r="B1143" s="155"/>
      <c r="C1143" s="155" t="s">
        <v>1</v>
      </c>
      <c r="D1143" s="155" t="s">
        <v>627</v>
      </c>
      <c r="E1143" s="159" t="s">
        <v>129</v>
      </c>
      <c r="F1143" s="157"/>
      <c r="G1143" s="91">
        <f>SUM(G1144)</f>
        <v>0</v>
      </c>
      <c r="H1143" s="20">
        <f>SUM(H1144)</f>
        <v>79.5</v>
      </c>
      <c r="I1143" s="20"/>
    </row>
    <row r="1144" spans="1:9" ht="19.5" customHeight="1" hidden="1">
      <c r="A1144" s="106" t="s">
        <v>598</v>
      </c>
      <c r="B1144" s="155"/>
      <c r="C1144" s="155" t="s">
        <v>1</v>
      </c>
      <c r="D1144" s="155" t="s">
        <v>627</v>
      </c>
      <c r="E1144" s="159" t="s">
        <v>129</v>
      </c>
      <c r="F1144" s="157" t="s">
        <v>599</v>
      </c>
      <c r="G1144" s="91">
        <f>50.3-50.3</f>
        <v>0</v>
      </c>
      <c r="H1144" s="20">
        <v>79.5</v>
      </c>
      <c r="I1144" s="20"/>
    </row>
    <row r="1145" spans="1:9" ht="28.5">
      <c r="A1145" s="106" t="s">
        <v>311</v>
      </c>
      <c r="B1145" s="155"/>
      <c r="C1145" s="155" t="s">
        <v>166</v>
      </c>
      <c r="D1145" s="155" t="s">
        <v>237</v>
      </c>
      <c r="E1145" s="155" t="s">
        <v>312</v>
      </c>
      <c r="F1145" s="157"/>
      <c r="G1145" s="91">
        <f>SUM(G1146)</f>
        <v>3732.2</v>
      </c>
      <c r="H1145" s="20">
        <f>SUM(H1146)</f>
        <v>1265</v>
      </c>
      <c r="I1145" s="20">
        <f>SUM(H1145/G1145*100)</f>
        <v>33.894217887573014</v>
      </c>
    </row>
    <row r="1146" spans="1:9" ht="34.5" customHeight="1">
      <c r="A1146" s="106" t="s">
        <v>482</v>
      </c>
      <c r="B1146" s="155"/>
      <c r="C1146" s="155" t="s">
        <v>166</v>
      </c>
      <c r="D1146" s="155" t="s">
        <v>237</v>
      </c>
      <c r="E1146" s="155" t="s">
        <v>391</v>
      </c>
      <c r="F1146" s="157"/>
      <c r="G1146" s="91">
        <f>SUM(G1147)</f>
        <v>3732.2</v>
      </c>
      <c r="H1146" s="20">
        <f>SUM(H1147)</f>
        <v>1265</v>
      </c>
      <c r="I1146" s="20">
        <f>SUM(H1146/G1146*100)</f>
        <v>33.894217887573014</v>
      </c>
    </row>
    <row r="1147" spans="1:9" ht="19.5" customHeight="1">
      <c r="A1147" s="108" t="s">
        <v>483</v>
      </c>
      <c r="B1147" s="155"/>
      <c r="C1147" s="155" t="s">
        <v>166</v>
      </c>
      <c r="D1147" s="155" t="s">
        <v>237</v>
      </c>
      <c r="E1147" s="155" t="s">
        <v>391</v>
      </c>
      <c r="F1147" s="156" t="s">
        <v>933</v>
      </c>
      <c r="G1147" s="91">
        <v>3732.2</v>
      </c>
      <c r="H1147" s="20">
        <v>1265</v>
      </c>
      <c r="I1147" s="20">
        <f>SUM(H1147/G1147*100)</f>
        <v>33.894217887573014</v>
      </c>
    </row>
    <row r="1148" spans="1:9" ht="23.25" customHeight="1">
      <c r="A1148" s="108" t="s">
        <v>634</v>
      </c>
      <c r="B1148" s="155"/>
      <c r="C1148" s="155" t="s">
        <v>166</v>
      </c>
      <c r="D1148" s="155" t="s">
        <v>237</v>
      </c>
      <c r="E1148" s="175" t="s">
        <v>635</v>
      </c>
      <c r="F1148" s="156"/>
      <c r="G1148" s="91">
        <f>SUM(G1149)+G1152</f>
        <v>5312.799999999999</v>
      </c>
      <c r="H1148" s="20"/>
      <c r="I1148" s="20"/>
    </row>
    <row r="1149" spans="1:9" ht="28.5">
      <c r="A1149" s="106" t="s">
        <v>6</v>
      </c>
      <c r="B1149" s="155"/>
      <c r="C1149" s="155" t="s">
        <v>166</v>
      </c>
      <c r="D1149" s="155" t="s">
        <v>237</v>
      </c>
      <c r="E1149" s="175" t="s">
        <v>592</v>
      </c>
      <c r="F1149" s="156"/>
      <c r="G1149" s="91">
        <f>SUM(G1150:G1151)</f>
        <v>4742.9</v>
      </c>
      <c r="H1149" s="20"/>
      <c r="I1149" s="20"/>
    </row>
    <row r="1150" spans="1:9" ht="39" customHeight="1">
      <c r="A1150" s="106" t="s">
        <v>545</v>
      </c>
      <c r="B1150" s="155"/>
      <c r="C1150" s="155" t="s">
        <v>166</v>
      </c>
      <c r="D1150" s="155" t="s">
        <v>237</v>
      </c>
      <c r="E1150" s="175" t="s">
        <v>592</v>
      </c>
      <c r="F1150" s="156" t="s">
        <v>1009</v>
      </c>
      <c r="G1150" s="91">
        <v>4742.9</v>
      </c>
      <c r="H1150" s="20"/>
      <c r="I1150" s="20"/>
    </row>
    <row r="1151" spans="1:9" ht="19.5" customHeight="1" hidden="1">
      <c r="A1151" s="108" t="s">
        <v>666</v>
      </c>
      <c r="B1151" s="155"/>
      <c r="C1151" s="155" t="s">
        <v>166</v>
      </c>
      <c r="D1151" s="155" t="s">
        <v>237</v>
      </c>
      <c r="E1151" s="175" t="s">
        <v>592</v>
      </c>
      <c r="F1151" s="156" t="s">
        <v>566</v>
      </c>
      <c r="G1151" s="91"/>
      <c r="H1151" s="20"/>
      <c r="I1151" s="20"/>
    </row>
    <row r="1152" spans="1:9" ht="40.5" customHeight="1">
      <c r="A1152" s="106" t="s">
        <v>681</v>
      </c>
      <c r="B1152" s="155"/>
      <c r="C1152" s="155" t="s">
        <v>166</v>
      </c>
      <c r="D1152" s="155" t="s">
        <v>237</v>
      </c>
      <c r="E1152" s="175" t="s">
        <v>157</v>
      </c>
      <c r="F1152" s="156"/>
      <c r="G1152" s="91">
        <f>SUM(G1153)</f>
        <v>569.9</v>
      </c>
      <c r="H1152" s="20"/>
      <c r="I1152" s="20"/>
    </row>
    <row r="1153" spans="1:9" ht="23.25" customHeight="1">
      <c r="A1153" s="108" t="s">
        <v>666</v>
      </c>
      <c r="B1153" s="155"/>
      <c r="C1153" s="155" t="s">
        <v>166</v>
      </c>
      <c r="D1153" s="155" t="s">
        <v>237</v>
      </c>
      <c r="E1153" s="175" t="s">
        <v>157</v>
      </c>
      <c r="F1153" s="156" t="s">
        <v>566</v>
      </c>
      <c r="G1153" s="91">
        <v>569.9</v>
      </c>
      <c r="H1153" s="20"/>
      <c r="I1153" s="20"/>
    </row>
    <row r="1154" spans="1:9" ht="15">
      <c r="A1154" s="106" t="s">
        <v>708</v>
      </c>
      <c r="B1154" s="155"/>
      <c r="C1154" s="155" t="s">
        <v>166</v>
      </c>
      <c r="D1154" s="155" t="s">
        <v>239</v>
      </c>
      <c r="E1154" s="159"/>
      <c r="F1154" s="157"/>
      <c r="G1154" s="91">
        <f>SUM(G1155)</f>
        <v>3000</v>
      </c>
      <c r="H1154" s="20"/>
      <c r="I1154" s="20"/>
    </row>
    <row r="1155" spans="1:9" ht="18.75" customHeight="1">
      <c r="A1155" s="106" t="s">
        <v>340</v>
      </c>
      <c r="B1155" s="155"/>
      <c r="C1155" s="155" t="s">
        <v>166</v>
      </c>
      <c r="D1155" s="155" t="s">
        <v>239</v>
      </c>
      <c r="E1155" s="155" t="s">
        <v>341</v>
      </c>
      <c r="F1155" s="157"/>
      <c r="G1155" s="91">
        <f>SUM(G1156)</f>
        <v>3000</v>
      </c>
      <c r="H1155" s="81"/>
      <c r="I1155" s="20"/>
    </row>
    <row r="1156" spans="1:9" ht="33" customHeight="1">
      <c r="A1156" s="106" t="s">
        <v>709</v>
      </c>
      <c r="B1156" s="155"/>
      <c r="C1156" s="155" t="s">
        <v>166</v>
      </c>
      <c r="D1156" s="155" t="s">
        <v>239</v>
      </c>
      <c r="E1156" s="155" t="s">
        <v>1006</v>
      </c>
      <c r="F1156" s="157"/>
      <c r="G1156" s="91">
        <f>SUM(G1157)</f>
        <v>3000</v>
      </c>
      <c r="H1156" s="81"/>
      <c r="I1156" s="20"/>
    </row>
    <row r="1157" spans="1:9" ht="22.5" customHeight="1">
      <c r="A1157" s="108" t="s">
        <v>666</v>
      </c>
      <c r="B1157" s="155"/>
      <c r="C1157" s="155" t="s">
        <v>166</v>
      </c>
      <c r="D1157" s="155" t="s">
        <v>239</v>
      </c>
      <c r="E1157" s="155" t="s">
        <v>1006</v>
      </c>
      <c r="F1157" s="156" t="s">
        <v>566</v>
      </c>
      <c r="G1157" s="91">
        <v>3000</v>
      </c>
      <c r="H1157" s="81"/>
      <c r="I1157" s="20"/>
    </row>
    <row r="1158" spans="1:9" ht="15" hidden="1">
      <c r="A1158" s="106" t="s">
        <v>907</v>
      </c>
      <c r="B1158" s="155"/>
      <c r="C1158" s="155" t="s">
        <v>166</v>
      </c>
      <c r="D1158" s="155" t="s">
        <v>638</v>
      </c>
      <c r="E1158" s="159"/>
      <c r="F1158" s="157"/>
      <c r="G1158" s="91">
        <f>SUM(G1159+G1165+G1167)+G1162</f>
        <v>0</v>
      </c>
      <c r="H1158" s="20"/>
      <c r="I1158" s="20"/>
    </row>
    <row r="1159" spans="1:9" ht="37.5" customHeight="1" hidden="1">
      <c r="A1159" s="106" t="s">
        <v>594</v>
      </c>
      <c r="B1159" s="155"/>
      <c r="C1159" s="155" t="s">
        <v>166</v>
      </c>
      <c r="D1159" s="155" t="s">
        <v>638</v>
      </c>
      <c r="E1159" s="155" t="s">
        <v>595</v>
      </c>
      <c r="F1159" s="157"/>
      <c r="G1159" s="91">
        <f>SUM(G1160)</f>
        <v>0</v>
      </c>
      <c r="H1159" s="81"/>
      <c r="I1159" s="20"/>
    </row>
    <row r="1160" spans="1:9" ht="20.25" customHeight="1" hidden="1">
      <c r="A1160" s="106" t="s">
        <v>602</v>
      </c>
      <c r="B1160" s="155"/>
      <c r="C1160" s="155" t="s">
        <v>166</v>
      </c>
      <c r="D1160" s="155" t="s">
        <v>638</v>
      </c>
      <c r="E1160" s="155" t="s">
        <v>604</v>
      </c>
      <c r="F1160" s="157"/>
      <c r="G1160" s="91">
        <f>SUM(G1161)</f>
        <v>0</v>
      </c>
      <c r="H1160" s="81"/>
      <c r="I1160" s="20"/>
    </row>
    <row r="1161" spans="1:9" ht="22.5" customHeight="1" hidden="1">
      <c r="A1161" s="106" t="s">
        <v>598</v>
      </c>
      <c r="B1161" s="155"/>
      <c r="C1161" s="155" t="s">
        <v>166</v>
      </c>
      <c r="D1161" s="155" t="s">
        <v>638</v>
      </c>
      <c r="E1161" s="155" t="s">
        <v>604</v>
      </c>
      <c r="F1161" s="156" t="s">
        <v>599</v>
      </c>
      <c r="G1161" s="91"/>
      <c r="H1161" s="81"/>
      <c r="I1161" s="20"/>
    </row>
    <row r="1162" spans="1:9" ht="21.75" customHeight="1" hidden="1">
      <c r="A1162" s="108" t="s">
        <v>634</v>
      </c>
      <c r="B1162" s="155"/>
      <c r="C1162" s="155" t="s">
        <v>166</v>
      </c>
      <c r="D1162" s="155" t="s">
        <v>638</v>
      </c>
      <c r="E1162" s="175" t="s">
        <v>635</v>
      </c>
      <c r="F1162" s="156"/>
      <c r="G1162" s="91">
        <f>SUM(G1163)</f>
        <v>0</v>
      </c>
      <c r="H1162" s="81"/>
      <c r="I1162" s="20"/>
    </row>
    <row r="1163" spans="1:9" ht="43.5" customHeight="1" hidden="1">
      <c r="A1163" s="109" t="s">
        <v>821</v>
      </c>
      <c r="B1163" s="155"/>
      <c r="C1163" s="155" t="s">
        <v>166</v>
      </c>
      <c r="D1163" s="155" t="s">
        <v>638</v>
      </c>
      <c r="E1163" s="159" t="s">
        <v>1037</v>
      </c>
      <c r="F1163" s="156"/>
      <c r="G1163" s="91">
        <f>SUM(G1164)</f>
        <v>0</v>
      </c>
      <c r="H1163" s="81"/>
      <c r="I1163" s="20"/>
    </row>
    <row r="1164" spans="1:9" ht="21" customHeight="1" hidden="1">
      <c r="A1164" s="106" t="s">
        <v>598</v>
      </c>
      <c r="B1164" s="155"/>
      <c r="C1164" s="155" t="s">
        <v>166</v>
      </c>
      <c r="D1164" s="155" t="s">
        <v>638</v>
      </c>
      <c r="E1164" s="159" t="s">
        <v>1037</v>
      </c>
      <c r="F1164" s="156" t="s">
        <v>599</v>
      </c>
      <c r="G1164" s="91"/>
      <c r="H1164" s="81"/>
      <c r="I1164" s="20"/>
    </row>
    <row r="1165" spans="1:9" ht="15" hidden="1">
      <c r="A1165" s="108" t="s">
        <v>128</v>
      </c>
      <c r="B1165" s="155"/>
      <c r="C1165" s="155" t="s">
        <v>166</v>
      </c>
      <c r="D1165" s="155" t="s">
        <v>638</v>
      </c>
      <c r="E1165" s="159" t="s">
        <v>129</v>
      </c>
      <c r="F1165" s="157"/>
      <c r="G1165" s="91">
        <f>SUM(G1166)</f>
        <v>0</v>
      </c>
      <c r="H1165" s="20">
        <f>SUM(H1166)</f>
        <v>79.5</v>
      </c>
      <c r="I1165" s="20"/>
    </row>
    <row r="1166" spans="1:9" ht="15" hidden="1">
      <c r="A1166" s="106" t="s">
        <v>598</v>
      </c>
      <c r="B1166" s="155"/>
      <c r="C1166" s="155" t="s">
        <v>166</v>
      </c>
      <c r="D1166" s="155" t="s">
        <v>638</v>
      </c>
      <c r="E1166" s="159" t="s">
        <v>129</v>
      </c>
      <c r="F1166" s="157" t="s">
        <v>599</v>
      </c>
      <c r="G1166" s="91"/>
      <c r="H1166" s="20">
        <v>79.5</v>
      </c>
      <c r="I1166" s="20"/>
    </row>
    <row r="1167" spans="1:9" ht="28.5" hidden="1">
      <c r="A1167" s="133" t="s">
        <v>609</v>
      </c>
      <c r="B1167" s="155"/>
      <c r="C1167" s="155" t="s">
        <v>166</v>
      </c>
      <c r="D1167" s="155" t="s">
        <v>638</v>
      </c>
      <c r="E1167" s="155" t="s">
        <v>610</v>
      </c>
      <c r="F1167" s="158"/>
      <c r="G1167" s="91">
        <f>SUM(G1169)</f>
        <v>0</v>
      </c>
      <c r="H1167" s="20">
        <f>SUM(H1169)</f>
        <v>186.6</v>
      </c>
      <c r="I1167" s="20" t="e">
        <f>SUM(H1167/G1167*100)</f>
        <v>#DIV/0!</v>
      </c>
    </row>
    <row r="1168" spans="1:9" ht="15" hidden="1">
      <c r="A1168" s="133" t="s">
        <v>611</v>
      </c>
      <c r="B1168" s="155"/>
      <c r="C1168" s="155" t="s">
        <v>166</v>
      </c>
      <c r="D1168" s="155" t="s">
        <v>638</v>
      </c>
      <c r="E1168" s="155" t="s">
        <v>936</v>
      </c>
      <c r="F1168" s="158"/>
      <c r="G1168" s="91">
        <f>SUM(G1169)</f>
        <v>0</v>
      </c>
      <c r="H1168" s="20">
        <f>SUM(H1169)</f>
        <v>186.6</v>
      </c>
      <c r="I1168" s="20" t="e">
        <f>SUM(H1168/G1168*100)</f>
        <v>#DIV/0!</v>
      </c>
    </row>
    <row r="1169" spans="1:9" ht="19.5" customHeight="1" hidden="1">
      <c r="A1169" s="106" t="s">
        <v>598</v>
      </c>
      <c r="B1169" s="155"/>
      <c r="C1169" s="155" t="s">
        <v>166</v>
      </c>
      <c r="D1169" s="155" t="s">
        <v>638</v>
      </c>
      <c r="E1169" s="155" t="s">
        <v>936</v>
      </c>
      <c r="F1169" s="158" t="s">
        <v>599</v>
      </c>
      <c r="G1169" s="91"/>
      <c r="H1169" s="20">
        <v>186.6</v>
      </c>
      <c r="I1169" s="20" t="e">
        <f>SUM(H1169/G1169*100)</f>
        <v>#DIV/0!</v>
      </c>
    </row>
    <row r="1170" spans="1:9" ht="1.5" customHeight="1" hidden="1">
      <c r="A1170" s="173" t="s">
        <v>958</v>
      </c>
      <c r="B1170" s="174" t="s">
        <v>959</v>
      </c>
      <c r="C1170" s="175"/>
      <c r="D1170" s="175"/>
      <c r="E1170" s="175"/>
      <c r="F1170" s="176"/>
      <c r="G1170" s="203">
        <f>SUM(G1171)</f>
        <v>0</v>
      </c>
      <c r="H1170" s="81">
        <f>SUM(H1171)</f>
        <v>36922.5</v>
      </c>
      <c r="I1170" s="26" t="e">
        <f aca="true" t="shared" si="33" ref="I1170:I1256">SUM(H1170/G1170*100)</f>
        <v>#DIV/0!</v>
      </c>
    </row>
    <row r="1171" spans="1:9" ht="19.5" customHeight="1" hidden="1">
      <c r="A1171" s="106" t="s">
        <v>649</v>
      </c>
      <c r="B1171" s="155"/>
      <c r="C1171" s="155" t="s">
        <v>601</v>
      </c>
      <c r="D1171" s="155"/>
      <c r="E1171" s="155"/>
      <c r="F1171" s="156"/>
      <c r="G1171" s="91">
        <f>SUM(G1172)</f>
        <v>0</v>
      </c>
      <c r="H1171" s="20">
        <f>SUM(H1172)</f>
        <v>36922.5</v>
      </c>
      <c r="I1171" s="20" t="e">
        <f t="shared" si="33"/>
        <v>#DIV/0!</v>
      </c>
    </row>
    <row r="1172" spans="1:9" ht="19.5" customHeight="1" hidden="1">
      <c r="A1172" s="106" t="s">
        <v>650</v>
      </c>
      <c r="B1172" s="155"/>
      <c r="C1172" s="155" t="s">
        <v>601</v>
      </c>
      <c r="D1172" s="155" t="s">
        <v>239</v>
      </c>
      <c r="E1172" s="155"/>
      <c r="F1172" s="156"/>
      <c r="G1172" s="91">
        <f>SUM(G1173+G1190)</f>
        <v>0</v>
      </c>
      <c r="H1172" s="20">
        <f>SUM(H1173+H1190)</f>
        <v>36922.5</v>
      </c>
      <c r="I1172" s="20" t="e">
        <f t="shared" si="33"/>
        <v>#DIV/0!</v>
      </c>
    </row>
    <row r="1173" spans="1:9" ht="19.5" customHeight="1" hidden="1">
      <c r="A1173" s="133" t="s">
        <v>651</v>
      </c>
      <c r="B1173" s="155"/>
      <c r="C1173" s="155" t="s">
        <v>601</v>
      </c>
      <c r="D1173" s="155" t="s">
        <v>239</v>
      </c>
      <c r="E1173" s="175" t="s">
        <v>946</v>
      </c>
      <c r="F1173" s="156"/>
      <c r="G1173" s="91">
        <f>SUM(G1174+G1176+G1178+G1180+G1183+G1188)</f>
        <v>0</v>
      </c>
      <c r="H1173" s="20">
        <f>SUM(H1174+H1176+H1178+H1180+H1183+H1188)</f>
        <v>36646.8</v>
      </c>
      <c r="I1173" s="20" t="e">
        <f t="shared" si="33"/>
        <v>#DIV/0!</v>
      </c>
    </row>
    <row r="1174" spans="1:9" ht="19.5" customHeight="1" hidden="1">
      <c r="A1174" s="133" t="s">
        <v>947</v>
      </c>
      <c r="B1174" s="155"/>
      <c r="C1174" s="155" t="s">
        <v>601</v>
      </c>
      <c r="D1174" s="155" t="s">
        <v>239</v>
      </c>
      <c r="E1174" s="175" t="s">
        <v>948</v>
      </c>
      <c r="F1174" s="156"/>
      <c r="G1174" s="91">
        <f>SUM(G1175)</f>
        <v>0</v>
      </c>
      <c r="H1174" s="20">
        <f>SUM(H1175)</f>
        <v>2461.2</v>
      </c>
      <c r="I1174" s="20" t="e">
        <f t="shared" si="33"/>
        <v>#DIV/0!</v>
      </c>
    </row>
    <row r="1175" spans="1:9" ht="28.5" hidden="1">
      <c r="A1175" s="133" t="s">
        <v>393</v>
      </c>
      <c r="B1175" s="155"/>
      <c r="C1175" s="155" t="s">
        <v>601</v>
      </c>
      <c r="D1175" s="155" t="s">
        <v>239</v>
      </c>
      <c r="E1175" s="175" t="s">
        <v>948</v>
      </c>
      <c r="F1175" s="156" t="s">
        <v>394</v>
      </c>
      <c r="G1175" s="91"/>
      <c r="H1175" s="20">
        <v>2461.2</v>
      </c>
      <c r="I1175" s="20" t="e">
        <f t="shared" si="33"/>
        <v>#DIV/0!</v>
      </c>
    </row>
    <row r="1176" spans="1:9" ht="19.5" customHeight="1" hidden="1">
      <c r="A1176" s="133" t="s">
        <v>395</v>
      </c>
      <c r="B1176" s="155"/>
      <c r="C1176" s="155" t="s">
        <v>601</v>
      </c>
      <c r="D1176" s="155" t="s">
        <v>239</v>
      </c>
      <c r="E1176" s="175" t="s">
        <v>396</v>
      </c>
      <c r="F1176" s="156"/>
      <c r="G1176" s="91">
        <f>SUM(G1177)</f>
        <v>0</v>
      </c>
      <c r="H1176" s="20">
        <f>SUM(H1177)</f>
        <v>25107.2</v>
      </c>
      <c r="I1176" s="20" t="e">
        <f t="shared" si="33"/>
        <v>#DIV/0!</v>
      </c>
    </row>
    <row r="1177" spans="1:9" ht="19.5" customHeight="1" hidden="1">
      <c r="A1177" s="133" t="s">
        <v>393</v>
      </c>
      <c r="B1177" s="155"/>
      <c r="C1177" s="155" t="s">
        <v>601</v>
      </c>
      <c r="D1177" s="155" t="s">
        <v>239</v>
      </c>
      <c r="E1177" s="175" t="s">
        <v>396</v>
      </c>
      <c r="F1177" s="156" t="s">
        <v>394</v>
      </c>
      <c r="G1177" s="91"/>
      <c r="H1177" s="20">
        <v>25107.2</v>
      </c>
      <c r="I1177" s="20" t="e">
        <f t="shared" si="33"/>
        <v>#DIV/0!</v>
      </c>
    </row>
    <row r="1178" spans="1:9" ht="19.5" customHeight="1" hidden="1">
      <c r="A1178" s="133" t="s">
        <v>397</v>
      </c>
      <c r="B1178" s="155"/>
      <c r="C1178" s="155" t="s">
        <v>601</v>
      </c>
      <c r="D1178" s="155" t="s">
        <v>239</v>
      </c>
      <c r="E1178" s="175" t="s">
        <v>398</v>
      </c>
      <c r="F1178" s="156"/>
      <c r="G1178" s="91">
        <f>SUM(G1179)</f>
        <v>0</v>
      </c>
      <c r="H1178" s="20">
        <f>SUM(H1179)</f>
        <v>7951.2</v>
      </c>
      <c r="I1178" s="20" t="e">
        <f t="shared" si="33"/>
        <v>#DIV/0!</v>
      </c>
    </row>
    <row r="1179" spans="1:9" ht="18.75" customHeight="1" hidden="1">
      <c r="A1179" s="133" t="s">
        <v>393</v>
      </c>
      <c r="B1179" s="155"/>
      <c r="C1179" s="155" t="s">
        <v>601</v>
      </c>
      <c r="D1179" s="155" t="s">
        <v>239</v>
      </c>
      <c r="E1179" s="175" t="s">
        <v>398</v>
      </c>
      <c r="F1179" s="156" t="s">
        <v>394</v>
      </c>
      <c r="G1179" s="91"/>
      <c r="H1179" s="20">
        <v>7951.2</v>
      </c>
      <c r="I1179" s="20" t="e">
        <f t="shared" si="33"/>
        <v>#DIV/0!</v>
      </c>
    </row>
    <row r="1180" spans="1:9" s="40" customFormat="1" ht="15" hidden="1">
      <c r="A1180" s="133" t="s">
        <v>399</v>
      </c>
      <c r="B1180" s="155"/>
      <c r="C1180" s="155" t="s">
        <v>601</v>
      </c>
      <c r="D1180" s="155" t="s">
        <v>239</v>
      </c>
      <c r="E1180" s="175" t="s">
        <v>400</v>
      </c>
      <c r="F1180" s="156"/>
      <c r="G1180" s="91">
        <f>SUM(G1181)</f>
        <v>0</v>
      </c>
      <c r="H1180" s="20">
        <f>SUM(H1181)</f>
        <v>73.1</v>
      </c>
      <c r="I1180" s="20" t="e">
        <f t="shared" si="33"/>
        <v>#DIV/0!</v>
      </c>
    </row>
    <row r="1181" spans="1:9" s="40" customFormat="1" ht="19.5" customHeight="1" hidden="1">
      <c r="A1181" s="133" t="s">
        <v>1021</v>
      </c>
      <c r="B1181" s="155"/>
      <c r="C1181" s="155" t="s">
        <v>601</v>
      </c>
      <c r="D1181" s="155" t="s">
        <v>239</v>
      </c>
      <c r="E1181" s="175" t="s">
        <v>1022</v>
      </c>
      <c r="F1181" s="156"/>
      <c r="G1181" s="91">
        <f>SUM(G1182)</f>
        <v>0</v>
      </c>
      <c r="H1181" s="20">
        <f>SUM(H1182)</f>
        <v>73.1</v>
      </c>
      <c r="I1181" s="20" t="e">
        <f t="shared" si="33"/>
        <v>#DIV/0!</v>
      </c>
    </row>
    <row r="1182" spans="1:9" s="40" customFormat="1" ht="28.5" hidden="1">
      <c r="A1182" s="133" t="s">
        <v>393</v>
      </c>
      <c r="B1182" s="155"/>
      <c r="C1182" s="155" t="s">
        <v>601</v>
      </c>
      <c r="D1182" s="155" t="s">
        <v>239</v>
      </c>
      <c r="E1182" s="175" t="s">
        <v>1022</v>
      </c>
      <c r="F1182" s="156" t="s">
        <v>394</v>
      </c>
      <c r="G1182" s="91"/>
      <c r="H1182" s="20">
        <v>73.1</v>
      </c>
      <c r="I1182" s="20" t="e">
        <f t="shared" si="33"/>
        <v>#DIV/0!</v>
      </c>
    </row>
    <row r="1183" spans="1:9" s="40" customFormat="1" ht="19.5" customHeight="1" hidden="1">
      <c r="A1183" s="106" t="s">
        <v>1023</v>
      </c>
      <c r="B1183" s="155"/>
      <c r="C1183" s="155" t="s">
        <v>1024</v>
      </c>
      <c r="D1183" s="155" t="s">
        <v>239</v>
      </c>
      <c r="E1183" s="175" t="s">
        <v>1025</v>
      </c>
      <c r="F1183" s="156"/>
      <c r="G1183" s="91">
        <f>SUM(G1184+G1186)</f>
        <v>0</v>
      </c>
      <c r="H1183" s="20">
        <f>SUM(H1184+H1186)</f>
        <v>66.8</v>
      </c>
      <c r="I1183" s="20" t="e">
        <f t="shared" si="33"/>
        <v>#DIV/0!</v>
      </c>
    </row>
    <row r="1184" spans="1:9" ht="19.5" customHeight="1" hidden="1">
      <c r="A1184" s="133" t="s">
        <v>1026</v>
      </c>
      <c r="B1184" s="155"/>
      <c r="C1184" s="155" t="s">
        <v>1024</v>
      </c>
      <c r="D1184" s="155" t="s">
        <v>239</v>
      </c>
      <c r="E1184" s="175" t="s">
        <v>1027</v>
      </c>
      <c r="F1184" s="156"/>
      <c r="G1184" s="91">
        <f>SUM(G1185)</f>
        <v>0</v>
      </c>
      <c r="H1184" s="20">
        <f>SUM(H1185)</f>
        <v>0</v>
      </c>
      <c r="I1184" s="20" t="e">
        <f t="shared" si="33"/>
        <v>#DIV/0!</v>
      </c>
    </row>
    <row r="1185" spans="1:9" ht="19.5" customHeight="1" hidden="1">
      <c r="A1185" s="133" t="s">
        <v>393</v>
      </c>
      <c r="B1185" s="155"/>
      <c r="C1185" s="155" t="s">
        <v>1024</v>
      </c>
      <c r="D1185" s="155" t="s">
        <v>239</v>
      </c>
      <c r="E1185" s="175" t="s">
        <v>1027</v>
      </c>
      <c r="F1185" s="156" t="s">
        <v>394</v>
      </c>
      <c r="G1185" s="91"/>
      <c r="H1185" s="20"/>
      <c r="I1185" s="20" t="e">
        <f t="shared" si="33"/>
        <v>#DIV/0!</v>
      </c>
    </row>
    <row r="1186" spans="1:9" ht="19.5" customHeight="1" hidden="1">
      <c r="A1186" s="133" t="s">
        <v>1028</v>
      </c>
      <c r="B1186" s="155"/>
      <c r="C1186" s="155" t="s">
        <v>1024</v>
      </c>
      <c r="D1186" s="155" t="s">
        <v>239</v>
      </c>
      <c r="E1186" s="175" t="s">
        <v>1029</v>
      </c>
      <c r="F1186" s="156"/>
      <c r="G1186" s="91">
        <f>SUM(G1187)</f>
        <v>0</v>
      </c>
      <c r="H1186" s="20">
        <f>SUM(H1187)</f>
        <v>66.8</v>
      </c>
      <c r="I1186" s="20" t="e">
        <f t="shared" si="33"/>
        <v>#DIV/0!</v>
      </c>
    </row>
    <row r="1187" spans="1:9" ht="19.5" customHeight="1" hidden="1">
      <c r="A1187" s="133" t="s">
        <v>393</v>
      </c>
      <c r="B1187" s="155"/>
      <c r="C1187" s="155" t="s">
        <v>1024</v>
      </c>
      <c r="D1187" s="155" t="s">
        <v>239</v>
      </c>
      <c r="E1187" s="175" t="s">
        <v>1029</v>
      </c>
      <c r="F1187" s="156" t="s">
        <v>394</v>
      </c>
      <c r="G1187" s="91"/>
      <c r="H1187" s="20">
        <v>66.8</v>
      </c>
      <c r="I1187" s="20" t="e">
        <f t="shared" si="33"/>
        <v>#DIV/0!</v>
      </c>
    </row>
    <row r="1188" spans="1:9" ht="19.5" customHeight="1" hidden="1">
      <c r="A1188" s="106" t="s">
        <v>1030</v>
      </c>
      <c r="B1188" s="155"/>
      <c r="C1188" s="155" t="s">
        <v>1024</v>
      </c>
      <c r="D1188" s="155" t="s">
        <v>239</v>
      </c>
      <c r="E1188" s="175" t="s">
        <v>1031</v>
      </c>
      <c r="F1188" s="156"/>
      <c r="G1188" s="91">
        <f>SUM(G1189)</f>
        <v>0</v>
      </c>
      <c r="H1188" s="20">
        <f>SUM(H1189)</f>
        <v>987.3</v>
      </c>
      <c r="I1188" s="20" t="e">
        <f t="shared" si="33"/>
        <v>#DIV/0!</v>
      </c>
    </row>
    <row r="1189" spans="1:9" ht="19.5" customHeight="1" hidden="1">
      <c r="A1189" s="133" t="s">
        <v>1032</v>
      </c>
      <c r="B1189" s="155"/>
      <c r="C1189" s="155" t="s">
        <v>1024</v>
      </c>
      <c r="D1189" s="155" t="s">
        <v>239</v>
      </c>
      <c r="E1189" s="175" t="s">
        <v>1031</v>
      </c>
      <c r="F1189" s="156" t="s">
        <v>1033</v>
      </c>
      <c r="G1189" s="91"/>
      <c r="H1189" s="20">
        <v>987.3</v>
      </c>
      <c r="I1189" s="20" t="e">
        <f t="shared" si="33"/>
        <v>#DIV/0!</v>
      </c>
    </row>
    <row r="1190" spans="1:9" ht="19.5" customHeight="1" hidden="1">
      <c r="A1190" s="127" t="s">
        <v>634</v>
      </c>
      <c r="B1190" s="165"/>
      <c r="C1190" s="165" t="s">
        <v>601</v>
      </c>
      <c r="D1190" s="165" t="s">
        <v>239</v>
      </c>
      <c r="E1190" s="192" t="s">
        <v>635</v>
      </c>
      <c r="F1190" s="184"/>
      <c r="G1190" s="91">
        <f>SUM(G1191)</f>
        <v>0</v>
      </c>
      <c r="H1190" s="20">
        <f>SUM(H1191)</f>
        <v>275.7</v>
      </c>
      <c r="I1190" s="20" t="e">
        <f t="shared" si="33"/>
        <v>#DIV/0!</v>
      </c>
    </row>
    <row r="1191" spans="1:9" ht="19.5" customHeight="1" hidden="1">
      <c r="A1191" s="133" t="s">
        <v>393</v>
      </c>
      <c r="B1191" s="165"/>
      <c r="C1191" s="165" t="s">
        <v>601</v>
      </c>
      <c r="D1191" s="165" t="s">
        <v>239</v>
      </c>
      <c r="E1191" s="165" t="s">
        <v>1034</v>
      </c>
      <c r="F1191" s="166" t="s">
        <v>394</v>
      </c>
      <c r="G1191" s="91">
        <f>SUM(G1192)</f>
        <v>0</v>
      </c>
      <c r="H1191" s="20">
        <f>SUM(H1192)</f>
        <v>275.7</v>
      </c>
      <c r="I1191" s="20" t="e">
        <f t="shared" si="33"/>
        <v>#DIV/0!</v>
      </c>
    </row>
    <row r="1192" spans="1:9" ht="19.5" customHeight="1" hidden="1">
      <c r="A1192" s="128" t="s">
        <v>211</v>
      </c>
      <c r="B1192" s="191"/>
      <c r="C1192" s="165" t="s">
        <v>601</v>
      </c>
      <c r="D1192" s="165" t="s">
        <v>239</v>
      </c>
      <c r="E1192" s="165" t="s">
        <v>1035</v>
      </c>
      <c r="F1192" s="166" t="s">
        <v>394</v>
      </c>
      <c r="G1192" s="92"/>
      <c r="H1192" s="27">
        <v>275.7</v>
      </c>
      <c r="I1192" s="20" t="e">
        <f t="shared" si="33"/>
        <v>#DIV/0!</v>
      </c>
    </row>
    <row r="1193" spans="1:9" ht="21" customHeight="1">
      <c r="A1193" s="173" t="s">
        <v>15</v>
      </c>
      <c r="B1193" s="174" t="s">
        <v>960</v>
      </c>
      <c r="C1193" s="163"/>
      <c r="D1193" s="163"/>
      <c r="E1193" s="163"/>
      <c r="F1193" s="193"/>
      <c r="G1193" s="203">
        <f>SUM(G1198+G1424)</f>
        <v>1332328.3</v>
      </c>
      <c r="H1193" s="81" t="e">
        <f>SUM(H1198+H1420)</f>
        <v>#REF!</v>
      </c>
      <c r="I1193" s="26" t="e">
        <f t="shared" si="33"/>
        <v>#REF!</v>
      </c>
    </row>
    <row r="1194" spans="1:9" ht="19.5" customHeight="1" hidden="1">
      <c r="A1194" s="106" t="s">
        <v>624</v>
      </c>
      <c r="B1194" s="155"/>
      <c r="C1194" s="155" t="s">
        <v>625</v>
      </c>
      <c r="D1194" s="155"/>
      <c r="E1194" s="155"/>
      <c r="F1194" s="156"/>
      <c r="G1194" s="91">
        <f aca="true" t="shared" si="34" ref="G1194:H1196">SUM(G1195)</f>
        <v>0</v>
      </c>
      <c r="H1194" s="20">
        <f t="shared" si="34"/>
        <v>0</v>
      </c>
      <c r="I1194" s="20" t="e">
        <f t="shared" si="33"/>
        <v>#DIV/0!</v>
      </c>
    </row>
    <row r="1195" spans="1:9" ht="19.5" customHeight="1" hidden="1">
      <c r="A1195" s="106" t="s">
        <v>60</v>
      </c>
      <c r="B1195" s="155"/>
      <c r="C1195" s="155" t="s">
        <v>625</v>
      </c>
      <c r="D1195" s="159" t="s">
        <v>237</v>
      </c>
      <c r="E1195" s="175"/>
      <c r="F1195" s="176"/>
      <c r="G1195" s="91">
        <f t="shared" si="34"/>
        <v>0</v>
      </c>
      <c r="H1195" s="20">
        <f t="shared" si="34"/>
        <v>0</v>
      </c>
      <c r="I1195" s="20" t="e">
        <f t="shared" si="33"/>
        <v>#DIV/0!</v>
      </c>
    </row>
    <row r="1196" spans="1:9" ht="19.5" customHeight="1" hidden="1">
      <c r="A1196" s="106" t="s">
        <v>61</v>
      </c>
      <c r="B1196" s="155"/>
      <c r="C1196" s="155" t="s">
        <v>625</v>
      </c>
      <c r="D1196" s="159" t="s">
        <v>237</v>
      </c>
      <c r="E1196" s="175" t="s">
        <v>62</v>
      </c>
      <c r="F1196" s="176"/>
      <c r="G1196" s="91">
        <f t="shared" si="34"/>
        <v>0</v>
      </c>
      <c r="H1196" s="20">
        <f t="shared" si="34"/>
        <v>0</v>
      </c>
      <c r="I1196" s="20" t="e">
        <f t="shared" si="33"/>
        <v>#DIV/0!</v>
      </c>
    </row>
    <row r="1197" spans="1:9" ht="15" hidden="1">
      <c r="A1197" s="106" t="s">
        <v>63</v>
      </c>
      <c r="B1197" s="155"/>
      <c r="C1197" s="155" t="s">
        <v>625</v>
      </c>
      <c r="D1197" s="159" t="s">
        <v>237</v>
      </c>
      <c r="E1197" s="175" t="s">
        <v>62</v>
      </c>
      <c r="F1197" s="176">
        <v>273</v>
      </c>
      <c r="G1197" s="91"/>
      <c r="H1197" s="20"/>
      <c r="I1197" s="20" t="e">
        <f t="shared" si="33"/>
        <v>#DIV/0!</v>
      </c>
    </row>
    <row r="1198" spans="1:9" ht="18.75" customHeight="1">
      <c r="A1198" s="106" t="s">
        <v>613</v>
      </c>
      <c r="B1198" s="155"/>
      <c r="C1198" s="159" t="s">
        <v>614</v>
      </c>
      <c r="D1198" s="159"/>
      <c r="E1198" s="159"/>
      <c r="F1198" s="157"/>
      <c r="G1198" s="91">
        <f>SUM(G1199+G1254+G1350+G1381)</f>
        <v>1309621.2</v>
      </c>
      <c r="H1198" s="20" t="e">
        <f>SUM(H1199+H1254+H1346+H1375)</f>
        <v>#REF!</v>
      </c>
      <c r="I1198" s="20" t="e">
        <f t="shared" si="33"/>
        <v>#REF!</v>
      </c>
    </row>
    <row r="1199" spans="1:9" ht="20.25" customHeight="1">
      <c r="A1199" s="106" t="s">
        <v>64</v>
      </c>
      <c r="B1199" s="174"/>
      <c r="C1199" s="159" t="s">
        <v>614</v>
      </c>
      <c r="D1199" s="159" t="s">
        <v>237</v>
      </c>
      <c r="E1199" s="159"/>
      <c r="F1199" s="157"/>
      <c r="G1199" s="91">
        <f>SUM(G1200+G1243)+G1239</f>
        <v>543629</v>
      </c>
      <c r="H1199" s="20">
        <f>SUM(H1213+H1239)</f>
        <v>9549.8</v>
      </c>
      <c r="I1199" s="20">
        <f t="shared" si="33"/>
        <v>1.7566759683534174</v>
      </c>
    </row>
    <row r="1200" spans="1:9" ht="21" customHeight="1">
      <c r="A1200" s="106" t="s">
        <v>65</v>
      </c>
      <c r="B1200" s="174"/>
      <c r="C1200" s="159" t="s">
        <v>614</v>
      </c>
      <c r="D1200" s="159" t="s">
        <v>237</v>
      </c>
      <c r="E1200" s="159" t="s">
        <v>66</v>
      </c>
      <c r="F1200" s="157"/>
      <c r="G1200" s="91">
        <f>SUM(G1201+G1216)</f>
        <v>525309.3</v>
      </c>
      <c r="H1200" s="20">
        <f>SUM(H1201)</f>
        <v>56722</v>
      </c>
      <c r="I1200" s="20">
        <f>SUM(H1200/G1200*100)</f>
        <v>10.797829012355196</v>
      </c>
    </row>
    <row r="1201" spans="1:9" ht="28.5" customHeight="1">
      <c r="A1201" s="106" t="s">
        <v>361</v>
      </c>
      <c r="B1201" s="174"/>
      <c r="C1201" s="159" t="s">
        <v>614</v>
      </c>
      <c r="D1201" s="159" t="s">
        <v>237</v>
      </c>
      <c r="E1201" s="159" t="s">
        <v>571</v>
      </c>
      <c r="F1201" s="157"/>
      <c r="G1201" s="91">
        <f>SUM(G1204)+G1213+G1206+G1202</f>
        <v>451666.8</v>
      </c>
      <c r="H1201" s="20">
        <f>SUM(H1205+H1286+H1284)</f>
        <v>56722</v>
      </c>
      <c r="I1201" s="20">
        <f>SUM(H1201/G1201*100)</f>
        <v>12.558372676495152</v>
      </c>
    </row>
    <row r="1202" spans="1:9" ht="49.5" customHeight="1" hidden="1">
      <c r="A1202" s="106" t="s">
        <v>830</v>
      </c>
      <c r="B1202" s="174"/>
      <c r="C1202" s="159" t="s">
        <v>614</v>
      </c>
      <c r="D1202" s="159" t="s">
        <v>237</v>
      </c>
      <c r="E1202" s="159" t="s">
        <v>831</v>
      </c>
      <c r="F1202" s="157"/>
      <c r="G1202" s="91">
        <f>SUM(G1203)</f>
        <v>0</v>
      </c>
      <c r="H1202" s="20"/>
      <c r="I1202" s="20"/>
    </row>
    <row r="1203" spans="1:9" ht="21.75" customHeight="1" hidden="1">
      <c r="A1203" s="106" t="s">
        <v>711</v>
      </c>
      <c r="B1203" s="174"/>
      <c r="C1203" s="159" t="s">
        <v>614</v>
      </c>
      <c r="D1203" s="159" t="s">
        <v>237</v>
      </c>
      <c r="E1203" s="159" t="s">
        <v>831</v>
      </c>
      <c r="F1203" s="157" t="s">
        <v>566</v>
      </c>
      <c r="G1203" s="91"/>
      <c r="H1203" s="20"/>
      <c r="I1203" s="20"/>
    </row>
    <row r="1204" spans="1:9" ht="36" customHeight="1">
      <c r="A1204" s="106" t="s">
        <v>809</v>
      </c>
      <c r="B1204" s="174"/>
      <c r="C1204" s="159" t="s">
        <v>614</v>
      </c>
      <c r="D1204" s="159" t="s">
        <v>237</v>
      </c>
      <c r="E1204" s="159" t="s">
        <v>572</v>
      </c>
      <c r="F1204" s="157"/>
      <c r="G1204" s="91">
        <f>SUM(G1205)</f>
        <v>447261</v>
      </c>
      <c r="H1204" s="20"/>
      <c r="I1204" s="20"/>
    </row>
    <row r="1205" spans="1:9" ht="49.5" customHeight="1">
      <c r="A1205" s="108" t="s">
        <v>710</v>
      </c>
      <c r="B1205" s="120"/>
      <c r="C1205" s="159" t="s">
        <v>614</v>
      </c>
      <c r="D1205" s="159" t="s">
        <v>237</v>
      </c>
      <c r="E1205" s="159" t="s">
        <v>572</v>
      </c>
      <c r="F1205" s="158" t="s">
        <v>485</v>
      </c>
      <c r="G1205" s="91">
        <v>447261</v>
      </c>
      <c r="H1205" s="20">
        <v>56722</v>
      </c>
      <c r="I1205" s="20">
        <f>SUM(H1205/G1205*100)</f>
        <v>12.682080485443622</v>
      </c>
    </row>
    <row r="1206" spans="1:9" ht="23.25" customHeight="1">
      <c r="A1206" s="108" t="s">
        <v>711</v>
      </c>
      <c r="B1206" s="174"/>
      <c r="C1206" s="159" t="s">
        <v>614</v>
      </c>
      <c r="D1206" s="159" t="s">
        <v>237</v>
      </c>
      <c r="E1206" s="159" t="s">
        <v>684</v>
      </c>
      <c r="F1206" s="157"/>
      <c r="G1206" s="91">
        <f>SUM(G1212,G1208,G1210)</f>
        <v>2015.5</v>
      </c>
      <c r="H1206" s="20"/>
      <c r="I1206" s="20"/>
    </row>
    <row r="1207" spans="1:9" ht="30" customHeight="1">
      <c r="A1207" s="108" t="s">
        <v>667</v>
      </c>
      <c r="B1207" s="174"/>
      <c r="C1207" s="159" t="s">
        <v>614</v>
      </c>
      <c r="D1207" s="159" t="s">
        <v>237</v>
      </c>
      <c r="E1207" s="159" t="s">
        <v>817</v>
      </c>
      <c r="F1207" s="157"/>
      <c r="G1207" s="91">
        <f>SUM(G1208)</f>
        <v>295</v>
      </c>
      <c r="H1207" s="20"/>
      <c r="I1207" s="20"/>
    </row>
    <row r="1208" spans="1:9" ht="30" customHeight="1">
      <c r="A1208" s="108" t="s">
        <v>666</v>
      </c>
      <c r="B1208" s="174"/>
      <c r="C1208" s="159" t="s">
        <v>614</v>
      </c>
      <c r="D1208" s="159" t="s">
        <v>237</v>
      </c>
      <c r="E1208" s="159" t="s">
        <v>817</v>
      </c>
      <c r="F1208" s="157" t="s">
        <v>566</v>
      </c>
      <c r="G1208" s="91">
        <v>295</v>
      </c>
      <c r="H1208" s="20"/>
      <c r="I1208" s="20"/>
    </row>
    <row r="1209" spans="1:9" ht="30" customHeight="1">
      <c r="A1209" s="108" t="s">
        <v>159</v>
      </c>
      <c r="B1209" s="174"/>
      <c r="C1209" s="159" t="s">
        <v>614</v>
      </c>
      <c r="D1209" s="159" t="s">
        <v>237</v>
      </c>
      <c r="E1209" s="159" t="s">
        <v>818</v>
      </c>
      <c r="F1209" s="157"/>
      <c r="G1209" s="91">
        <f>SUM(G1210)</f>
        <v>756.3</v>
      </c>
      <c r="H1209" s="20"/>
      <c r="I1209" s="20"/>
    </row>
    <row r="1210" spans="1:9" ht="30" customHeight="1">
      <c r="A1210" s="108" t="s">
        <v>666</v>
      </c>
      <c r="B1210" s="174"/>
      <c r="C1210" s="159" t="s">
        <v>614</v>
      </c>
      <c r="D1210" s="159" t="s">
        <v>237</v>
      </c>
      <c r="E1210" s="159" t="s">
        <v>818</v>
      </c>
      <c r="F1210" s="157" t="s">
        <v>566</v>
      </c>
      <c r="G1210" s="91">
        <v>756.3</v>
      </c>
      <c r="H1210" s="20"/>
      <c r="I1210" s="20"/>
    </row>
    <row r="1211" spans="1:9" ht="23.25" customHeight="1">
      <c r="A1211" s="106" t="s">
        <v>838</v>
      </c>
      <c r="B1211" s="174"/>
      <c r="C1211" s="159" t="s">
        <v>614</v>
      </c>
      <c r="D1211" s="159" t="s">
        <v>237</v>
      </c>
      <c r="E1211" s="159" t="s">
        <v>845</v>
      </c>
      <c r="F1211" s="157"/>
      <c r="G1211" s="91">
        <f>SUM(G1212)</f>
        <v>964.2</v>
      </c>
      <c r="H1211" s="20"/>
      <c r="I1211" s="20"/>
    </row>
    <row r="1212" spans="1:9" ht="25.5" customHeight="1">
      <c r="A1212" s="108" t="s">
        <v>666</v>
      </c>
      <c r="B1212" s="174"/>
      <c r="C1212" s="159" t="s">
        <v>614</v>
      </c>
      <c r="D1212" s="159" t="s">
        <v>237</v>
      </c>
      <c r="E1212" s="159" t="s">
        <v>845</v>
      </c>
      <c r="F1212" s="157" t="s">
        <v>566</v>
      </c>
      <c r="G1212" s="91">
        <v>964.2</v>
      </c>
      <c r="H1212" s="20"/>
      <c r="I1212" s="20"/>
    </row>
    <row r="1213" spans="1:9" ht="32.25" customHeight="1">
      <c r="A1213" s="108" t="s">
        <v>75</v>
      </c>
      <c r="B1213" s="155"/>
      <c r="C1213" s="180" t="s">
        <v>614</v>
      </c>
      <c r="D1213" s="180" t="s">
        <v>237</v>
      </c>
      <c r="E1213" s="180" t="s">
        <v>574</v>
      </c>
      <c r="F1213" s="157"/>
      <c r="G1213" s="91">
        <f>SUM(G1215)</f>
        <v>2390.3</v>
      </c>
      <c r="H1213" s="20"/>
      <c r="I1213" s="20"/>
    </row>
    <row r="1214" spans="1:9" ht="32.25" customHeight="1" hidden="1">
      <c r="A1214" s="108" t="s">
        <v>483</v>
      </c>
      <c r="B1214" s="155"/>
      <c r="C1214" s="180"/>
      <c r="D1214" s="180"/>
      <c r="E1214" s="180"/>
      <c r="F1214" s="157"/>
      <c r="G1214" s="91"/>
      <c r="H1214" s="20"/>
      <c r="I1214" s="20"/>
    </row>
    <row r="1215" spans="1:9" ht="24" customHeight="1">
      <c r="A1215" s="105" t="s">
        <v>711</v>
      </c>
      <c r="B1215" s="120"/>
      <c r="C1215" s="159" t="s">
        <v>614</v>
      </c>
      <c r="D1215" s="159" t="s">
        <v>237</v>
      </c>
      <c r="E1215" s="180" t="s">
        <v>574</v>
      </c>
      <c r="F1215" s="158" t="s">
        <v>566</v>
      </c>
      <c r="G1215" s="91">
        <v>2390.3</v>
      </c>
      <c r="H1215" s="20">
        <v>56722</v>
      </c>
      <c r="I1215" s="20">
        <f>SUM(H1215/G1215*100)</f>
        <v>2373.0075722712627</v>
      </c>
    </row>
    <row r="1216" spans="1:9" ht="28.5">
      <c r="A1216" s="106" t="s">
        <v>482</v>
      </c>
      <c r="B1216" s="174"/>
      <c r="C1216" s="159" t="s">
        <v>614</v>
      </c>
      <c r="D1216" s="159" t="s">
        <v>237</v>
      </c>
      <c r="E1216" s="159" t="s">
        <v>67</v>
      </c>
      <c r="F1216" s="157"/>
      <c r="G1216" s="91">
        <f>SUM(G1224+G1217)+G1218+G1220</f>
        <v>73642.5</v>
      </c>
      <c r="H1216" s="20">
        <f>SUM(H1217+H1228+H1234+H1236)+H1225</f>
        <v>213007.5</v>
      </c>
      <c r="I1216" s="20">
        <f t="shared" si="33"/>
        <v>289.2453406660556</v>
      </c>
    </row>
    <row r="1217" spans="1:9" ht="18.75" customHeight="1">
      <c r="A1217" s="108" t="s">
        <v>483</v>
      </c>
      <c r="B1217" s="120"/>
      <c r="C1217" s="180" t="s">
        <v>614</v>
      </c>
      <c r="D1217" s="180" t="s">
        <v>237</v>
      </c>
      <c r="E1217" s="180" t="s">
        <v>67</v>
      </c>
      <c r="F1217" s="158" t="s">
        <v>933</v>
      </c>
      <c r="G1217" s="91">
        <v>73232.7</v>
      </c>
      <c r="H1217" s="20">
        <v>187516.5</v>
      </c>
      <c r="I1217" s="20">
        <f t="shared" si="33"/>
        <v>256.0556964306929</v>
      </c>
    </row>
    <row r="1218" spans="1:9" ht="57" customHeight="1" hidden="1">
      <c r="A1218" s="106" t="s">
        <v>830</v>
      </c>
      <c r="B1218" s="120"/>
      <c r="C1218" s="180" t="s">
        <v>614</v>
      </c>
      <c r="D1218" s="180" t="s">
        <v>237</v>
      </c>
      <c r="E1218" s="180" t="s">
        <v>70</v>
      </c>
      <c r="F1218" s="158"/>
      <c r="G1218" s="91">
        <f>SUM(G1219)</f>
        <v>0</v>
      </c>
      <c r="H1218" s="20"/>
      <c r="I1218" s="20"/>
    </row>
    <row r="1219" spans="1:9" ht="18.75" customHeight="1" hidden="1">
      <c r="A1219" s="108" t="s">
        <v>483</v>
      </c>
      <c r="B1219" s="120"/>
      <c r="C1219" s="180" t="s">
        <v>614</v>
      </c>
      <c r="D1219" s="180" t="s">
        <v>237</v>
      </c>
      <c r="E1219" s="180" t="s">
        <v>70</v>
      </c>
      <c r="F1219" s="158" t="s">
        <v>933</v>
      </c>
      <c r="G1219" s="91"/>
      <c r="H1219" s="20">
        <v>187516.5</v>
      </c>
      <c r="I1219" s="20" t="e">
        <f>SUM(H1219/G1219*100)</f>
        <v>#DIV/0!</v>
      </c>
    </row>
    <row r="1220" spans="1:9" s="25" customFormat="1" ht="32.25" customHeight="1" hidden="1">
      <c r="A1220" s="105" t="s">
        <v>819</v>
      </c>
      <c r="B1220" s="159"/>
      <c r="C1220" s="159" t="s">
        <v>614</v>
      </c>
      <c r="D1220" s="159" t="s">
        <v>237</v>
      </c>
      <c r="E1220" s="159" t="s">
        <v>820</v>
      </c>
      <c r="F1220" s="157"/>
      <c r="G1220" s="91">
        <f>SUM(G1221:G1222)</f>
        <v>0</v>
      </c>
      <c r="H1220" s="20"/>
      <c r="I1220" s="20"/>
    </row>
    <row r="1221" spans="1:9" s="25" customFormat="1" ht="18.75" customHeight="1" hidden="1">
      <c r="A1221" s="105" t="s">
        <v>483</v>
      </c>
      <c r="B1221" s="163"/>
      <c r="C1221" s="159" t="s">
        <v>614</v>
      </c>
      <c r="D1221" s="159" t="s">
        <v>237</v>
      </c>
      <c r="E1221" s="159" t="s">
        <v>820</v>
      </c>
      <c r="F1221" s="157" t="s">
        <v>933</v>
      </c>
      <c r="G1221" s="91"/>
      <c r="H1221" s="20">
        <v>187516.5</v>
      </c>
      <c r="I1221" s="20" t="e">
        <f>SUM(H1221/G1221*100)</f>
        <v>#DIV/0!</v>
      </c>
    </row>
    <row r="1222" spans="1:9" s="25" customFormat="1" ht="18.75" customHeight="1" hidden="1">
      <c r="A1222" s="105" t="s">
        <v>711</v>
      </c>
      <c r="B1222" s="120"/>
      <c r="C1222" s="159" t="s">
        <v>614</v>
      </c>
      <c r="D1222" s="159" t="s">
        <v>237</v>
      </c>
      <c r="E1222" s="159" t="s">
        <v>820</v>
      </c>
      <c r="F1222" s="158" t="s">
        <v>566</v>
      </c>
      <c r="G1222" s="91"/>
      <c r="H1222" s="20"/>
      <c r="I1222" s="20"/>
    </row>
    <row r="1223" spans="1:9" ht="32.25" customHeight="1">
      <c r="A1223" s="108" t="s">
        <v>75</v>
      </c>
      <c r="B1223" s="155"/>
      <c r="C1223" s="180" t="s">
        <v>614</v>
      </c>
      <c r="D1223" s="180" t="s">
        <v>237</v>
      </c>
      <c r="E1223" s="180" t="s">
        <v>76</v>
      </c>
      <c r="F1223" s="157"/>
      <c r="G1223" s="91">
        <f>SUM(G1224)</f>
        <v>409.8</v>
      </c>
      <c r="H1223" s="20"/>
      <c r="I1223" s="20"/>
    </row>
    <row r="1224" spans="1:9" ht="18.75" customHeight="1">
      <c r="A1224" s="108" t="s">
        <v>483</v>
      </c>
      <c r="B1224" s="120"/>
      <c r="C1224" s="180" t="s">
        <v>614</v>
      </c>
      <c r="D1224" s="180" t="s">
        <v>237</v>
      </c>
      <c r="E1224" s="180" t="s">
        <v>76</v>
      </c>
      <c r="F1224" s="158" t="s">
        <v>933</v>
      </c>
      <c r="G1224" s="91">
        <v>409.8</v>
      </c>
      <c r="H1224" s="20">
        <v>187516.5</v>
      </c>
      <c r="I1224" s="20">
        <f>SUM(H1224/G1224*100)</f>
        <v>45758.05270863836</v>
      </c>
    </row>
    <row r="1225" spans="1:9" ht="19.5" customHeight="1" hidden="1">
      <c r="A1225" s="108" t="s">
        <v>830</v>
      </c>
      <c r="B1225" s="120"/>
      <c r="C1225" s="180" t="s">
        <v>614</v>
      </c>
      <c r="D1225" s="180" t="s">
        <v>237</v>
      </c>
      <c r="E1225" s="180" t="s">
        <v>70</v>
      </c>
      <c r="F1225" s="158"/>
      <c r="G1225" s="91">
        <f>SUM(G1226)</f>
        <v>0</v>
      </c>
      <c r="H1225" s="20">
        <f>SUM(H1226)</f>
        <v>120.3</v>
      </c>
      <c r="I1225" s="20" t="e">
        <f t="shared" si="33"/>
        <v>#DIV/0!</v>
      </c>
    </row>
    <row r="1226" spans="1:9" ht="19.5" customHeight="1" hidden="1">
      <c r="A1226" s="108" t="s">
        <v>71</v>
      </c>
      <c r="B1226" s="120"/>
      <c r="C1226" s="180" t="s">
        <v>614</v>
      </c>
      <c r="D1226" s="180" t="s">
        <v>237</v>
      </c>
      <c r="E1226" s="180" t="s">
        <v>70</v>
      </c>
      <c r="F1226" s="158" t="s">
        <v>72</v>
      </c>
      <c r="G1226" s="91"/>
      <c r="H1226" s="20">
        <v>120.3</v>
      </c>
      <c r="I1226" s="20" t="e">
        <f t="shared" si="33"/>
        <v>#DIV/0!</v>
      </c>
    </row>
    <row r="1227" spans="1:9" ht="19.5" customHeight="1" hidden="1">
      <c r="A1227" s="108" t="s">
        <v>68</v>
      </c>
      <c r="B1227" s="120"/>
      <c r="C1227" s="180" t="s">
        <v>614</v>
      </c>
      <c r="D1227" s="180" t="s">
        <v>237</v>
      </c>
      <c r="E1227" s="180" t="s">
        <v>67</v>
      </c>
      <c r="F1227" s="157" t="s">
        <v>69</v>
      </c>
      <c r="G1227" s="91"/>
      <c r="H1227" s="20"/>
      <c r="I1227" s="20" t="e">
        <f t="shared" si="33"/>
        <v>#DIV/0!</v>
      </c>
    </row>
    <row r="1228" spans="1:9" ht="19.5" customHeight="1" hidden="1">
      <c r="A1228" s="108" t="s">
        <v>73</v>
      </c>
      <c r="B1228" s="155"/>
      <c r="C1228" s="180" t="s">
        <v>614</v>
      </c>
      <c r="D1228" s="180" t="s">
        <v>237</v>
      </c>
      <c r="E1228" s="180" t="s">
        <v>74</v>
      </c>
      <c r="F1228" s="157"/>
      <c r="G1228" s="91">
        <f>SUM(G1229)</f>
        <v>0</v>
      </c>
      <c r="H1228" s="20">
        <f>SUM(H1229)</f>
        <v>24134</v>
      </c>
      <c r="I1228" s="20" t="e">
        <f t="shared" si="33"/>
        <v>#DIV/0!</v>
      </c>
    </row>
    <row r="1229" spans="1:9" ht="19.5" customHeight="1" hidden="1">
      <c r="A1229" s="108" t="s">
        <v>483</v>
      </c>
      <c r="B1229" s="155"/>
      <c r="C1229" s="180" t="s">
        <v>614</v>
      </c>
      <c r="D1229" s="180" t="s">
        <v>237</v>
      </c>
      <c r="E1229" s="180" t="s">
        <v>74</v>
      </c>
      <c r="F1229" s="157" t="s">
        <v>933</v>
      </c>
      <c r="G1229" s="91"/>
      <c r="H1229" s="20">
        <v>24134</v>
      </c>
      <c r="I1229" s="20" t="e">
        <f t="shared" si="33"/>
        <v>#DIV/0!</v>
      </c>
    </row>
    <row r="1230" spans="1:9" ht="19.5" customHeight="1" hidden="1">
      <c r="A1230" s="108" t="s">
        <v>75</v>
      </c>
      <c r="B1230" s="155"/>
      <c r="C1230" s="180" t="s">
        <v>614</v>
      </c>
      <c r="D1230" s="180" t="s">
        <v>237</v>
      </c>
      <c r="E1230" s="180" t="s">
        <v>573</v>
      </c>
      <c r="F1230" s="157"/>
      <c r="G1230" s="91"/>
      <c r="H1230" s="20"/>
      <c r="I1230" s="20"/>
    </row>
    <row r="1231" spans="1:9" ht="19.5" customHeight="1" hidden="1">
      <c r="A1231" s="108"/>
      <c r="B1231" s="155"/>
      <c r="C1231" s="180"/>
      <c r="D1231" s="180"/>
      <c r="E1231" s="180"/>
      <c r="F1231" s="157"/>
      <c r="G1231" s="91"/>
      <c r="H1231" s="20"/>
      <c r="I1231" s="20"/>
    </row>
    <row r="1232" spans="1:9" ht="19.5" customHeight="1" hidden="1">
      <c r="A1232" s="108" t="s">
        <v>561</v>
      </c>
      <c r="B1232" s="120"/>
      <c r="C1232" s="159" t="s">
        <v>614</v>
      </c>
      <c r="D1232" s="159" t="s">
        <v>237</v>
      </c>
      <c r="E1232" s="159" t="s">
        <v>572</v>
      </c>
      <c r="F1232" s="158" t="s">
        <v>485</v>
      </c>
      <c r="G1232" s="91"/>
      <c r="H1232" s="20">
        <v>56722</v>
      </c>
      <c r="I1232" s="20" t="e">
        <f>SUM(H1232/G1232*100)</f>
        <v>#DIV/0!</v>
      </c>
    </row>
    <row r="1233" spans="1:9" ht="19.5" customHeight="1" hidden="1">
      <c r="A1233" s="108"/>
      <c r="B1233" s="155"/>
      <c r="C1233" s="180"/>
      <c r="D1233" s="180"/>
      <c r="E1233" s="180"/>
      <c r="F1233" s="157"/>
      <c r="G1233" s="91"/>
      <c r="H1233" s="20"/>
      <c r="I1233" s="20"/>
    </row>
    <row r="1234" spans="1:9" ht="19.5" customHeight="1" hidden="1">
      <c r="A1234" s="108" t="s">
        <v>75</v>
      </c>
      <c r="B1234" s="155"/>
      <c r="C1234" s="180" t="s">
        <v>614</v>
      </c>
      <c r="D1234" s="180" t="s">
        <v>237</v>
      </c>
      <c r="E1234" s="180" t="s">
        <v>76</v>
      </c>
      <c r="F1234" s="157"/>
      <c r="G1234" s="91">
        <f>SUM(G1235)</f>
        <v>0</v>
      </c>
      <c r="H1234" s="20">
        <f>SUM(H1235)</f>
        <v>1236.7</v>
      </c>
      <c r="I1234" s="20" t="e">
        <f t="shared" si="33"/>
        <v>#DIV/0!</v>
      </c>
    </row>
    <row r="1235" spans="1:9" ht="19.5" customHeight="1" hidden="1">
      <c r="A1235" s="108" t="s">
        <v>483</v>
      </c>
      <c r="B1235" s="155"/>
      <c r="C1235" s="180" t="s">
        <v>614</v>
      </c>
      <c r="D1235" s="180" t="s">
        <v>237</v>
      </c>
      <c r="E1235" s="180" t="s">
        <v>76</v>
      </c>
      <c r="F1235" s="157" t="s">
        <v>933</v>
      </c>
      <c r="G1235" s="91"/>
      <c r="H1235" s="20">
        <v>1236.7</v>
      </c>
      <c r="I1235" s="20" t="e">
        <f t="shared" si="33"/>
        <v>#DIV/0!</v>
      </c>
    </row>
    <row r="1236" spans="1:9" ht="19.5" customHeight="1" hidden="1">
      <c r="A1236" s="106" t="s">
        <v>77</v>
      </c>
      <c r="B1236" s="155"/>
      <c r="C1236" s="180" t="s">
        <v>614</v>
      </c>
      <c r="D1236" s="180" t="s">
        <v>237</v>
      </c>
      <c r="E1236" s="180" t="s">
        <v>78</v>
      </c>
      <c r="F1236" s="158"/>
      <c r="G1236" s="91">
        <f>SUM(G1238)</f>
        <v>0</v>
      </c>
      <c r="H1236" s="20">
        <f>SUM(H1238)</f>
        <v>0</v>
      </c>
      <c r="I1236" s="20" t="e">
        <f t="shared" si="33"/>
        <v>#DIV/0!</v>
      </c>
    </row>
    <row r="1237" spans="1:9" ht="19.5" customHeight="1" hidden="1">
      <c r="A1237" s="106" t="s">
        <v>28</v>
      </c>
      <c r="B1237" s="155"/>
      <c r="C1237" s="180" t="s">
        <v>614</v>
      </c>
      <c r="D1237" s="180" t="s">
        <v>237</v>
      </c>
      <c r="E1237" s="180" t="s">
        <v>67</v>
      </c>
      <c r="F1237" s="158" t="s">
        <v>29</v>
      </c>
      <c r="G1237" s="91"/>
      <c r="H1237" s="20"/>
      <c r="I1237" s="20" t="e">
        <f t="shared" si="33"/>
        <v>#DIV/0!</v>
      </c>
    </row>
    <row r="1238" spans="1:9" ht="19.5" customHeight="1" hidden="1">
      <c r="A1238" s="108" t="s">
        <v>932</v>
      </c>
      <c r="B1238" s="155"/>
      <c r="C1238" s="180" t="s">
        <v>614</v>
      </c>
      <c r="D1238" s="180" t="s">
        <v>237</v>
      </c>
      <c r="E1238" s="180" t="s">
        <v>78</v>
      </c>
      <c r="F1238" s="158" t="s">
        <v>933</v>
      </c>
      <c r="G1238" s="91"/>
      <c r="H1238" s="20"/>
      <c r="I1238" s="20" t="e">
        <f t="shared" si="33"/>
        <v>#DIV/0!</v>
      </c>
    </row>
    <row r="1239" spans="1:9" ht="18.75" customHeight="1" hidden="1">
      <c r="A1239" s="106" t="s">
        <v>340</v>
      </c>
      <c r="B1239" s="120"/>
      <c r="C1239" s="180" t="s">
        <v>614</v>
      </c>
      <c r="D1239" s="180" t="s">
        <v>237</v>
      </c>
      <c r="E1239" s="159" t="s">
        <v>341</v>
      </c>
      <c r="F1239" s="158"/>
      <c r="G1239" s="91">
        <f>SUM(G1240)</f>
        <v>0</v>
      </c>
      <c r="H1239" s="20">
        <f>SUM(H1240)</f>
        <v>9549.8</v>
      </c>
      <c r="I1239" s="20" t="e">
        <f t="shared" si="33"/>
        <v>#DIV/0!</v>
      </c>
    </row>
    <row r="1240" spans="1:9" ht="52.5" customHeight="1" hidden="1">
      <c r="A1240" s="106" t="s">
        <v>659</v>
      </c>
      <c r="B1240" s="120"/>
      <c r="C1240" s="180" t="s">
        <v>614</v>
      </c>
      <c r="D1240" s="180" t="s">
        <v>237</v>
      </c>
      <c r="E1240" s="159" t="s">
        <v>80</v>
      </c>
      <c r="F1240" s="158"/>
      <c r="G1240" s="91">
        <f>SUM(G1242+G1241)</f>
        <v>0</v>
      </c>
      <c r="H1240" s="20">
        <f>SUM(H1241)</f>
        <v>9549.8</v>
      </c>
      <c r="I1240" s="20" t="e">
        <f t="shared" si="33"/>
        <v>#DIV/0!</v>
      </c>
    </row>
    <row r="1241" spans="1:9" ht="18.75" customHeight="1" hidden="1">
      <c r="A1241" s="108" t="s">
        <v>932</v>
      </c>
      <c r="B1241" s="120"/>
      <c r="C1241" s="180" t="s">
        <v>614</v>
      </c>
      <c r="D1241" s="180" t="s">
        <v>237</v>
      </c>
      <c r="E1241" s="159" t="s">
        <v>80</v>
      </c>
      <c r="F1241" s="158" t="s">
        <v>933</v>
      </c>
      <c r="G1241" s="91"/>
      <c r="H1241" s="20">
        <v>9549.8</v>
      </c>
      <c r="I1241" s="20" t="e">
        <f t="shared" si="33"/>
        <v>#DIV/0!</v>
      </c>
    </row>
    <row r="1242" spans="1:9" ht="24" customHeight="1" hidden="1">
      <c r="A1242" s="105" t="s">
        <v>711</v>
      </c>
      <c r="B1242" s="120"/>
      <c r="C1242" s="159" t="s">
        <v>614</v>
      </c>
      <c r="D1242" s="159" t="s">
        <v>237</v>
      </c>
      <c r="E1242" s="159" t="s">
        <v>80</v>
      </c>
      <c r="F1242" s="158" t="s">
        <v>566</v>
      </c>
      <c r="G1242" s="91"/>
      <c r="H1242" s="20">
        <v>56722</v>
      </c>
      <c r="I1242" s="20" t="e">
        <f>SUM(H1242/G1242*100)</f>
        <v>#DIV/0!</v>
      </c>
    </row>
    <row r="1243" spans="1:9" ht="18.75" customHeight="1">
      <c r="A1243" s="106" t="s">
        <v>634</v>
      </c>
      <c r="B1243" s="174"/>
      <c r="C1243" s="171" t="s">
        <v>614</v>
      </c>
      <c r="D1243" s="171" t="s">
        <v>237</v>
      </c>
      <c r="E1243" s="171" t="s">
        <v>635</v>
      </c>
      <c r="F1243" s="161"/>
      <c r="G1243" s="91">
        <f>SUM(G1250)+G1244+G1247</f>
        <v>18319.7</v>
      </c>
      <c r="H1243" s="20"/>
      <c r="I1243" s="20"/>
    </row>
    <row r="1244" spans="1:9" s="25" customFormat="1" ht="42" customHeight="1" hidden="1">
      <c r="A1244" s="105" t="s">
        <v>821</v>
      </c>
      <c r="B1244" s="163"/>
      <c r="C1244" s="171" t="s">
        <v>614</v>
      </c>
      <c r="D1244" s="171" t="s">
        <v>237</v>
      </c>
      <c r="E1244" s="171" t="s">
        <v>1037</v>
      </c>
      <c r="F1244" s="161"/>
      <c r="G1244" s="91">
        <f>SUM(G1246+G1245)</f>
        <v>0</v>
      </c>
      <c r="H1244" s="20"/>
      <c r="I1244" s="20"/>
    </row>
    <row r="1245" spans="1:9" s="25" customFormat="1" ht="21" customHeight="1" hidden="1">
      <c r="A1245" s="108" t="s">
        <v>483</v>
      </c>
      <c r="B1245" s="163"/>
      <c r="C1245" s="171" t="s">
        <v>614</v>
      </c>
      <c r="D1245" s="171" t="s">
        <v>237</v>
      </c>
      <c r="E1245" s="171" t="s">
        <v>1037</v>
      </c>
      <c r="F1245" s="161" t="s">
        <v>933</v>
      </c>
      <c r="G1245" s="91"/>
      <c r="H1245" s="20"/>
      <c r="I1245" s="20"/>
    </row>
    <row r="1246" spans="1:9" s="25" customFormat="1" ht="18.75" customHeight="1" hidden="1">
      <c r="A1246" s="105" t="s">
        <v>711</v>
      </c>
      <c r="B1246" s="163"/>
      <c r="C1246" s="171" t="s">
        <v>614</v>
      </c>
      <c r="D1246" s="171" t="s">
        <v>237</v>
      </c>
      <c r="E1246" s="171" t="s">
        <v>1037</v>
      </c>
      <c r="F1246" s="161" t="s">
        <v>566</v>
      </c>
      <c r="G1246" s="91"/>
      <c r="H1246" s="20"/>
      <c r="I1246" s="20"/>
    </row>
    <row r="1247" spans="1:9" s="25" customFormat="1" ht="18.75" customHeight="1">
      <c r="A1247" s="105" t="s">
        <v>293</v>
      </c>
      <c r="B1247" s="163"/>
      <c r="C1247" s="171" t="s">
        <v>614</v>
      </c>
      <c r="D1247" s="171" t="s">
        <v>237</v>
      </c>
      <c r="E1247" s="171" t="s">
        <v>98</v>
      </c>
      <c r="F1247" s="161"/>
      <c r="G1247" s="91">
        <f>SUM(G1248:G1249)</f>
        <v>18319.7</v>
      </c>
      <c r="H1247" s="20"/>
      <c r="I1247" s="20"/>
    </row>
    <row r="1248" spans="1:9" s="25" customFormat="1" ht="18.75" customHeight="1">
      <c r="A1248" s="105" t="s">
        <v>876</v>
      </c>
      <c r="B1248" s="163"/>
      <c r="C1248" s="171" t="s">
        <v>614</v>
      </c>
      <c r="D1248" s="171" t="s">
        <v>237</v>
      </c>
      <c r="E1248" s="171" t="s">
        <v>98</v>
      </c>
      <c r="F1248" s="161" t="s">
        <v>877</v>
      </c>
      <c r="G1248" s="91">
        <v>8048.2</v>
      </c>
      <c r="H1248" s="20"/>
      <c r="I1248" s="20"/>
    </row>
    <row r="1249" spans="1:9" s="25" customFormat="1" ht="18.75" customHeight="1">
      <c r="A1249" s="105" t="s">
        <v>711</v>
      </c>
      <c r="B1249" s="163"/>
      <c r="C1249" s="171" t="s">
        <v>614</v>
      </c>
      <c r="D1249" s="171" t="s">
        <v>237</v>
      </c>
      <c r="E1249" s="171" t="s">
        <v>98</v>
      </c>
      <c r="F1249" s="161" t="s">
        <v>566</v>
      </c>
      <c r="G1249" s="91">
        <v>10271.5</v>
      </c>
      <c r="H1249" s="20"/>
      <c r="I1249" s="20"/>
    </row>
    <row r="1250" spans="1:9" ht="35.25" customHeight="1" hidden="1">
      <c r="A1250" s="106" t="s">
        <v>486</v>
      </c>
      <c r="B1250" s="174"/>
      <c r="C1250" s="171" t="s">
        <v>614</v>
      </c>
      <c r="D1250" s="171" t="s">
        <v>237</v>
      </c>
      <c r="E1250" s="171" t="s">
        <v>487</v>
      </c>
      <c r="F1250" s="161"/>
      <c r="G1250" s="91">
        <f>SUM(G1251+G1253)+G1252</f>
        <v>0</v>
      </c>
      <c r="H1250" s="20"/>
      <c r="I1250" s="20"/>
    </row>
    <row r="1251" spans="1:9" ht="18.75" customHeight="1" hidden="1">
      <c r="A1251" s="105" t="s">
        <v>876</v>
      </c>
      <c r="B1251" s="120"/>
      <c r="C1251" s="186" t="s">
        <v>614</v>
      </c>
      <c r="D1251" s="186" t="s">
        <v>237</v>
      </c>
      <c r="E1251" s="171" t="s">
        <v>487</v>
      </c>
      <c r="F1251" s="187" t="s">
        <v>877</v>
      </c>
      <c r="G1251" s="91"/>
      <c r="H1251" s="20"/>
      <c r="I1251" s="20"/>
    </row>
    <row r="1252" spans="1:9" ht="49.5" customHeight="1" hidden="1">
      <c r="A1252" s="108" t="s">
        <v>710</v>
      </c>
      <c r="B1252" s="120"/>
      <c r="C1252" s="186" t="s">
        <v>614</v>
      </c>
      <c r="D1252" s="186" t="s">
        <v>237</v>
      </c>
      <c r="E1252" s="171" t="s">
        <v>487</v>
      </c>
      <c r="F1252" s="158" t="s">
        <v>485</v>
      </c>
      <c r="G1252" s="91"/>
      <c r="H1252" s="20">
        <v>56722</v>
      </c>
      <c r="I1252" s="20" t="e">
        <f>SUM(H1252/G1252*100)</f>
        <v>#DIV/0!</v>
      </c>
    </row>
    <row r="1253" spans="1:9" ht="27.75" customHeight="1" hidden="1">
      <c r="A1253" s="105" t="s">
        <v>711</v>
      </c>
      <c r="B1253" s="120"/>
      <c r="C1253" s="186" t="s">
        <v>614</v>
      </c>
      <c r="D1253" s="186" t="s">
        <v>237</v>
      </c>
      <c r="E1253" s="171" t="s">
        <v>487</v>
      </c>
      <c r="F1253" s="187" t="s">
        <v>566</v>
      </c>
      <c r="G1253" s="91"/>
      <c r="H1253" s="20"/>
      <c r="I1253" s="20"/>
    </row>
    <row r="1254" spans="1:9" ht="19.5" customHeight="1">
      <c r="A1254" s="106" t="s">
        <v>81</v>
      </c>
      <c r="B1254" s="174"/>
      <c r="C1254" s="159" t="s">
        <v>614</v>
      </c>
      <c r="D1254" s="159" t="s">
        <v>239</v>
      </c>
      <c r="E1254" s="159"/>
      <c r="F1254" s="157"/>
      <c r="G1254" s="91">
        <f>SUM(G1260+G1300+G1316+G1336)+G1325+G1255+G1333+G1343+G1329</f>
        <v>720193.1000000001</v>
      </c>
      <c r="H1254" s="20">
        <f>SUM(H1260+H1300+H1316+H1332)+H1325+H1255</f>
        <v>377334.5</v>
      </c>
      <c r="I1254" s="20">
        <f t="shared" si="33"/>
        <v>52.39351779404717</v>
      </c>
    </row>
    <row r="1255" spans="1:9" ht="19.5" customHeight="1" hidden="1">
      <c r="A1255" s="106" t="s">
        <v>148</v>
      </c>
      <c r="B1255" s="174"/>
      <c r="C1255" s="159" t="s">
        <v>614</v>
      </c>
      <c r="D1255" s="159" t="s">
        <v>239</v>
      </c>
      <c r="E1255" s="159" t="s">
        <v>150</v>
      </c>
      <c r="F1255" s="157"/>
      <c r="G1255" s="91">
        <f>SUM(G1256+G1258)</f>
        <v>0</v>
      </c>
      <c r="H1255" s="20">
        <f>SUM(H1256+H1258)</f>
        <v>0</v>
      </c>
      <c r="I1255" s="20" t="e">
        <f t="shared" si="33"/>
        <v>#DIV/0!</v>
      </c>
    </row>
    <row r="1256" spans="1:9" ht="19.5" customHeight="1" hidden="1">
      <c r="A1256" s="106" t="s">
        <v>82</v>
      </c>
      <c r="B1256" s="174"/>
      <c r="C1256" s="159" t="s">
        <v>614</v>
      </c>
      <c r="D1256" s="159" t="s">
        <v>239</v>
      </c>
      <c r="E1256" s="159" t="s">
        <v>83</v>
      </c>
      <c r="F1256" s="157"/>
      <c r="G1256" s="91">
        <f>SUM(G1257)</f>
        <v>0</v>
      </c>
      <c r="H1256" s="20">
        <f>SUM(H1257)</f>
        <v>0</v>
      </c>
      <c r="I1256" s="20" t="e">
        <f t="shared" si="33"/>
        <v>#DIV/0!</v>
      </c>
    </row>
    <row r="1257" spans="1:9" ht="19.5" customHeight="1" hidden="1">
      <c r="A1257" s="108" t="s">
        <v>932</v>
      </c>
      <c r="B1257" s="174"/>
      <c r="C1257" s="159" t="s">
        <v>614</v>
      </c>
      <c r="D1257" s="159" t="s">
        <v>239</v>
      </c>
      <c r="E1257" s="159" t="s">
        <v>83</v>
      </c>
      <c r="F1257" s="157" t="s">
        <v>933</v>
      </c>
      <c r="G1257" s="91"/>
      <c r="H1257" s="20"/>
      <c r="I1257" s="20" t="e">
        <f aca="true" t="shared" si="35" ref="I1257:I1328">SUM(H1257/G1257*100)</f>
        <v>#DIV/0!</v>
      </c>
    </row>
    <row r="1258" spans="1:9" ht="19.5" customHeight="1" hidden="1">
      <c r="A1258" s="106" t="s">
        <v>128</v>
      </c>
      <c r="B1258" s="155"/>
      <c r="C1258" s="159" t="s">
        <v>614</v>
      </c>
      <c r="D1258" s="159" t="s">
        <v>239</v>
      </c>
      <c r="E1258" s="155" t="s">
        <v>129</v>
      </c>
      <c r="F1258" s="157"/>
      <c r="G1258" s="91">
        <f>SUM(G1259)</f>
        <v>0</v>
      </c>
      <c r="H1258" s="20">
        <f>SUM(H1259)</f>
        <v>0</v>
      </c>
      <c r="I1258" s="20" t="e">
        <f t="shared" si="35"/>
        <v>#DIV/0!</v>
      </c>
    </row>
    <row r="1259" spans="1:9" ht="19.5" customHeight="1" hidden="1">
      <c r="A1259" s="108" t="s">
        <v>932</v>
      </c>
      <c r="B1259" s="174"/>
      <c r="C1259" s="159" t="s">
        <v>614</v>
      </c>
      <c r="D1259" s="159" t="s">
        <v>239</v>
      </c>
      <c r="E1259" s="159" t="s">
        <v>129</v>
      </c>
      <c r="F1259" s="157" t="s">
        <v>933</v>
      </c>
      <c r="G1259" s="91"/>
      <c r="H1259" s="20"/>
      <c r="I1259" s="20" t="e">
        <f t="shared" si="35"/>
        <v>#DIV/0!</v>
      </c>
    </row>
    <row r="1260" spans="1:9" ht="23.25" customHeight="1">
      <c r="A1260" s="106" t="s">
        <v>84</v>
      </c>
      <c r="B1260" s="174"/>
      <c r="C1260" s="159" t="s">
        <v>614</v>
      </c>
      <c r="D1260" s="159" t="s">
        <v>239</v>
      </c>
      <c r="E1260" s="159" t="s">
        <v>85</v>
      </c>
      <c r="F1260" s="157"/>
      <c r="G1260" s="91">
        <f>SUM(G1261+G1280)</f>
        <v>631794.5</v>
      </c>
      <c r="H1260" s="20">
        <f>SUM(H1280)</f>
        <v>260382.6</v>
      </c>
      <c r="I1260" s="20">
        <f t="shared" si="35"/>
        <v>41.21317928535307</v>
      </c>
    </row>
    <row r="1261" spans="1:9" ht="28.5" customHeight="1">
      <c r="A1261" s="106" t="s">
        <v>361</v>
      </c>
      <c r="B1261" s="174"/>
      <c r="C1261" s="159" t="s">
        <v>614</v>
      </c>
      <c r="D1261" s="159" t="s">
        <v>239</v>
      </c>
      <c r="E1261" s="159" t="s">
        <v>575</v>
      </c>
      <c r="F1261" s="157"/>
      <c r="G1261" s="91">
        <f>SUM(G1264+G1273+G1275+G1277)+G1266+G1262</f>
        <v>290566.60000000003</v>
      </c>
      <c r="H1261" s="20">
        <f>SUM(H1265+H1328+H1326)</f>
        <v>56722</v>
      </c>
      <c r="I1261" s="20">
        <f>SUM(H1261/G1261*100)</f>
        <v>19.521170017476198</v>
      </c>
    </row>
    <row r="1262" spans="1:9" ht="46.5" customHeight="1" hidden="1">
      <c r="A1262" s="106" t="s">
        <v>830</v>
      </c>
      <c r="B1262" s="174"/>
      <c r="C1262" s="159" t="s">
        <v>614</v>
      </c>
      <c r="D1262" s="159" t="s">
        <v>239</v>
      </c>
      <c r="E1262" s="159" t="s">
        <v>832</v>
      </c>
      <c r="F1262" s="157"/>
      <c r="G1262" s="91">
        <f>SUM(G1263)</f>
        <v>0</v>
      </c>
      <c r="H1262" s="20"/>
      <c r="I1262" s="20"/>
    </row>
    <row r="1263" spans="1:9" ht="28.5" customHeight="1" hidden="1">
      <c r="A1263" s="106" t="s">
        <v>711</v>
      </c>
      <c r="B1263" s="174"/>
      <c r="C1263" s="159" t="s">
        <v>614</v>
      </c>
      <c r="D1263" s="159" t="s">
        <v>239</v>
      </c>
      <c r="E1263" s="159" t="s">
        <v>832</v>
      </c>
      <c r="F1263" s="157" t="s">
        <v>566</v>
      </c>
      <c r="G1263" s="91"/>
      <c r="H1263" s="20"/>
      <c r="I1263" s="20"/>
    </row>
    <row r="1264" spans="1:9" ht="43.5" customHeight="1">
      <c r="A1264" s="106" t="s">
        <v>809</v>
      </c>
      <c r="B1264" s="174"/>
      <c r="C1264" s="159" t="s">
        <v>614</v>
      </c>
      <c r="D1264" s="159" t="s">
        <v>239</v>
      </c>
      <c r="E1264" s="159" t="s">
        <v>576</v>
      </c>
      <c r="F1264" s="157"/>
      <c r="G1264" s="91">
        <f>SUM(G1265)</f>
        <v>59848.9</v>
      </c>
      <c r="H1264" s="20"/>
      <c r="I1264" s="20"/>
    </row>
    <row r="1265" spans="1:9" ht="48" customHeight="1">
      <c r="A1265" s="108" t="s">
        <v>710</v>
      </c>
      <c r="B1265" s="120"/>
      <c r="C1265" s="159" t="s">
        <v>614</v>
      </c>
      <c r="D1265" s="159" t="s">
        <v>239</v>
      </c>
      <c r="E1265" s="159" t="s">
        <v>576</v>
      </c>
      <c r="F1265" s="158" t="s">
        <v>485</v>
      </c>
      <c r="G1265" s="91">
        <v>59848.9</v>
      </c>
      <c r="H1265" s="20">
        <v>56722</v>
      </c>
      <c r="I1265" s="20">
        <f aca="true" t="shared" si="36" ref="I1265:I1279">SUM(H1265/G1265*100)</f>
        <v>94.77534257104139</v>
      </c>
    </row>
    <row r="1266" spans="1:9" ht="26.25" customHeight="1">
      <c r="A1266" s="108" t="s">
        <v>711</v>
      </c>
      <c r="B1266" s="174"/>
      <c r="C1266" s="159" t="s">
        <v>614</v>
      </c>
      <c r="D1266" s="159" t="s">
        <v>239</v>
      </c>
      <c r="E1266" s="159" t="s">
        <v>685</v>
      </c>
      <c r="F1266" s="157"/>
      <c r="G1266" s="91">
        <f>SUM(G1272)+G1270+G1267</f>
        <v>285.4</v>
      </c>
      <c r="H1266" s="20"/>
      <c r="I1266" s="20"/>
    </row>
    <row r="1267" spans="1:9" ht="28.5" customHeight="1">
      <c r="A1267" s="108" t="s">
        <v>240</v>
      </c>
      <c r="B1267" s="174"/>
      <c r="C1267" s="159" t="s">
        <v>614</v>
      </c>
      <c r="D1267" s="159" t="s">
        <v>239</v>
      </c>
      <c r="E1267" s="159" t="s">
        <v>244</v>
      </c>
      <c r="F1267" s="157"/>
      <c r="G1267" s="91">
        <f>SUM(G1268)</f>
        <v>45</v>
      </c>
      <c r="H1267" s="20"/>
      <c r="I1267" s="20"/>
    </row>
    <row r="1268" spans="1:9" ht="26.25" customHeight="1">
      <c r="A1268" s="108" t="s">
        <v>711</v>
      </c>
      <c r="B1268" s="174"/>
      <c r="C1268" s="159" t="s">
        <v>614</v>
      </c>
      <c r="D1268" s="159" t="s">
        <v>239</v>
      </c>
      <c r="E1268" s="159" t="s">
        <v>244</v>
      </c>
      <c r="F1268" s="157" t="s">
        <v>566</v>
      </c>
      <c r="G1268" s="91">
        <v>45</v>
      </c>
      <c r="H1268" s="20"/>
      <c r="I1268" s="20"/>
    </row>
    <row r="1269" spans="1:9" ht="33.75" customHeight="1" hidden="1">
      <c r="A1269" s="106" t="s">
        <v>159</v>
      </c>
      <c r="B1269" s="174"/>
      <c r="C1269" s="159" t="s">
        <v>614</v>
      </c>
      <c r="D1269" s="159" t="s">
        <v>239</v>
      </c>
      <c r="E1269" s="159" t="s">
        <v>822</v>
      </c>
      <c r="F1269" s="157"/>
      <c r="G1269" s="91">
        <f>SUM(G1270)</f>
        <v>0</v>
      </c>
      <c r="H1269" s="20"/>
      <c r="I1269" s="20"/>
    </row>
    <row r="1270" spans="1:9" ht="29.25" customHeight="1" hidden="1">
      <c r="A1270" s="108" t="s">
        <v>666</v>
      </c>
      <c r="B1270" s="174"/>
      <c r="C1270" s="159" t="s">
        <v>614</v>
      </c>
      <c r="D1270" s="159" t="s">
        <v>239</v>
      </c>
      <c r="E1270" s="159" t="s">
        <v>822</v>
      </c>
      <c r="F1270" s="157" t="s">
        <v>566</v>
      </c>
      <c r="G1270" s="91"/>
      <c r="H1270" s="20"/>
      <c r="I1270" s="20"/>
    </row>
    <row r="1271" spans="1:9" ht="26.25" customHeight="1">
      <c r="A1271" s="106" t="s">
        <v>838</v>
      </c>
      <c r="B1271" s="174"/>
      <c r="C1271" s="159" t="s">
        <v>614</v>
      </c>
      <c r="D1271" s="159" t="s">
        <v>239</v>
      </c>
      <c r="E1271" s="159" t="s">
        <v>846</v>
      </c>
      <c r="F1271" s="157"/>
      <c r="G1271" s="91">
        <f>SUM(G1272)</f>
        <v>240.4</v>
      </c>
      <c r="H1271" s="20"/>
      <c r="I1271" s="20"/>
    </row>
    <row r="1272" spans="1:9" ht="29.25" customHeight="1">
      <c r="A1272" s="108" t="s">
        <v>666</v>
      </c>
      <c r="B1272" s="174"/>
      <c r="C1272" s="159" t="s">
        <v>614</v>
      </c>
      <c r="D1272" s="159" t="s">
        <v>239</v>
      </c>
      <c r="E1272" s="159" t="s">
        <v>846</v>
      </c>
      <c r="F1272" s="157" t="s">
        <v>566</v>
      </c>
      <c r="G1272" s="91">
        <v>240.4</v>
      </c>
      <c r="H1272" s="20"/>
      <c r="I1272" s="20"/>
    </row>
    <row r="1273" spans="1:11" ht="59.25" customHeight="1">
      <c r="A1273" s="108" t="s">
        <v>491</v>
      </c>
      <c r="B1273" s="120"/>
      <c r="C1273" s="159" t="s">
        <v>614</v>
      </c>
      <c r="D1273" s="159" t="s">
        <v>239</v>
      </c>
      <c r="E1273" s="159" t="s">
        <v>577</v>
      </c>
      <c r="F1273" s="158"/>
      <c r="G1273" s="91">
        <f>SUM(G1274)</f>
        <v>4596</v>
      </c>
      <c r="H1273" s="20">
        <f>SUM(H1274)</f>
        <v>56722</v>
      </c>
      <c r="I1273" s="20">
        <f t="shared" si="36"/>
        <v>1234.160139251523</v>
      </c>
      <c r="K1273" s="95"/>
    </row>
    <row r="1274" spans="1:9" ht="51" customHeight="1">
      <c r="A1274" s="108" t="s">
        <v>710</v>
      </c>
      <c r="B1274" s="120"/>
      <c r="C1274" s="159" t="s">
        <v>614</v>
      </c>
      <c r="D1274" s="159" t="s">
        <v>239</v>
      </c>
      <c r="E1274" s="159" t="s">
        <v>577</v>
      </c>
      <c r="F1274" s="158" t="s">
        <v>485</v>
      </c>
      <c r="G1274" s="91">
        <v>4596</v>
      </c>
      <c r="H1274" s="20">
        <v>56722</v>
      </c>
      <c r="I1274" s="20">
        <f t="shared" si="36"/>
        <v>1234.160139251523</v>
      </c>
    </row>
    <row r="1275" spans="1:9" ht="60.75" customHeight="1">
      <c r="A1275" s="108" t="s">
        <v>494</v>
      </c>
      <c r="B1275" s="120"/>
      <c r="C1275" s="159" t="s">
        <v>614</v>
      </c>
      <c r="D1275" s="159" t="s">
        <v>239</v>
      </c>
      <c r="E1275" s="159" t="s">
        <v>578</v>
      </c>
      <c r="F1275" s="158"/>
      <c r="G1275" s="91">
        <f>SUM(G1276)</f>
        <v>341.5</v>
      </c>
      <c r="H1275" s="20" t="e">
        <f>SUM(H1277)</f>
        <v>#REF!</v>
      </c>
      <c r="I1275" s="20" t="e">
        <f t="shared" si="36"/>
        <v>#REF!</v>
      </c>
    </row>
    <row r="1276" spans="1:9" ht="23.25" customHeight="1">
      <c r="A1276" s="105" t="s">
        <v>711</v>
      </c>
      <c r="B1276" s="120"/>
      <c r="C1276" s="159" t="s">
        <v>614</v>
      </c>
      <c r="D1276" s="159" t="s">
        <v>239</v>
      </c>
      <c r="E1276" s="180" t="s">
        <v>578</v>
      </c>
      <c r="F1276" s="158" t="s">
        <v>566</v>
      </c>
      <c r="G1276" s="91">
        <v>341.5</v>
      </c>
      <c r="H1276" s="20">
        <v>56722</v>
      </c>
      <c r="I1276" s="20">
        <f t="shared" si="36"/>
        <v>16609.663250366033</v>
      </c>
    </row>
    <row r="1277" spans="1:9" ht="36.75" customHeight="1">
      <c r="A1277" s="108" t="s">
        <v>584</v>
      </c>
      <c r="B1277" s="120"/>
      <c r="C1277" s="159" t="s">
        <v>614</v>
      </c>
      <c r="D1277" s="159" t="s">
        <v>239</v>
      </c>
      <c r="E1277" s="159" t="s">
        <v>579</v>
      </c>
      <c r="F1277" s="158"/>
      <c r="G1277" s="91">
        <f>SUM(G1279+G1278)</f>
        <v>225494.80000000002</v>
      </c>
      <c r="H1277" s="20" t="e">
        <f>SUM(#REF!)</f>
        <v>#REF!</v>
      </c>
      <c r="I1277" s="20" t="e">
        <f t="shared" si="36"/>
        <v>#REF!</v>
      </c>
    </row>
    <row r="1278" spans="1:9" ht="23.25" customHeight="1">
      <c r="A1278" s="108" t="s">
        <v>711</v>
      </c>
      <c r="B1278" s="120"/>
      <c r="C1278" s="159" t="s">
        <v>614</v>
      </c>
      <c r="D1278" s="159" t="s">
        <v>239</v>
      </c>
      <c r="E1278" s="159" t="s">
        <v>579</v>
      </c>
      <c r="F1278" s="158" t="s">
        <v>566</v>
      </c>
      <c r="G1278" s="91">
        <v>2288.1</v>
      </c>
      <c r="H1278" s="20"/>
      <c r="I1278" s="20"/>
    </row>
    <row r="1279" spans="1:9" ht="51" customHeight="1">
      <c r="A1279" s="108" t="s">
        <v>363</v>
      </c>
      <c r="B1279" s="120"/>
      <c r="C1279" s="159" t="s">
        <v>614</v>
      </c>
      <c r="D1279" s="159" t="s">
        <v>239</v>
      </c>
      <c r="E1279" s="159" t="s">
        <v>579</v>
      </c>
      <c r="F1279" s="158" t="s">
        <v>875</v>
      </c>
      <c r="G1279" s="91">
        <v>223206.7</v>
      </c>
      <c r="H1279" s="20">
        <v>56722</v>
      </c>
      <c r="I1279" s="20">
        <f t="shared" si="36"/>
        <v>25.4123196122697</v>
      </c>
    </row>
    <row r="1280" spans="1:9" ht="37.5" customHeight="1">
      <c r="A1280" s="106" t="s">
        <v>482</v>
      </c>
      <c r="B1280" s="174"/>
      <c r="C1280" s="159" t="s">
        <v>614</v>
      </c>
      <c r="D1280" s="159" t="s">
        <v>239</v>
      </c>
      <c r="E1280" s="159" t="s">
        <v>86</v>
      </c>
      <c r="F1280" s="157"/>
      <c r="G1280" s="91">
        <f>SUM(G1281+G1289+G1293+G1298)+G1282+G1291</f>
        <v>341227.9</v>
      </c>
      <c r="H1280" s="20">
        <f>SUM(H1281+H1289+H1291+H1298)+H1293+H1283+H1287+H1296</f>
        <v>260382.6</v>
      </c>
      <c r="I1280" s="20">
        <f t="shared" si="35"/>
        <v>76.30753522792246</v>
      </c>
    </row>
    <row r="1281" spans="1:9" ht="19.5" customHeight="1">
      <c r="A1281" s="108" t="s">
        <v>483</v>
      </c>
      <c r="B1281" s="120"/>
      <c r="C1281" s="159" t="s">
        <v>614</v>
      </c>
      <c r="D1281" s="159" t="s">
        <v>239</v>
      </c>
      <c r="E1281" s="159" t="s">
        <v>86</v>
      </c>
      <c r="F1281" s="158" t="s">
        <v>933</v>
      </c>
      <c r="G1281" s="91">
        <v>69159.2</v>
      </c>
      <c r="H1281" s="20">
        <v>53118.9</v>
      </c>
      <c r="I1281" s="20">
        <f t="shared" si="35"/>
        <v>76.80670106074102</v>
      </c>
    </row>
    <row r="1282" spans="1:9" ht="48.75" customHeight="1" hidden="1">
      <c r="A1282" s="108" t="s">
        <v>830</v>
      </c>
      <c r="B1282" s="120"/>
      <c r="C1282" s="159" t="s">
        <v>614</v>
      </c>
      <c r="D1282" s="159" t="s">
        <v>239</v>
      </c>
      <c r="E1282" s="159" t="s">
        <v>89</v>
      </c>
      <c r="F1282" s="158"/>
      <c r="G1282" s="91">
        <f>SUM(G1283)</f>
        <v>0</v>
      </c>
      <c r="H1282" s="20">
        <f>SUM(H1283)</f>
        <v>0</v>
      </c>
      <c r="I1282" s="20" t="e">
        <f t="shared" si="35"/>
        <v>#DIV/0!</v>
      </c>
    </row>
    <row r="1283" spans="1:9" ht="19.5" customHeight="1" hidden="1">
      <c r="A1283" s="108" t="s">
        <v>932</v>
      </c>
      <c r="B1283" s="120"/>
      <c r="C1283" s="159" t="s">
        <v>614</v>
      </c>
      <c r="D1283" s="159" t="s">
        <v>239</v>
      </c>
      <c r="E1283" s="159" t="s">
        <v>89</v>
      </c>
      <c r="F1283" s="158" t="s">
        <v>933</v>
      </c>
      <c r="G1283" s="91"/>
      <c r="H1283" s="20"/>
      <c r="I1283" s="20" t="e">
        <f>SUM(H1283/G1283*100)</f>
        <v>#DIV/0!</v>
      </c>
    </row>
    <row r="1284" spans="1:9" ht="19.5" customHeight="1" hidden="1">
      <c r="A1284" s="108" t="s">
        <v>68</v>
      </c>
      <c r="B1284" s="120"/>
      <c r="C1284" s="159" t="s">
        <v>614</v>
      </c>
      <c r="D1284" s="159" t="s">
        <v>239</v>
      </c>
      <c r="E1284" s="159" t="s">
        <v>86</v>
      </c>
      <c r="F1284" s="157" t="s">
        <v>69</v>
      </c>
      <c r="G1284" s="91"/>
      <c r="H1284" s="20"/>
      <c r="I1284" s="20" t="e">
        <f t="shared" si="35"/>
        <v>#DIV/0!</v>
      </c>
    </row>
    <row r="1285" spans="1:9" ht="19.5" customHeight="1" hidden="1">
      <c r="A1285" s="108" t="s">
        <v>932</v>
      </c>
      <c r="B1285" s="120"/>
      <c r="C1285" s="159" t="s">
        <v>614</v>
      </c>
      <c r="D1285" s="159" t="s">
        <v>239</v>
      </c>
      <c r="E1285" s="180" t="s">
        <v>91</v>
      </c>
      <c r="F1285" s="158" t="s">
        <v>933</v>
      </c>
      <c r="G1285" s="91"/>
      <c r="H1285" s="20"/>
      <c r="I1285" s="20" t="e">
        <f t="shared" si="35"/>
        <v>#DIV/0!</v>
      </c>
    </row>
    <row r="1286" spans="1:9" ht="19.5" customHeight="1" hidden="1">
      <c r="A1286" s="108" t="s">
        <v>87</v>
      </c>
      <c r="B1286" s="120"/>
      <c r="C1286" s="159" t="s">
        <v>614</v>
      </c>
      <c r="D1286" s="159" t="s">
        <v>239</v>
      </c>
      <c r="E1286" s="159" t="s">
        <v>86</v>
      </c>
      <c r="F1286" s="158" t="s">
        <v>88</v>
      </c>
      <c r="G1286" s="91"/>
      <c r="H1286" s="20"/>
      <c r="I1286" s="20" t="e">
        <f t="shared" si="35"/>
        <v>#DIV/0!</v>
      </c>
    </row>
    <row r="1287" spans="1:9" ht="19.5" customHeight="1" hidden="1">
      <c r="A1287" s="108" t="s">
        <v>90</v>
      </c>
      <c r="B1287" s="120"/>
      <c r="C1287" s="159" t="s">
        <v>614</v>
      </c>
      <c r="D1287" s="159" t="s">
        <v>239</v>
      </c>
      <c r="E1287" s="180" t="s">
        <v>91</v>
      </c>
      <c r="F1287" s="158"/>
      <c r="G1287" s="91">
        <f>SUM(G1288)</f>
        <v>0</v>
      </c>
      <c r="H1287" s="20">
        <f>SUM(H1288)</f>
        <v>0</v>
      </c>
      <c r="I1287" s="20" t="e">
        <f t="shared" si="35"/>
        <v>#DIV/0!</v>
      </c>
    </row>
    <row r="1288" spans="1:9" ht="19.5" customHeight="1" hidden="1">
      <c r="A1288" s="108" t="s">
        <v>932</v>
      </c>
      <c r="B1288" s="120"/>
      <c r="C1288" s="159" t="s">
        <v>614</v>
      </c>
      <c r="D1288" s="159" t="s">
        <v>239</v>
      </c>
      <c r="E1288" s="180" t="s">
        <v>91</v>
      </c>
      <c r="F1288" s="158" t="s">
        <v>933</v>
      </c>
      <c r="G1288" s="91"/>
      <c r="H1288" s="20"/>
      <c r="I1288" s="20" t="e">
        <f t="shared" si="35"/>
        <v>#DIV/0!</v>
      </c>
    </row>
    <row r="1289" spans="1:9" ht="60.75" customHeight="1">
      <c r="A1289" s="108" t="s">
        <v>491</v>
      </c>
      <c r="B1289" s="120"/>
      <c r="C1289" s="159" t="s">
        <v>614</v>
      </c>
      <c r="D1289" s="159" t="s">
        <v>239</v>
      </c>
      <c r="E1289" s="159" t="s">
        <v>492</v>
      </c>
      <c r="F1289" s="158"/>
      <c r="G1289" s="91">
        <f>SUM(G1290)</f>
        <v>5456</v>
      </c>
      <c r="H1289" s="20">
        <f>SUM(H1290)</f>
        <v>5014</v>
      </c>
      <c r="I1289" s="20">
        <f t="shared" si="35"/>
        <v>91.89882697947213</v>
      </c>
    </row>
    <row r="1290" spans="1:9" ht="17.25" customHeight="1">
      <c r="A1290" s="108" t="s">
        <v>483</v>
      </c>
      <c r="B1290" s="120"/>
      <c r="C1290" s="159" t="s">
        <v>614</v>
      </c>
      <c r="D1290" s="159" t="s">
        <v>239</v>
      </c>
      <c r="E1290" s="159" t="s">
        <v>492</v>
      </c>
      <c r="F1290" s="158" t="s">
        <v>933</v>
      </c>
      <c r="G1290" s="91">
        <v>5456</v>
      </c>
      <c r="H1290" s="20">
        <v>5014</v>
      </c>
      <c r="I1290" s="20">
        <f t="shared" si="35"/>
        <v>91.89882697947213</v>
      </c>
    </row>
    <row r="1291" spans="1:9" ht="28.5" hidden="1">
      <c r="A1291" s="106" t="s">
        <v>819</v>
      </c>
      <c r="B1291" s="155"/>
      <c r="C1291" s="159" t="s">
        <v>614</v>
      </c>
      <c r="D1291" s="159" t="s">
        <v>239</v>
      </c>
      <c r="E1291" s="159" t="s">
        <v>823</v>
      </c>
      <c r="F1291" s="158"/>
      <c r="G1291" s="91">
        <f>SUM(G1292)</f>
        <v>0</v>
      </c>
      <c r="H1291" s="20">
        <f>SUM(H1292)</f>
        <v>0</v>
      </c>
      <c r="I1291" s="20" t="e">
        <f t="shared" si="35"/>
        <v>#DIV/0!</v>
      </c>
    </row>
    <row r="1292" spans="1:9" ht="15" hidden="1">
      <c r="A1292" s="108" t="s">
        <v>932</v>
      </c>
      <c r="B1292" s="155"/>
      <c r="C1292" s="159" t="s">
        <v>614</v>
      </c>
      <c r="D1292" s="159" t="s">
        <v>239</v>
      </c>
      <c r="E1292" s="159" t="s">
        <v>823</v>
      </c>
      <c r="F1292" s="158" t="s">
        <v>933</v>
      </c>
      <c r="G1292" s="91"/>
      <c r="H1292" s="20"/>
      <c r="I1292" s="20" t="e">
        <f t="shared" si="35"/>
        <v>#DIV/0!</v>
      </c>
    </row>
    <row r="1293" spans="1:9" ht="50.25" customHeight="1">
      <c r="A1293" s="108" t="s">
        <v>494</v>
      </c>
      <c r="B1293" s="120"/>
      <c r="C1293" s="159" t="s">
        <v>614</v>
      </c>
      <c r="D1293" s="159" t="s">
        <v>239</v>
      </c>
      <c r="E1293" s="159" t="s">
        <v>495</v>
      </c>
      <c r="F1293" s="158"/>
      <c r="G1293" s="91">
        <f>SUM(G1295)</f>
        <v>456.2</v>
      </c>
      <c r="H1293" s="20">
        <f>SUM(H1295)</f>
        <v>454</v>
      </c>
      <c r="I1293" s="20">
        <f t="shared" si="35"/>
        <v>99.51775537045155</v>
      </c>
    </row>
    <row r="1294" spans="1:9" ht="28.5" customHeight="1" hidden="1">
      <c r="A1294" s="106" t="s">
        <v>28</v>
      </c>
      <c r="B1294" s="120"/>
      <c r="C1294" s="159" t="s">
        <v>614</v>
      </c>
      <c r="D1294" s="159" t="s">
        <v>239</v>
      </c>
      <c r="E1294" s="159" t="s">
        <v>86</v>
      </c>
      <c r="F1294" s="158" t="s">
        <v>29</v>
      </c>
      <c r="G1294" s="91"/>
      <c r="H1294" s="20"/>
      <c r="I1294" s="20" t="e">
        <f t="shared" si="35"/>
        <v>#DIV/0!</v>
      </c>
    </row>
    <row r="1295" spans="1:11" ht="20.25" customHeight="1">
      <c r="A1295" s="108" t="s">
        <v>483</v>
      </c>
      <c r="B1295" s="120"/>
      <c r="C1295" s="159" t="s">
        <v>614</v>
      </c>
      <c r="D1295" s="159" t="s">
        <v>239</v>
      </c>
      <c r="E1295" s="159" t="s">
        <v>495</v>
      </c>
      <c r="F1295" s="158" t="s">
        <v>933</v>
      </c>
      <c r="G1295" s="91">
        <v>456.2</v>
      </c>
      <c r="H1295" s="20">
        <v>454</v>
      </c>
      <c r="I1295" s="20">
        <f t="shared" si="35"/>
        <v>99.51775537045155</v>
      </c>
      <c r="K1295" s="95"/>
    </row>
    <row r="1296" spans="1:9" ht="19.5" customHeight="1" hidden="1">
      <c r="A1296" s="108" t="s">
        <v>30</v>
      </c>
      <c r="B1296" s="120"/>
      <c r="C1296" s="159" t="s">
        <v>614</v>
      </c>
      <c r="D1296" s="159" t="s">
        <v>239</v>
      </c>
      <c r="E1296" s="159" t="s">
        <v>31</v>
      </c>
      <c r="F1296" s="158"/>
      <c r="G1296" s="91">
        <f>SUM(G1297)</f>
        <v>0</v>
      </c>
      <c r="H1296" s="20">
        <f>SUM(H1297)</f>
        <v>0</v>
      </c>
      <c r="I1296" s="20" t="e">
        <f t="shared" si="35"/>
        <v>#DIV/0!</v>
      </c>
    </row>
    <row r="1297" spans="1:9" ht="19.5" customHeight="1" hidden="1">
      <c r="A1297" s="108" t="s">
        <v>32</v>
      </c>
      <c r="B1297" s="120"/>
      <c r="C1297" s="159" t="s">
        <v>614</v>
      </c>
      <c r="D1297" s="159" t="s">
        <v>239</v>
      </c>
      <c r="E1297" s="159" t="s">
        <v>31</v>
      </c>
      <c r="F1297" s="158" t="s">
        <v>33</v>
      </c>
      <c r="G1297" s="91"/>
      <c r="H1297" s="20"/>
      <c r="I1297" s="20" t="e">
        <f t="shared" si="35"/>
        <v>#DIV/0!</v>
      </c>
    </row>
    <row r="1298" spans="1:9" ht="52.5" customHeight="1">
      <c r="A1298" s="108" t="s">
        <v>34</v>
      </c>
      <c r="B1298" s="120"/>
      <c r="C1298" s="159" t="s">
        <v>614</v>
      </c>
      <c r="D1298" s="159" t="s">
        <v>239</v>
      </c>
      <c r="E1298" s="159" t="s">
        <v>35</v>
      </c>
      <c r="F1298" s="158"/>
      <c r="G1298" s="91">
        <f>SUM(G1299)</f>
        <v>266156.5</v>
      </c>
      <c r="H1298" s="20">
        <f>SUM(H1299)</f>
        <v>201795.7</v>
      </c>
      <c r="I1298" s="20">
        <f t="shared" si="35"/>
        <v>75.81843764852634</v>
      </c>
    </row>
    <row r="1299" spans="1:9" ht="15">
      <c r="A1299" s="108" t="s">
        <v>483</v>
      </c>
      <c r="B1299" s="120"/>
      <c r="C1299" s="159" t="s">
        <v>614</v>
      </c>
      <c r="D1299" s="159" t="s">
        <v>239</v>
      </c>
      <c r="E1299" s="159" t="s">
        <v>35</v>
      </c>
      <c r="F1299" s="158" t="s">
        <v>933</v>
      </c>
      <c r="G1299" s="91">
        <v>266156.5</v>
      </c>
      <c r="H1299" s="20">
        <v>201795.7</v>
      </c>
      <c r="I1299" s="20">
        <f t="shared" si="35"/>
        <v>75.81843764852634</v>
      </c>
    </row>
    <row r="1300" spans="1:9" ht="15" customHeight="1">
      <c r="A1300" s="106" t="s">
        <v>36</v>
      </c>
      <c r="B1300" s="155"/>
      <c r="C1300" s="159" t="s">
        <v>614</v>
      </c>
      <c r="D1300" s="159" t="s">
        <v>239</v>
      </c>
      <c r="E1300" s="159" t="s">
        <v>37</v>
      </c>
      <c r="F1300" s="157"/>
      <c r="G1300" s="91">
        <f>SUM(G1301)</f>
        <v>31097.6</v>
      </c>
      <c r="H1300" s="20">
        <f>SUM(H1307)</f>
        <v>39140.2</v>
      </c>
      <c r="I1300" s="20">
        <f t="shared" si="35"/>
        <v>125.86244597653837</v>
      </c>
    </row>
    <row r="1301" spans="1:9" ht="28.5" customHeight="1">
      <c r="A1301" s="106" t="s">
        <v>361</v>
      </c>
      <c r="B1301" s="174"/>
      <c r="C1301" s="159" t="s">
        <v>614</v>
      </c>
      <c r="D1301" s="159" t="s">
        <v>239</v>
      </c>
      <c r="E1301" s="159" t="s">
        <v>559</v>
      </c>
      <c r="F1301" s="157"/>
      <c r="G1301" s="91">
        <f>SUM(G1304+G1306+G1308+G1310)+G1302</f>
        <v>31097.6</v>
      </c>
      <c r="H1301" s="20" t="e">
        <f>SUM(H1305+H1379+H1375)</f>
        <v>#REF!</v>
      </c>
      <c r="I1301" s="20" t="e">
        <f>SUM(H1301/G1301*100)</f>
        <v>#REF!</v>
      </c>
    </row>
    <row r="1302" spans="1:9" ht="28.5" customHeight="1" hidden="1">
      <c r="A1302" s="106" t="s">
        <v>830</v>
      </c>
      <c r="B1302" s="174"/>
      <c r="C1302" s="159" t="s">
        <v>614</v>
      </c>
      <c r="D1302" s="159" t="s">
        <v>239</v>
      </c>
      <c r="E1302" s="159" t="s">
        <v>833</v>
      </c>
      <c r="F1302" s="157"/>
      <c r="G1302" s="91">
        <f>SUM(G1303)</f>
        <v>0</v>
      </c>
      <c r="H1302" s="20"/>
      <c r="I1302" s="20"/>
    </row>
    <row r="1303" spans="1:9" ht="28.5" customHeight="1" hidden="1">
      <c r="A1303" s="106" t="s">
        <v>711</v>
      </c>
      <c r="B1303" s="174"/>
      <c r="C1303" s="159" t="s">
        <v>614</v>
      </c>
      <c r="D1303" s="159" t="s">
        <v>239</v>
      </c>
      <c r="E1303" s="159" t="s">
        <v>833</v>
      </c>
      <c r="F1303" s="157" t="s">
        <v>566</v>
      </c>
      <c r="G1303" s="91"/>
      <c r="H1303" s="20"/>
      <c r="I1303" s="20"/>
    </row>
    <row r="1304" spans="1:9" ht="43.5" customHeight="1">
      <c r="A1304" s="106" t="s">
        <v>585</v>
      </c>
      <c r="B1304" s="174"/>
      <c r="C1304" s="159" t="s">
        <v>614</v>
      </c>
      <c r="D1304" s="159" t="s">
        <v>239</v>
      </c>
      <c r="E1304" s="159" t="s">
        <v>560</v>
      </c>
      <c r="F1304" s="157"/>
      <c r="G1304" s="91">
        <f>SUM(G1305)</f>
        <v>31097.6</v>
      </c>
      <c r="H1304" s="20"/>
      <c r="I1304" s="20"/>
    </row>
    <row r="1305" spans="1:9" ht="50.25" customHeight="1">
      <c r="A1305" s="108" t="s">
        <v>710</v>
      </c>
      <c r="B1305" s="120"/>
      <c r="C1305" s="159" t="s">
        <v>614</v>
      </c>
      <c r="D1305" s="159" t="s">
        <v>239</v>
      </c>
      <c r="E1305" s="159" t="s">
        <v>560</v>
      </c>
      <c r="F1305" s="158" t="s">
        <v>485</v>
      </c>
      <c r="G1305" s="91">
        <v>31097.6</v>
      </c>
      <c r="H1305" s="20">
        <v>56722</v>
      </c>
      <c r="I1305" s="20">
        <f>SUM(H1305/G1305*100)</f>
        <v>182.39992796871783</v>
      </c>
    </row>
    <row r="1306" spans="1:9" ht="19.5" customHeight="1" hidden="1">
      <c r="A1306" s="106"/>
      <c r="B1306" s="155"/>
      <c r="C1306" s="159"/>
      <c r="D1306" s="159"/>
      <c r="E1306" s="159"/>
      <c r="F1306" s="157"/>
      <c r="G1306" s="91"/>
      <c r="H1306" s="20"/>
      <c r="I1306" s="20"/>
    </row>
    <row r="1307" spans="1:9" ht="19.5" customHeight="1" hidden="1">
      <c r="A1307" s="106" t="s">
        <v>930</v>
      </c>
      <c r="B1307" s="174"/>
      <c r="C1307" s="159" t="s">
        <v>614</v>
      </c>
      <c r="D1307" s="159" t="s">
        <v>239</v>
      </c>
      <c r="E1307" s="159" t="s">
        <v>38</v>
      </c>
      <c r="F1307" s="157"/>
      <c r="G1307" s="91">
        <f>SUM(G1308+G1313+G1309)</f>
        <v>0</v>
      </c>
      <c r="H1307" s="20">
        <f>SUM(H1308+H1313+H1309)</f>
        <v>39140.2</v>
      </c>
      <c r="I1307" s="20" t="e">
        <f t="shared" si="35"/>
        <v>#DIV/0!</v>
      </c>
    </row>
    <row r="1308" spans="1:9" ht="19.5" customHeight="1" hidden="1">
      <c r="A1308" s="108" t="s">
        <v>483</v>
      </c>
      <c r="B1308" s="120"/>
      <c r="C1308" s="159" t="s">
        <v>614</v>
      </c>
      <c r="D1308" s="159" t="s">
        <v>239</v>
      </c>
      <c r="E1308" s="159" t="s">
        <v>38</v>
      </c>
      <c r="F1308" s="158" t="s">
        <v>933</v>
      </c>
      <c r="G1308" s="91"/>
      <c r="H1308" s="20">
        <v>39061.6</v>
      </c>
      <c r="I1308" s="20" t="e">
        <f t="shared" si="35"/>
        <v>#DIV/0!</v>
      </c>
    </row>
    <row r="1309" spans="1:9" ht="19.5" customHeight="1" hidden="1">
      <c r="A1309" s="108" t="s">
        <v>830</v>
      </c>
      <c r="B1309" s="120"/>
      <c r="C1309" s="159" t="s">
        <v>614</v>
      </c>
      <c r="D1309" s="159" t="s">
        <v>239</v>
      </c>
      <c r="E1309" s="159" t="s">
        <v>41</v>
      </c>
      <c r="F1309" s="158"/>
      <c r="G1309" s="91">
        <f>SUM(G1310)</f>
        <v>0</v>
      </c>
      <c r="H1309" s="20">
        <f>SUM(H1310)</f>
        <v>78.6</v>
      </c>
      <c r="I1309" s="20" t="e">
        <f t="shared" si="35"/>
        <v>#DIV/0!</v>
      </c>
    </row>
    <row r="1310" spans="1:9" ht="19.5" customHeight="1" hidden="1">
      <c r="A1310" s="108" t="s">
        <v>71</v>
      </c>
      <c r="B1310" s="120"/>
      <c r="C1310" s="159" t="s">
        <v>614</v>
      </c>
      <c r="D1310" s="159" t="s">
        <v>239</v>
      </c>
      <c r="E1310" s="159" t="s">
        <v>41</v>
      </c>
      <c r="F1310" s="158" t="s">
        <v>72</v>
      </c>
      <c r="G1310" s="91"/>
      <c r="H1310" s="20">
        <v>78.6</v>
      </c>
      <c r="I1310" s="20" t="e">
        <f t="shared" si="35"/>
        <v>#DIV/0!</v>
      </c>
    </row>
    <row r="1311" spans="1:9" ht="19.5" customHeight="1" hidden="1">
      <c r="A1311" s="108" t="s">
        <v>39</v>
      </c>
      <c r="B1311" s="120"/>
      <c r="C1311" s="159" t="s">
        <v>614</v>
      </c>
      <c r="D1311" s="159" t="s">
        <v>239</v>
      </c>
      <c r="E1311" s="159" t="s">
        <v>38</v>
      </c>
      <c r="F1311" s="158" t="s">
        <v>40</v>
      </c>
      <c r="G1311" s="91"/>
      <c r="H1311" s="20"/>
      <c r="I1311" s="20" t="e">
        <f t="shared" si="35"/>
        <v>#DIV/0!</v>
      </c>
    </row>
    <row r="1312" spans="1:9" ht="19.5" customHeight="1" hidden="1">
      <c r="A1312" s="108" t="s">
        <v>68</v>
      </c>
      <c r="B1312" s="120"/>
      <c r="C1312" s="159" t="s">
        <v>614</v>
      </c>
      <c r="D1312" s="159" t="s">
        <v>239</v>
      </c>
      <c r="E1312" s="159" t="s">
        <v>38</v>
      </c>
      <c r="F1312" s="157" t="s">
        <v>69</v>
      </c>
      <c r="G1312" s="91"/>
      <c r="H1312" s="20"/>
      <c r="I1312" s="20" t="e">
        <f t="shared" si="35"/>
        <v>#DIV/0!</v>
      </c>
    </row>
    <row r="1313" spans="1:9" s="41" customFormat="1" ht="19.5" customHeight="1" hidden="1">
      <c r="A1313" s="106" t="s">
        <v>418</v>
      </c>
      <c r="B1313" s="120"/>
      <c r="C1313" s="159" t="s">
        <v>614</v>
      </c>
      <c r="D1313" s="159" t="s">
        <v>239</v>
      </c>
      <c r="E1313" s="159" t="s">
        <v>42</v>
      </c>
      <c r="F1313" s="158"/>
      <c r="G1313" s="91">
        <f>SUM(G1315)</f>
        <v>0</v>
      </c>
      <c r="H1313" s="20">
        <f>SUM(H1315)</f>
        <v>0</v>
      </c>
      <c r="I1313" s="20" t="e">
        <f t="shared" si="35"/>
        <v>#DIV/0!</v>
      </c>
    </row>
    <row r="1314" spans="1:9" ht="19.5" customHeight="1" hidden="1">
      <c r="A1314" s="106" t="s">
        <v>28</v>
      </c>
      <c r="B1314" s="120"/>
      <c r="C1314" s="159" t="s">
        <v>614</v>
      </c>
      <c r="D1314" s="159" t="s">
        <v>239</v>
      </c>
      <c r="E1314" s="159" t="s">
        <v>38</v>
      </c>
      <c r="F1314" s="158" t="s">
        <v>29</v>
      </c>
      <c r="G1314" s="91"/>
      <c r="H1314" s="20"/>
      <c r="I1314" s="20" t="e">
        <f t="shared" si="35"/>
        <v>#DIV/0!</v>
      </c>
    </row>
    <row r="1315" spans="1:9" ht="19.5" customHeight="1" hidden="1">
      <c r="A1315" s="108" t="s">
        <v>932</v>
      </c>
      <c r="B1315" s="120"/>
      <c r="C1315" s="159" t="s">
        <v>614</v>
      </c>
      <c r="D1315" s="159" t="s">
        <v>239</v>
      </c>
      <c r="E1315" s="159" t="s">
        <v>42</v>
      </c>
      <c r="F1315" s="158" t="s">
        <v>933</v>
      </c>
      <c r="G1315" s="91"/>
      <c r="H1315" s="20"/>
      <c r="I1315" s="20" t="e">
        <f t="shared" si="35"/>
        <v>#DIV/0!</v>
      </c>
    </row>
    <row r="1316" spans="1:9" ht="19.5" customHeight="1">
      <c r="A1316" s="106" t="s">
        <v>52</v>
      </c>
      <c r="B1316" s="159"/>
      <c r="C1316" s="159" t="s">
        <v>614</v>
      </c>
      <c r="D1316" s="159" t="s">
        <v>239</v>
      </c>
      <c r="E1316" s="159" t="s">
        <v>53</v>
      </c>
      <c r="F1316" s="157"/>
      <c r="G1316" s="91">
        <f>SUM(G1317)</f>
        <v>32720.3</v>
      </c>
      <c r="H1316" s="20">
        <f>SUM(H1317)</f>
        <v>13875.4</v>
      </c>
      <c r="I1316" s="20">
        <f t="shared" si="35"/>
        <v>42.40609040870652</v>
      </c>
    </row>
    <row r="1317" spans="1:9" ht="23.25" customHeight="1">
      <c r="A1317" s="106" t="s">
        <v>587</v>
      </c>
      <c r="B1317" s="174"/>
      <c r="C1317" s="159" t="s">
        <v>614</v>
      </c>
      <c r="D1317" s="159" t="s">
        <v>239</v>
      </c>
      <c r="E1317" s="159" t="s">
        <v>54</v>
      </c>
      <c r="F1317" s="157" t="s">
        <v>933</v>
      </c>
      <c r="G1317" s="91">
        <f>SUM(G1319+G1321+G1323)</f>
        <v>32720.3</v>
      </c>
      <c r="H1317" s="20">
        <f>SUM(H1319+H1321+H1323)</f>
        <v>13875.4</v>
      </c>
      <c r="I1317" s="20">
        <f t="shared" si="35"/>
        <v>42.40609040870652</v>
      </c>
    </row>
    <row r="1318" spans="1:9" ht="19.5" customHeight="1" hidden="1">
      <c r="A1318" s="108" t="s">
        <v>932</v>
      </c>
      <c r="B1318" s="120"/>
      <c r="C1318" s="159" t="s">
        <v>614</v>
      </c>
      <c r="D1318" s="159" t="s">
        <v>239</v>
      </c>
      <c r="E1318" s="159" t="s">
        <v>54</v>
      </c>
      <c r="F1318" s="158" t="s">
        <v>933</v>
      </c>
      <c r="G1318" s="91"/>
      <c r="H1318" s="20"/>
      <c r="I1318" s="20" t="e">
        <f t="shared" si="35"/>
        <v>#DIV/0!</v>
      </c>
    </row>
    <row r="1319" spans="1:9" ht="55.5" customHeight="1" hidden="1">
      <c r="A1319" s="108" t="s">
        <v>830</v>
      </c>
      <c r="B1319" s="120"/>
      <c r="C1319" s="159" t="s">
        <v>614</v>
      </c>
      <c r="D1319" s="159" t="s">
        <v>239</v>
      </c>
      <c r="E1319" s="159" t="s">
        <v>961</v>
      </c>
      <c r="F1319" s="158"/>
      <c r="G1319" s="91">
        <f>SUM(G1320)</f>
        <v>0</v>
      </c>
      <c r="H1319" s="20">
        <f>SUM(H1320)</f>
        <v>0</v>
      </c>
      <c r="I1319" s="20" t="e">
        <f t="shared" si="35"/>
        <v>#DIV/0!</v>
      </c>
    </row>
    <row r="1320" spans="1:9" ht="19.5" customHeight="1" hidden="1">
      <c r="A1320" s="108" t="s">
        <v>932</v>
      </c>
      <c r="B1320" s="120"/>
      <c r="C1320" s="159" t="s">
        <v>614</v>
      </c>
      <c r="D1320" s="159" t="s">
        <v>239</v>
      </c>
      <c r="E1320" s="159" t="s">
        <v>961</v>
      </c>
      <c r="F1320" s="158" t="s">
        <v>933</v>
      </c>
      <c r="G1320" s="91"/>
      <c r="H1320" s="20"/>
      <c r="I1320" s="20" t="e">
        <f>SUM(H1320/G1320*100)</f>
        <v>#DIV/0!</v>
      </c>
    </row>
    <row r="1321" spans="1:9" ht="51" customHeight="1">
      <c r="A1321" s="108" t="s">
        <v>494</v>
      </c>
      <c r="B1321" s="120"/>
      <c r="C1321" s="159" t="s">
        <v>614</v>
      </c>
      <c r="D1321" s="159" t="s">
        <v>239</v>
      </c>
      <c r="E1321" s="159" t="s">
        <v>55</v>
      </c>
      <c r="F1321" s="158"/>
      <c r="G1321" s="91">
        <f>SUM(G1322)</f>
        <v>33.2</v>
      </c>
      <c r="H1321" s="20">
        <f>SUM(H1322)</f>
        <v>12.8</v>
      </c>
      <c r="I1321" s="20">
        <f t="shared" si="35"/>
        <v>38.554216867469876</v>
      </c>
    </row>
    <row r="1322" spans="1:9" ht="19.5" customHeight="1">
      <c r="A1322" s="108" t="s">
        <v>483</v>
      </c>
      <c r="B1322" s="120"/>
      <c r="C1322" s="159" t="s">
        <v>614</v>
      </c>
      <c r="D1322" s="159" t="s">
        <v>239</v>
      </c>
      <c r="E1322" s="159" t="s">
        <v>55</v>
      </c>
      <c r="F1322" s="158" t="s">
        <v>933</v>
      </c>
      <c r="G1322" s="91">
        <v>33.2</v>
      </c>
      <c r="H1322" s="20">
        <v>12.8</v>
      </c>
      <c r="I1322" s="20">
        <f t="shared" si="35"/>
        <v>38.554216867469876</v>
      </c>
    </row>
    <row r="1323" spans="1:9" ht="75.75" customHeight="1">
      <c r="A1323" s="108" t="s">
        <v>586</v>
      </c>
      <c r="B1323" s="120"/>
      <c r="C1323" s="159" t="s">
        <v>614</v>
      </c>
      <c r="D1323" s="159" t="s">
        <v>239</v>
      </c>
      <c r="E1323" s="159" t="s">
        <v>56</v>
      </c>
      <c r="F1323" s="158"/>
      <c r="G1323" s="91">
        <f>SUM(G1324)</f>
        <v>32687.1</v>
      </c>
      <c r="H1323" s="20">
        <f>SUM(H1324)</f>
        <v>13862.6</v>
      </c>
      <c r="I1323" s="20">
        <f t="shared" si="35"/>
        <v>42.410002722786665</v>
      </c>
    </row>
    <row r="1324" spans="1:9" ht="17.25" customHeight="1">
      <c r="A1324" s="108" t="s">
        <v>483</v>
      </c>
      <c r="B1324" s="120"/>
      <c r="C1324" s="159" t="s">
        <v>614</v>
      </c>
      <c r="D1324" s="159" t="s">
        <v>239</v>
      </c>
      <c r="E1324" s="159" t="s">
        <v>56</v>
      </c>
      <c r="F1324" s="158" t="s">
        <v>933</v>
      </c>
      <c r="G1324" s="91">
        <v>32687.1</v>
      </c>
      <c r="H1324" s="20">
        <v>13862.6</v>
      </c>
      <c r="I1324" s="20">
        <f t="shared" si="35"/>
        <v>42.410002722786665</v>
      </c>
    </row>
    <row r="1325" spans="1:9" ht="15.75" customHeight="1" hidden="1">
      <c r="A1325" s="108" t="s">
        <v>866</v>
      </c>
      <c r="B1325" s="120"/>
      <c r="C1325" s="159" t="s">
        <v>614</v>
      </c>
      <c r="D1325" s="159" t="s">
        <v>239</v>
      </c>
      <c r="E1325" s="159" t="s">
        <v>867</v>
      </c>
      <c r="F1325" s="158"/>
      <c r="G1325" s="91">
        <f aca="true" t="shared" si="37" ref="G1325:H1327">SUM(G1326)</f>
        <v>0</v>
      </c>
      <c r="H1325" s="20">
        <f t="shared" si="37"/>
        <v>0</v>
      </c>
      <c r="I1325" s="20" t="e">
        <f t="shared" si="35"/>
        <v>#DIV/0!</v>
      </c>
    </row>
    <row r="1326" spans="1:9" ht="28.5" customHeight="1" hidden="1">
      <c r="A1326" s="108" t="s">
        <v>90</v>
      </c>
      <c r="B1326" s="120"/>
      <c r="C1326" s="159" t="s">
        <v>614</v>
      </c>
      <c r="D1326" s="159" t="s">
        <v>239</v>
      </c>
      <c r="E1326" s="159" t="s">
        <v>868</v>
      </c>
      <c r="F1326" s="158"/>
      <c r="G1326" s="91">
        <f t="shared" si="37"/>
        <v>0</v>
      </c>
      <c r="H1326" s="20">
        <f t="shared" si="37"/>
        <v>0</v>
      </c>
      <c r="I1326" s="20" t="e">
        <f t="shared" si="35"/>
        <v>#DIV/0!</v>
      </c>
    </row>
    <row r="1327" spans="1:9" s="33" customFormat="1" ht="28.5" customHeight="1" hidden="1">
      <c r="A1327" s="108" t="s">
        <v>419</v>
      </c>
      <c r="B1327" s="120"/>
      <c r="C1327" s="159" t="s">
        <v>614</v>
      </c>
      <c r="D1327" s="159" t="s">
        <v>239</v>
      </c>
      <c r="E1327" s="159" t="s">
        <v>869</v>
      </c>
      <c r="F1327" s="158"/>
      <c r="G1327" s="91">
        <f t="shared" si="37"/>
        <v>0</v>
      </c>
      <c r="H1327" s="20">
        <f t="shared" si="37"/>
        <v>0</v>
      </c>
      <c r="I1327" s="20" t="e">
        <f t="shared" si="35"/>
        <v>#DIV/0!</v>
      </c>
    </row>
    <row r="1328" spans="1:9" s="40" customFormat="1" ht="17.25" customHeight="1" hidden="1">
      <c r="A1328" s="108" t="s">
        <v>932</v>
      </c>
      <c r="B1328" s="120"/>
      <c r="C1328" s="159" t="s">
        <v>614</v>
      </c>
      <c r="D1328" s="159" t="s">
        <v>239</v>
      </c>
      <c r="E1328" s="159" t="s">
        <v>869</v>
      </c>
      <c r="F1328" s="158" t="s">
        <v>933</v>
      </c>
      <c r="G1328" s="91"/>
      <c r="H1328" s="20"/>
      <c r="I1328" s="20" t="e">
        <f t="shared" si="35"/>
        <v>#DIV/0!</v>
      </c>
    </row>
    <row r="1329" spans="1:9" s="145" customFormat="1" ht="15.75" customHeight="1">
      <c r="A1329" s="127" t="s">
        <v>57</v>
      </c>
      <c r="B1329" s="167"/>
      <c r="C1329" s="159" t="s">
        <v>614</v>
      </c>
      <c r="D1329" s="159" t="s">
        <v>239</v>
      </c>
      <c r="E1329" s="159" t="s">
        <v>58</v>
      </c>
      <c r="F1329" s="157"/>
      <c r="G1329" s="91">
        <f>SUM(G1330)</f>
        <v>5258.6</v>
      </c>
      <c r="H1329" s="20"/>
      <c r="I1329" s="20"/>
    </row>
    <row r="1330" spans="1:9" s="40" customFormat="1" ht="15.75" customHeight="1">
      <c r="A1330" s="106" t="s">
        <v>895</v>
      </c>
      <c r="B1330" s="167"/>
      <c r="C1330" s="159" t="s">
        <v>614</v>
      </c>
      <c r="D1330" s="159" t="s">
        <v>239</v>
      </c>
      <c r="E1330" s="159" t="s">
        <v>1011</v>
      </c>
      <c r="F1330" s="157"/>
      <c r="G1330" s="91">
        <f>SUM(G1331)</f>
        <v>5258.6</v>
      </c>
      <c r="H1330" s="20"/>
      <c r="I1330" s="20"/>
    </row>
    <row r="1331" spans="1:9" s="40" customFormat="1" ht="15.75" customHeight="1">
      <c r="A1331" s="108" t="s">
        <v>998</v>
      </c>
      <c r="B1331" s="167"/>
      <c r="C1331" s="159" t="s">
        <v>614</v>
      </c>
      <c r="D1331" s="159" t="s">
        <v>239</v>
      </c>
      <c r="E1331" s="159" t="s">
        <v>999</v>
      </c>
      <c r="F1331" s="157"/>
      <c r="G1331" s="91">
        <f>SUM(G1332)</f>
        <v>5258.6</v>
      </c>
      <c r="H1331" s="20"/>
      <c r="I1331" s="20"/>
    </row>
    <row r="1332" spans="1:9" s="40" customFormat="1" ht="27" customHeight="1">
      <c r="A1332" s="108" t="s">
        <v>483</v>
      </c>
      <c r="B1332" s="167"/>
      <c r="C1332" s="159" t="s">
        <v>614</v>
      </c>
      <c r="D1332" s="159" t="s">
        <v>239</v>
      </c>
      <c r="E1332" s="159" t="s">
        <v>999</v>
      </c>
      <c r="F1332" s="157" t="s">
        <v>933</v>
      </c>
      <c r="G1332" s="91">
        <v>5258.6</v>
      </c>
      <c r="H1332" s="20">
        <f>SUM(H1333)+H1336</f>
        <v>63936.3</v>
      </c>
      <c r="I1332" s="20">
        <f>SUM(H1332/G1336*100)</f>
        <v>552.2080098114577</v>
      </c>
    </row>
    <row r="1333" spans="1:9" s="40" customFormat="1" ht="15" hidden="1">
      <c r="A1333" s="105" t="s">
        <v>57</v>
      </c>
      <c r="B1333" s="163"/>
      <c r="C1333" s="159" t="s">
        <v>614</v>
      </c>
      <c r="D1333" s="159" t="s">
        <v>239</v>
      </c>
      <c r="E1333" s="159" t="s">
        <v>58</v>
      </c>
      <c r="F1333" s="157"/>
      <c r="G1333" s="91">
        <f>SUM(G1334:G1335)</f>
        <v>0</v>
      </c>
      <c r="H1333" s="20">
        <f>SUM(H1334)</f>
        <v>7214.3</v>
      </c>
      <c r="I1333" s="20" t="e">
        <f>SUM(H1333/G1337*100)</f>
        <v>#DIV/0!</v>
      </c>
    </row>
    <row r="1334" spans="1:9" s="40" customFormat="1" ht="25.5" customHeight="1" hidden="1">
      <c r="A1334" s="108" t="s">
        <v>876</v>
      </c>
      <c r="B1334" s="120"/>
      <c r="C1334" s="159" t="s">
        <v>614</v>
      </c>
      <c r="D1334" s="159" t="s">
        <v>239</v>
      </c>
      <c r="E1334" s="159" t="s">
        <v>824</v>
      </c>
      <c r="F1334" s="158" t="s">
        <v>877</v>
      </c>
      <c r="G1334" s="91"/>
      <c r="H1334" s="20">
        <v>7214.3</v>
      </c>
      <c r="I1334" s="20" t="e">
        <f>SUM(H1334/G1338*100)</f>
        <v>#DIV/0!</v>
      </c>
    </row>
    <row r="1335" spans="1:9" s="40" customFormat="1" ht="25.5" customHeight="1" hidden="1">
      <c r="A1335" s="105" t="s">
        <v>711</v>
      </c>
      <c r="B1335" s="120"/>
      <c r="C1335" s="159" t="s">
        <v>614</v>
      </c>
      <c r="D1335" s="159" t="s">
        <v>239</v>
      </c>
      <c r="E1335" s="159" t="s">
        <v>824</v>
      </c>
      <c r="F1335" s="158" t="s">
        <v>566</v>
      </c>
      <c r="G1335" s="91"/>
      <c r="H1335" s="20"/>
      <c r="I1335" s="20"/>
    </row>
    <row r="1336" spans="1:9" s="36" customFormat="1" ht="21.75" customHeight="1">
      <c r="A1336" s="106" t="s">
        <v>61</v>
      </c>
      <c r="B1336" s="159"/>
      <c r="C1336" s="159" t="s">
        <v>614</v>
      </c>
      <c r="D1336" s="159" t="s">
        <v>239</v>
      </c>
      <c r="E1336" s="159" t="s">
        <v>870</v>
      </c>
      <c r="F1336" s="157"/>
      <c r="G1336" s="91">
        <f>SUM(G1337)+G1340</f>
        <v>11578.3</v>
      </c>
      <c r="H1336" s="20">
        <f>SUM(H1338)</f>
        <v>56722</v>
      </c>
      <c r="I1336" s="20">
        <f>SUM(H1336/G1340*100)</f>
        <v>489.89920800117466</v>
      </c>
    </row>
    <row r="1337" spans="1:9" ht="0.75" customHeight="1" hidden="1">
      <c r="A1337" s="133" t="s">
        <v>871</v>
      </c>
      <c r="B1337" s="159"/>
      <c r="C1337" s="159" t="s">
        <v>614</v>
      </c>
      <c r="D1337" s="159" t="s">
        <v>239</v>
      </c>
      <c r="E1337" s="159" t="s">
        <v>872</v>
      </c>
      <c r="F1337" s="157"/>
      <c r="G1337" s="91">
        <f>SUM(G1338)+G1339</f>
        <v>0</v>
      </c>
      <c r="H1337" s="20">
        <f>2981.1-1986.9</f>
        <v>994.1999999999998</v>
      </c>
      <c r="I1337" s="20">
        <f>SUM(H1337/G1341*100)</f>
        <v>14.327919410857625</v>
      </c>
    </row>
    <row r="1338" spans="1:9" s="122" customFormat="1" ht="23.25" customHeight="1" hidden="1">
      <c r="A1338" s="108" t="s">
        <v>932</v>
      </c>
      <c r="B1338" s="159"/>
      <c r="C1338" s="159" t="s">
        <v>614</v>
      </c>
      <c r="D1338" s="159" t="s">
        <v>239</v>
      </c>
      <c r="E1338" s="159" t="s">
        <v>872</v>
      </c>
      <c r="F1338" s="157" t="s">
        <v>933</v>
      </c>
      <c r="G1338" s="91"/>
      <c r="H1338" s="121">
        <v>56722</v>
      </c>
      <c r="I1338" s="121">
        <f>SUM(H1338/G1342*100)</f>
        <v>1222.6149933181016</v>
      </c>
    </row>
    <row r="1339" spans="1:9" s="122" customFormat="1" ht="23.25" customHeight="1" hidden="1">
      <c r="A1339" s="105" t="s">
        <v>711</v>
      </c>
      <c r="B1339" s="120"/>
      <c r="C1339" s="159" t="s">
        <v>614</v>
      </c>
      <c r="D1339" s="159" t="s">
        <v>239</v>
      </c>
      <c r="E1339" s="159" t="s">
        <v>872</v>
      </c>
      <c r="F1339" s="158" t="s">
        <v>566</v>
      </c>
      <c r="G1339" s="91"/>
      <c r="H1339" s="121"/>
      <c r="I1339" s="121"/>
    </row>
    <row r="1340" spans="1:9" s="122" customFormat="1" ht="46.5" customHeight="1">
      <c r="A1340" s="133" t="s">
        <v>873</v>
      </c>
      <c r="B1340" s="159"/>
      <c r="C1340" s="159" t="s">
        <v>614</v>
      </c>
      <c r="D1340" s="159" t="s">
        <v>239</v>
      </c>
      <c r="E1340" s="159" t="s">
        <v>874</v>
      </c>
      <c r="F1340" s="157"/>
      <c r="G1340" s="91">
        <f>SUM(G1341:G1342)</f>
        <v>11578.3</v>
      </c>
      <c r="H1340" s="121"/>
      <c r="I1340" s="121"/>
    </row>
    <row r="1341" spans="1:9" s="122" customFormat="1" ht="21" customHeight="1">
      <c r="A1341" s="108" t="s">
        <v>483</v>
      </c>
      <c r="B1341" s="159"/>
      <c r="C1341" s="159" t="s">
        <v>614</v>
      </c>
      <c r="D1341" s="159" t="s">
        <v>239</v>
      </c>
      <c r="E1341" s="159" t="s">
        <v>874</v>
      </c>
      <c r="F1341" s="157" t="s">
        <v>933</v>
      </c>
      <c r="G1341" s="91">
        <v>6938.9</v>
      </c>
      <c r="H1341" s="121"/>
      <c r="I1341" s="121"/>
    </row>
    <row r="1342" spans="1:9" s="122" customFormat="1" ht="23.25" customHeight="1">
      <c r="A1342" s="105" t="s">
        <v>711</v>
      </c>
      <c r="B1342" s="120"/>
      <c r="C1342" s="159" t="s">
        <v>614</v>
      </c>
      <c r="D1342" s="159" t="s">
        <v>239</v>
      </c>
      <c r="E1342" s="159" t="s">
        <v>874</v>
      </c>
      <c r="F1342" s="158" t="s">
        <v>566</v>
      </c>
      <c r="G1342" s="91">
        <v>4639.4</v>
      </c>
      <c r="H1342" s="121"/>
      <c r="I1342" s="121"/>
    </row>
    <row r="1343" spans="1:9" s="122" customFormat="1" ht="23.25" customHeight="1">
      <c r="A1343" s="108" t="s">
        <v>634</v>
      </c>
      <c r="B1343" s="188"/>
      <c r="C1343" s="159" t="s">
        <v>614</v>
      </c>
      <c r="D1343" s="159" t="s">
        <v>239</v>
      </c>
      <c r="E1343" s="159" t="s">
        <v>635</v>
      </c>
      <c r="F1343" s="158"/>
      <c r="G1343" s="91">
        <f>SUM(G1344+G1347)</f>
        <v>7743.8</v>
      </c>
      <c r="H1343" s="121"/>
      <c r="I1343" s="121"/>
    </row>
    <row r="1344" spans="1:9" s="122" customFormat="1" ht="23.25" customHeight="1" hidden="1">
      <c r="A1344" s="105" t="s">
        <v>821</v>
      </c>
      <c r="B1344" s="188"/>
      <c r="C1344" s="159" t="s">
        <v>614</v>
      </c>
      <c r="D1344" s="159" t="s">
        <v>239</v>
      </c>
      <c r="E1344" s="159" t="s">
        <v>1037</v>
      </c>
      <c r="F1344" s="158"/>
      <c r="G1344" s="91">
        <f>SUM(G1345:G1346)</f>
        <v>0</v>
      </c>
      <c r="H1344" s="121"/>
      <c r="I1344" s="121"/>
    </row>
    <row r="1345" spans="1:9" s="122" customFormat="1" ht="23.25" customHeight="1" hidden="1">
      <c r="A1345" s="108" t="s">
        <v>483</v>
      </c>
      <c r="B1345" s="188"/>
      <c r="C1345" s="159" t="s">
        <v>614</v>
      </c>
      <c r="D1345" s="159" t="s">
        <v>239</v>
      </c>
      <c r="E1345" s="159" t="s">
        <v>1037</v>
      </c>
      <c r="F1345" s="158" t="s">
        <v>933</v>
      </c>
      <c r="G1345" s="91"/>
      <c r="H1345" s="121"/>
      <c r="I1345" s="121"/>
    </row>
    <row r="1346" spans="1:9" ht="20.25" customHeight="1" hidden="1">
      <c r="A1346" s="105" t="s">
        <v>711</v>
      </c>
      <c r="B1346" s="188"/>
      <c r="C1346" s="159" t="s">
        <v>614</v>
      </c>
      <c r="D1346" s="159" t="s">
        <v>239</v>
      </c>
      <c r="E1346" s="159" t="s">
        <v>1037</v>
      </c>
      <c r="F1346" s="158" t="s">
        <v>566</v>
      </c>
      <c r="G1346" s="91"/>
      <c r="H1346" s="20">
        <f>SUM(H1351+H1360+H1347)</f>
        <v>31172.5</v>
      </c>
      <c r="I1346" s="20">
        <f aca="true" t="shared" si="38" ref="I1346:I1363">SUM(H1346/G1350*100)</f>
        <v>451.2587038028923</v>
      </c>
    </row>
    <row r="1347" spans="1:9" ht="19.5" customHeight="1">
      <c r="A1347" s="109" t="s">
        <v>293</v>
      </c>
      <c r="B1347" s="155"/>
      <c r="C1347" s="159" t="s">
        <v>614</v>
      </c>
      <c r="D1347" s="159" t="s">
        <v>239</v>
      </c>
      <c r="E1347" s="159" t="s">
        <v>98</v>
      </c>
      <c r="F1347" s="158"/>
      <c r="G1347" s="92">
        <f>SUM(G1348)+G1349</f>
        <v>7743.8</v>
      </c>
      <c r="H1347" s="20">
        <f>SUM(H1348)</f>
        <v>1335.9</v>
      </c>
      <c r="I1347" s="20" t="e">
        <f t="shared" si="38"/>
        <v>#DIV/0!</v>
      </c>
    </row>
    <row r="1348" spans="1:9" ht="19.5" customHeight="1">
      <c r="A1348" s="108" t="s">
        <v>876</v>
      </c>
      <c r="B1348" s="155"/>
      <c r="C1348" s="159" t="s">
        <v>614</v>
      </c>
      <c r="D1348" s="159" t="s">
        <v>239</v>
      </c>
      <c r="E1348" s="159" t="s">
        <v>98</v>
      </c>
      <c r="F1348" s="158" t="s">
        <v>877</v>
      </c>
      <c r="G1348" s="92">
        <v>4830.1</v>
      </c>
      <c r="H1348" s="20">
        <f>SUM(H1349+H1350)</f>
        <v>1335.9</v>
      </c>
      <c r="I1348" s="20" t="e">
        <f t="shared" si="38"/>
        <v>#DIV/0!</v>
      </c>
    </row>
    <row r="1349" spans="1:9" ht="19.5" customHeight="1">
      <c r="A1349" s="105" t="s">
        <v>711</v>
      </c>
      <c r="B1349" s="120"/>
      <c r="C1349" s="159" t="s">
        <v>614</v>
      </c>
      <c r="D1349" s="159" t="s">
        <v>239</v>
      </c>
      <c r="E1349" s="159" t="s">
        <v>98</v>
      </c>
      <c r="F1349" s="158" t="s">
        <v>566</v>
      </c>
      <c r="G1349" s="91">
        <v>2913.7</v>
      </c>
      <c r="H1349" s="20">
        <v>964</v>
      </c>
      <c r="I1349" s="20" t="e">
        <f t="shared" si="38"/>
        <v>#DIV/0!</v>
      </c>
    </row>
    <row r="1350" spans="1:9" ht="18.75" customHeight="1">
      <c r="A1350" s="106" t="s">
        <v>615</v>
      </c>
      <c r="B1350" s="155"/>
      <c r="C1350" s="155" t="s">
        <v>614</v>
      </c>
      <c r="D1350" s="155" t="s">
        <v>614</v>
      </c>
      <c r="E1350" s="155"/>
      <c r="F1350" s="156"/>
      <c r="G1350" s="91">
        <f>SUM(G1355+G1364+G1351+G1376)</f>
        <v>6907.900000000001</v>
      </c>
      <c r="H1350" s="20">
        <v>371.9</v>
      </c>
      <c r="I1350" s="20" t="e">
        <f t="shared" si="38"/>
        <v>#DIV/0!</v>
      </c>
    </row>
    <row r="1351" spans="1:9" ht="15" hidden="1">
      <c r="A1351" s="106" t="s">
        <v>148</v>
      </c>
      <c r="B1351" s="155"/>
      <c r="C1351" s="155" t="s">
        <v>614</v>
      </c>
      <c r="D1351" s="155" t="s">
        <v>614</v>
      </c>
      <c r="E1351" s="155" t="s">
        <v>150</v>
      </c>
      <c r="F1351" s="156"/>
      <c r="G1351" s="91">
        <f>SUM(G1352)</f>
        <v>0</v>
      </c>
      <c r="H1351" s="20">
        <f>SUM(H1352+H1358+H1356)</f>
        <v>2394.5</v>
      </c>
      <c r="I1351" s="20">
        <f t="shared" si="38"/>
        <v>134.21332884927975</v>
      </c>
    </row>
    <row r="1352" spans="1:9" ht="19.5" customHeight="1" hidden="1">
      <c r="A1352" s="106" t="s">
        <v>128</v>
      </c>
      <c r="B1352" s="155"/>
      <c r="C1352" s="155" t="s">
        <v>614</v>
      </c>
      <c r="D1352" s="155" t="s">
        <v>614</v>
      </c>
      <c r="E1352" s="155" t="s">
        <v>129</v>
      </c>
      <c r="F1352" s="156"/>
      <c r="G1352" s="91">
        <f>SUM(G1353+G1354)</f>
        <v>0</v>
      </c>
      <c r="H1352" s="20">
        <f>SUM(H1353+H1354)</f>
        <v>341.9</v>
      </c>
      <c r="I1352" s="20">
        <f t="shared" si="38"/>
        <v>19.163724006501877</v>
      </c>
    </row>
    <row r="1353" spans="1:9" ht="19.5" customHeight="1" hidden="1">
      <c r="A1353" s="108" t="s">
        <v>932</v>
      </c>
      <c r="B1353" s="159"/>
      <c r="C1353" s="155" t="s">
        <v>614</v>
      </c>
      <c r="D1353" s="155" t="s">
        <v>614</v>
      </c>
      <c r="E1353" s="155" t="s">
        <v>129</v>
      </c>
      <c r="F1353" s="157" t="s">
        <v>933</v>
      </c>
      <c r="G1353" s="91"/>
      <c r="H1353" s="20">
        <v>341.9</v>
      </c>
      <c r="I1353" s="20">
        <f t="shared" si="38"/>
        <v>19.163724006501877</v>
      </c>
    </row>
    <row r="1354" spans="1:9" ht="15" hidden="1">
      <c r="A1354" s="108" t="s">
        <v>876</v>
      </c>
      <c r="B1354" s="159"/>
      <c r="C1354" s="155" t="s">
        <v>614</v>
      </c>
      <c r="D1354" s="155" t="s">
        <v>614</v>
      </c>
      <c r="E1354" s="155" t="s">
        <v>129</v>
      </c>
      <c r="F1354" s="157" t="s">
        <v>877</v>
      </c>
      <c r="G1354" s="91"/>
      <c r="H1354" s="20">
        <f>SUM(H1355)</f>
        <v>0</v>
      </c>
      <c r="I1354" s="20" t="e">
        <f t="shared" si="38"/>
        <v>#DIV/0!</v>
      </c>
    </row>
    <row r="1355" spans="1:9" ht="15">
      <c r="A1355" s="105" t="s">
        <v>878</v>
      </c>
      <c r="B1355" s="159"/>
      <c r="C1355" s="159" t="s">
        <v>614</v>
      </c>
      <c r="D1355" s="159" t="s">
        <v>614</v>
      </c>
      <c r="E1355" s="159" t="s">
        <v>879</v>
      </c>
      <c r="F1355" s="157"/>
      <c r="G1355" s="91">
        <f>SUM(G1356+G1362+G1360)</f>
        <v>1784.1</v>
      </c>
      <c r="H1355" s="20"/>
      <c r="I1355" s="20" t="e">
        <f t="shared" si="38"/>
        <v>#DIV/0!</v>
      </c>
    </row>
    <row r="1356" spans="1:9" ht="30" customHeight="1">
      <c r="A1356" s="106" t="s">
        <v>482</v>
      </c>
      <c r="B1356" s="159"/>
      <c r="C1356" s="159" t="s">
        <v>614</v>
      </c>
      <c r="D1356" s="159" t="s">
        <v>614</v>
      </c>
      <c r="E1356" s="159" t="s">
        <v>885</v>
      </c>
      <c r="F1356" s="157"/>
      <c r="G1356" s="91">
        <f>SUM(G1357)</f>
        <v>1784.1</v>
      </c>
      <c r="H1356" s="20">
        <f>SUM(H1358)</f>
        <v>1026.3</v>
      </c>
      <c r="I1356" s="20" t="e">
        <f t="shared" si="38"/>
        <v>#DIV/0!</v>
      </c>
    </row>
    <row r="1357" spans="1:9" ht="19.5" customHeight="1">
      <c r="A1357" s="108" t="s">
        <v>483</v>
      </c>
      <c r="B1357" s="159"/>
      <c r="C1357" s="159" t="s">
        <v>614</v>
      </c>
      <c r="D1357" s="159" t="s">
        <v>614</v>
      </c>
      <c r="E1357" s="159" t="s">
        <v>885</v>
      </c>
      <c r="F1357" s="157" t="s">
        <v>933</v>
      </c>
      <c r="G1357" s="91">
        <v>1784.1</v>
      </c>
      <c r="H1357" s="20">
        <v>444.6</v>
      </c>
      <c r="I1357" s="20" t="e">
        <f t="shared" si="38"/>
        <v>#DIV/0!</v>
      </c>
    </row>
    <row r="1358" spans="1:9" ht="15" hidden="1">
      <c r="A1358" s="106" t="s">
        <v>930</v>
      </c>
      <c r="B1358" s="159"/>
      <c r="C1358" s="159" t="s">
        <v>614</v>
      </c>
      <c r="D1358" s="159" t="s">
        <v>614</v>
      </c>
      <c r="E1358" s="159" t="s">
        <v>882</v>
      </c>
      <c r="F1358" s="157"/>
      <c r="G1358" s="91">
        <f>SUM(G1359)</f>
        <v>0</v>
      </c>
      <c r="H1358" s="20">
        <f>SUM(H1359)</f>
        <v>1026.3</v>
      </c>
      <c r="I1358" s="20" t="e">
        <f t="shared" si="38"/>
        <v>#DIV/0!</v>
      </c>
    </row>
    <row r="1359" spans="1:9" ht="19.5" customHeight="1" hidden="1">
      <c r="A1359" s="108" t="s">
        <v>932</v>
      </c>
      <c r="B1359" s="159"/>
      <c r="C1359" s="159" t="s">
        <v>614</v>
      </c>
      <c r="D1359" s="159" t="s">
        <v>614</v>
      </c>
      <c r="E1359" s="159" t="s">
        <v>882</v>
      </c>
      <c r="F1359" s="157" t="s">
        <v>933</v>
      </c>
      <c r="G1359" s="91"/>
      <c r="H1359" s="20">
        <v>1026.3</v>
      </c>
      <c r="I1359" s="20" t="e">
        <f t="shared" si="38"/>
        <v>#DIV/0!</v>
      </c>
    </row>
    <row r="1360" spans="1:9" ht="42.75" hidden="1">
      <c r="A1360" s="108" t="s">
        <v>883</v>
      </c>
      <c r="B1360" s="159"/>
      <c r="C1360" s="159" t="s">
        <v>614</v>
      </c>
      <c r="D1360" s="159" t="s">
        <v>614</v>
      </c>
      <c r="E1360" s="159" t="s">
        <v>884</v>
      </c>
      <c r="F1360" s="157"/>
      <c r="G1360" s="91">
        <f>SUM(G1361)</f>
        <v>0</v>
      </c>
      <c r="H1360" s="20">
        <f>SUM(H1362+H1365+H1369)</f>
        <v>27442.1</v>
      </c>
      <c r="I1360" s="20">
        <f t="shared" si="38"/>
        <v>807.120588235294</v>
      </c>
    </row>
    <row r="1361" spans="1:9" ht="15" hidden="1">
      <c r="A1361" s="108" t="s">
        <v>932</v>
      </c>
      <c r="B1361" s="159"/>
      <c r="C1361" s="159" t="s">
        <v>614</v>
      </c>
      <c r="D1361" s="159" t="s">
        <v>614</v>
      </c>
      <c r="E1361" s="159" t="s">
        <v>884</v>
      </c>
      <c r="F1361" s="157" t="s">
        <v>933</v>
      </c>
      <c r="G1361" s="91"/>
      <c r="H1361" s="20">
        <f>SUM(H1362)</f>
        <v>2757.3</v>
      </c>
      <c r="I1361" s="20">
        <f t="shared" si="38"/>
        <v>81.09705882352942</v>
      </c>
    </row>
    <row r="1362" spans="1:9" ht="55.5" customHeight="1" hidden="1">
      <c r="A1362" s="106" t="s">
        <v>930</v>
      </c>
      <c r="B1362" s="159"/>
      <c r="C1362" s="159" t="s">
        <v>614</v>
      </c>
      <c r="D1362" s="159" t="s">
        <v>614</v>
      </c>
      <c r="E1362" s="159" t="s">
        <v>885</v>
      </c>
      <c r="F1362" s="157"/>
      <c r="G1362" s="91">
        <f>SUM(G1363)</f>
        <v>0</v>
      </c>
      <c r="H1362" s="20">
        <v>2757.3</v>
      </c>
      <c r="I1362" s="20">
        <f t="shared" si="38"/>
        <v>81.09705882352942</v>
      </c>
    </row>
    <row r="1363" spans="1:9" ht="26.25" customHeight="1" hidden="1">
      <c r="A1363" s="106" t="s">
        <v>482</v>
      </c>
      <c r="B1363" s="159"/>
      <c r="C1363" s="159" t="s">
        <v>614</v>
      </c>
      <c r="D1363" s="159" t="s">
        <v>614</v>
      </c>
      <c r="E1363" s="159" t="s">
        <v>885</v>
      </c>
      <c r="F1363" s="157" t="s">
        <v>933</v>
      </c>
      <c r="G1363" s="91"/>
      <c r="H1363" s="20">
        <f>SUM(H1365)</f>
        <v>6986.3</v>
      </c>
      <c r="I1363" s="20">
        <f t="shared" si="38"/>
        <v>205.4794117647059</v>
      </c>
    </row>
    <row r="1364" spans="1:9" ht="22.5" customHeight="1">
      <c r="A1364" s="133" t="s">
        <v>886</v>
      </c>
      <c r="B1364" s="155"/>
      <c r="C1364" s="155" t="s">
        <v>614</v>
      </c>
      <c r="D1364" s="155" t="s">
        <v>614</v>
      </c>
      <c r="E1364" s="155" t="s">
        <v>617</v>
      </c>
      <c r="F1364" s="156"/>
      <c r="G1364" s="91">
        <f>SUM(G1366+G1369+G1372)</f>
        <v>3400</v>
      </c>
      <c r="H1364" s="20"/>
      <c r="I1364" s="20"/>
    </row>
    <row r="1365" spans="1:9" ht="30" customHeight="1">
      <c r="A1365" s="110" t="s">
        <v>580</v>
      </c>
      <c r="B1365" s="159"/>
      <c r="C1365" s="159" t="s">
        <v>614</v>
      </c>
      <c r="D1365" s="159" t="s">
        <v>614</v>
      </c>
      <c r="E1365" s="159" t="s">
        <v>581</v>
      </c>
      <c r="F1365" s="157"/>
      <c r="G1365" s="91">
        <f>SUM(G1366+G1369+G1372)</f>
        <v>3400</v>
      </c>
      <c r="H1365" s="20">
        <v>6986.3</v>
      </c>
      <c r="I1365" s="20" t="e">
        <f>SUM(H1365/G1369*100)</f>
        <v>#DIV/0!</v>
      </c>
    </row>
    <row r="1366" spans="1:9" ht="47.25" customHeight="1">
      <c r="A1366" s="110" t="s">
        <v>582</v>
      </c>
      <c r="B1366" s="159"/>
      <c r="C1366" s="159" t="s">
        <v>614</v>
      </c>
      <c r="D1366" s="159" t="s">
        <v>614</v>
      </c>
      <c r="E1366" s="159" t="s">
        <v>583</v>
      </c>
      <c r="F1366" s="157"/>
      <c r="G1366" s="91">
        <f>SUM(G1367:G1368)</f>
        <v>3400</v>
      </c>
      <c r="H1366" s="20"/>
      <c r="I1366" s="20"/>
    </row>
    <row r="1367" spans="1:9" ht="24.75" customHeight="1">
      <c r="A1367" s="108" t="s">
        <v>483</v>
      </c>
      <c r="B1367" s="159"/>
      <c r="C1367" s="159" t="s">
        <v>614</v>
      </c>
      <c r="D1367" s="159" t="s">
        <v>614</v>
      </c>
      <c r="E1367" s="159" t="s">
        <v>583</v>
      </c>
      <c r="F1367" s="157" t="s">
        <v>933</v>
      </c>
      <c r="G1367" s="91">
        <v>3400</v>
      </c>
      <c r="H1367" s="20"/>
      <c r="I1367" s="20"/>
    </row>
    <row r="1368" spans="1:9" ht="54.75" customHeight="1" hidden="1">
      <c r="A1368" s="105" t="s">
        <v>711</v>
      </c>
      <c r="B1368" s="159"/>
      <c r="C1368" s="159" t="s">
        <v>614</v>
      </c>
      <c r="D1368" s="159" t="s">
        <v>614</v>
      </c>
      <c r="E1368" s="159" t="s">
        <v>583</v>
      </c>
      <c r="F1368" s="157" t="s">
        <v>566</v>
      </c>
      <c r="G1368" s="91"/>
      <c r="H1368" s="20">
        <f>SUM(H1369)</f>
        <v>17698.5</v>
      </c>
      <c r="I1368" s="20" t="e">
        <f>SUM(H1368/G1372*100)</f>
        <v>#DIV/0!</v>
      </c>
    </row>
    <row r="1369" spans="1:9" ht="30.75" customHeight="1" hidden="1">
      <c r="A1369" s="108" t="s">
        <v>30</v>
      </c>
      <c r="B1369" s="120"/>
      <c r="C1369" s="155" t="s">
        <v>614</v>
      </c>
      <c r="D1369" s="155" t="s">
        <v>614</v>
      </c>
      <c r="E1369" s="159" t="s">
        <v>851</v>
      </c>
      <c r="F1369" s="158"/>
      <c r="G1369" s="91">
        <f>SUM(G1370:G1371)</f>
        <v>0</v>
      </c>
      <c r="H1369" s="20">
        <v>17698.5</v>
      </c>
      <c r="I1369" s="20" t="e">
        <f>SUM(H1369/G1373*100)</f>
        <v>#DIV/0!</v>
      </c>
    </row>
    <row r="1370" spans="1:9" ht="15" customHeight="1" hidden="1">
      <c r="A1370" s="108" t="s">
        <v>483</v>
      </c>
      <c r="B1370" s="120"/>
      <c r="C1370" s="155" t="s">
        <v>614</v>
      </c>
      <c r="D1370" s="155" t="s">
        <v>614</v>
      </c>
      <c r="E1370" s="159" t="s">
        <v>851</v>
      </c>
      <c r="F1370" s="158" t="s">
        <v>933</v>
      </c>
      <c r="G1370" s="91"/>
      <c r="H1370" s="20"/>
      <c r="I1370" s="20"/>
    </row>
    <row r="1371" spans="1:9" ht="15" customHeight="1" hidden="1">
      <c r="A1371" s="105" t="s">
        <v>711</v>
      </c>
      <c r="B1371" s="120"/>
      <c r="C1371" s="155" t="s">
        <v>614</v>
      </c>
      <c r="D1371" s="155" t="s">
        <v>614</v>
      </c>
      <c r="E1371" s="159" t="s">
        <v>851</v>
      </c>
      <c r="F1371" s="158" t="s">
        <v>566</v>
      </c>
      <c r="G1371" s="91"/>
      <c r="H1371" s="20"/>
      <c r="I1371" s="20" t="e">
        <f>SUM(H1371/G1375*100)</f>
        <v>#DIV/0!</v>
      </c>
    </row>
    <row r="1372" spans="1:9" ht="42.75" hidden="1">
      <c r="A1372" s="108" t="s">
        <v>889</v>
      </c>
      <c r="B1372" s="155"/>
      <c r="C1372" s="159" t="s">
        <v>614</v>
      </c>
      <c r="D1372" s="155" t="s">
        <v>614</v>
      </c>
      <c r="E1372" s="159" t="s">
        <v>852</v>
      </c>
      <c r="F1372" s="156"/>
      <c r="G1372" s="91">
        <f>SUM(G1373)</f>
        <v>0</v>
      </c>
      <c r="H1372" s="20" t="e">
        <f>SUM(#REF!)</f>
        <v>#REF!</v>
      </c>
      <c r="I1372" s="20" t="e">
        <f>SUM(H1372/G1376*100)</f>
        <v>#REF!</v>
      </c>
    </row>
    <row r="1373" spans="1:9" ht="28.5" hidden="1">
      <c r="A1373" s="108" t="s">
        <v>827</v>
      </c>
      <c r="B1373" s="155"/>
      <c r="C1373" s="159" t="s">
        <v>614</v>
      </c>
      <c r="D1373" s="155" t="s">
        <v>614</v>
      </c>
      <c r="E1373" s="159" t="s">
        <v>852</v>
      </c>
      <c r="F1373" s="156" t="s">
        <v>826</v>
      </c>
      <c r="G1373" s="91"/>
      <c r="H1373" s="20"/>
      <c r="I1373" s="20"/>
    </row>
    <row r="1374" spans="1:9" ht="22.5" customHeight="1" hidden="1">
      <c r="A1374" s="108"/>
      <c r="B1374" s="155"/>
      <c r="C1374" s="159"/>
      <c r="D1374" s="155"/>
      <c r="E1374" s="159"/>
      <c r="F1374" s="156"/>
      <c r="G1374" s="91"/>
      <c r="H1374" s="20"/>
      <c r="I1374" s="20"/>
    </row>
    <row r="1375" spans="1:9" ht="15" hidden="1">
      <c r="A1375" s="108" t="s">
        <v>891</v>
      </c>
      <c r="B1375" s="155"/>
      <c r="C1375" s="159" t="s">
        <v>614</v>
      </c>
      <c r="D1375" s="155" t="s">
        <v>614</v>
      </c>
      <c r="E1375" s="159" t="s">
        <v>890</v>
      </c>
      <c r="F1375" s="156" t="s">
        <v>892</v>
      </c>
      <c r="G1375" s="91"/>
      <c r="H1375" s="20" t="e">
        <f>SUM(H1376+H1382+H1389+H1408+H1402)</f>
        <v>#REF!</v>
      </c>
      <c r="I1375" s="20" t="e">
        <f>SUM(H1375/G1381*100)</f>
        <v>#REF!</v>
      </c>
    </row>
    <row r="1376" spans="1:9" ht="15">
      <c r="A1376" s="108" t="s">
        <v>634</v>
      </c>
      <c r="B1376" s="188"/>
      <c r="C1376" s="159" t="s">
        <v>614</v>
      </c>
      <c r="D1376" s="159" t="s">
        <v>614</v>
      </c>
      <c r="E1376" s="159" t="s">
        <v>635</v>
      </c>
      <c r="F1376" s="158"/>
      <c r="G1376" s="91">
        <f>SUM(G1379)+G1377</f>
        <v>1723.8</v>
      </c>
      <c r="H1376" s="20">
        <f>SUM(H1379)</f>
        <v>1869.7</v>
      </c>
      <c r="I1376" s="20" t="e">
        <f>SUM(H1376/G1382*100)</f>
        <v>#DIV/0!</v>
      </c>
    </row>
    <row r="1377" spans="1:9" ht="28.5">
      <c r="A1377" s="108" t="s">
        <v>313</v>
      </c>
      <c r="B1377" s="188"/>
      <c r="C1377" s="159" t="s">
        <v>614</v>
      </c>
      <c r="D1377" s="159" t="s">
        <v>614</v>
      </c>
      <c r="E1377" s="159" t="s">
        <v>590</v>
      </c>
      <c r="F1377" s="158"/>
      <c r="G1377" s="30">
        <f>SUM(G1378)</f>
        <v>1323.8</v>
      </c>
      <c r="H1377" s="20"/>
      <c r="I1377" s="20"/>
    </row>
    <row r="1378" spans="1:9" ht="15">
      <c r="A1378" s="108" t="s">
        <v>876</v>
      </c>
      <c r="B1378" s="188"/>
      <c r="C1378" s="159" t="s">
        <v>614</v>
      </c>
      <c r="D1378" s="159" t="s">
        <v>614</v>
      </c>
      <c r="E1378" s="159" t="s">
        <v>590</v>
      </c>
      <c r="F1378" s="158" t="s">
        <v>314</v>
      </c>
      <c r="G1378" s="30">
        <v>1323.8</v>
      </c>
      <c r="H1378" s="20"/>
      <c r="I1378" s="20"/>
    </row>
    <row r="1379" spans="1:9" ht="42.75">
      <c r="A1379" s="109" t="s">
        <v>106</v>
      </c>
      <c r="B1379" s="188"/>
      <c r="C1379" s="159" t="s">
        <v>614</v>
      </c>
      <c r="D1379" s="159" t="s">
        <v>614</v>
      </c>
      <c r="E1379" s="159" t="s">
        <v>105</v>
      </c>
      <c r="F1379" s="158"/>
      <c r="G1379" s="91">
        <f>SUM(G1380)</f>
        <v>400</v>
      </c>
      <c r="H1379" s="20">
        <f>SUM(H1380)</f>
        <v>1869.7</v>
      </c>
      <c r="I1379" s="20" t="e">
        <f aca="true" t="shared" si="39" ref="I1379:I1389">SUM(H1379/G1383*100)</f>
        <v>#DIV/0!</v>
      </c>
    </row>
    <row r="1380" spans="1:9" ht="30.75" customHeight="1">
      <c r="A1380" s="108" t="s">
        <v>876</v>
      </c>
      <c r="B1380" s="188"/>
      <c r="C1380" s="159" t="s">
        <v>614</v>
      </c>
      <c r="D1380" s="159" t="s">
        <v>614</v>
      </c>
      <c r="E1380" s="159" t="s">
        <v>105</v>
      </c>
      <c r="F1380" s="158" t="s">
        <v>877</v>
      </c>
      <c r="G1380" s="91">
        <v>400</v>
      </c>
      <c r="H1380" s="20">
        <f>SUM(H1381)</f>
        <v>1869.7</v>
      </c>
      <c r="I1380" s="20" t="e">
        <f t="shared" si="39"/>
        <v>#DIV/0!</v>
      </c>
    </row>
    <row r="1381" spans="1:9" ht="15.75" customHeight="1">
      <c r="A1381" s="106" t="s">
        <v>893</v>
      </c>
      <c r="B1381" s="155"/>
      <c r="C1381" s="159" t="s">
        <v>614</v>
      </c>
      <c r="D1381" s="159" t="s">
        <v>1</v>
      </c>
      <c r="E1381" s="159"/>
      <c r="F1381" s="157"/>
      <c r="G1381" s="91">
        <f>SUM(G1382+G1386+G1393+G1412)</f>
        <v>38891.2</v>
      </c>
      <c r="H1381" s="20">
        <v>1869.7</v>
      </c>
      <c r="I1381" s="20" t="e">
        <f t="shared" si="39"/>
        <v>#DIV/0!</v>
      </c>
    </row>
    <row r="1382" spans="1:9" ht="0.75" customHeight="1" hidden="1">
      <c r="A1382" s="127" t="s">
        <v>57</v>
      </c>
      <c r="B1382" s="167"/>
      <c r="C1382" s="159" t="s">
        <v>614</v>
      </c>
      <c r="D1382" s="159" t="s">
        <v>1</v>
      </c>
      <c r="E1382" s="159" t="s">
        <v>58</v>
      </c>
      <c r="F1382" s="157"/>
      <c r="G1382" s="91">
        <f>SUM(G1383)</f>
        <v>0</v>
      </c>
      <c r="H1382" s="20">
        <f>SUM(H1383)</f>
        <v>17823.6</v>
      </c>
      <c r="I1382" s="20">
        <f t="shared" si="39"/>
        <v>49.17641995133014</v>
      </c>
    </row>
    <row r="1383" spans="1:9" ht="33.75" customHeight="1" hidden="1">
      <c r="A1383" s="106" t="s">
        <v>895</v>
      </c>
      <c r="B1383" s="167"/>
      <c r="C1383" s="159" t="s">
        <v>614</v>
      </c>
      <c r="D1383" s="159" t="s">
        <v>1</v>
      </c>
      <c r="E1383" s="159" t="s">
        <v>1011</v>
      </c>
      <c r="F1383" s="157"/>
      <c r="G1383" s="91">
        <f>SUM(G1384)</f>
        <v>0</v>
      </c>
      <c r="H1383" s="20">
        <f>SUM(H1384+H1385+H1387)</f>
        <v>17823.6</v>
      </c>
      <c r="I1383" s="20">
        <f t="shared" si="39"/>
        <v>49.17641995133014</v>
      </c>
    </row>
    <row r="1384" spans="1:9" ht="28.5" hidden="1">
      <c r="A1384" s="108" t="s">
        <v>998</v>
      </c>
      <c r="B1384" s="167"/>
      <c r="C1384" s="159" t="s">
        <v>614</v>
      </c>
      <c r="D1384" s="159" t="s">
        <v>1</v>
      </c>
      <c r="E1384" s="159" t="s">
        <v>999</v>
      </c>
      <c r="F1384" s="157"/>
      <c r="G1384" s="91"/>
      <c r="H1384" s="20">
        <v>17823.6</v>
      </c>
      <c r="I1384" s="20">
        <f t="shared" si="39"/>
        <v>49.338548543810255</v>
      </c>
    </row>
    <row r="1385" spans="1:9" ht="15" hidden="1">
      <c r="A1385" s="108" t="s">
        <v>483</v>
      </c>
      <c r="B1385" s="167"/>
      <c r="C1385" s="159" t="s">
        <v>614</v>
      </c>
      <c r="D1385" s="159" t="s">
        <v>1</v>
      </c>
      <c r="E1385" s="159" t="s">
        <v>999</v>
      </c>
      <c r="F1385" s="157" t="s">
        <v>933</v>
      </c>
      <c r="G1385" s="91"/>
      <c r="H1385" s="20">
        <f>SUM(H1386)</f>
        <v>0</v>
      </c>
      <c r="I1385" s="20">
        <f t="shared" si="39"/>
        <v>0</v>
      </c>
    </row>
    <row r="1386" spans="1:9" ht="18" customHeight="1">
      <c r="A1386" s="133" t="s">
        <v>1000</v>
      </c>
      <c r="B1386" s="155"/>
      <c r="C1386" s="159" t="s">
        <v>614</v>
      </c>
      <c r="D1386" s="159" t="s">
        <v>1</v>
      </c>
      <c r="E1386" s="159" t="s">
        <v>1001</v>
      </c>
      <c r="F1386" s="157"/>
      <c r="G1386" s="91">
        <f>SUM(G1387)</f>
        <v>36244.2</v>
      </c>
      <c r="H1386" s="20"/>
      <c r="I1386" s="20">
        <f t="shared" si="39"/>
        <v>0</v>
      </c>
    </row>
    <row r="1387" spans="1:9" ht="33.75" customHeight="1">
      <c r="A1387" s="106" t="s">
        <v>482</v>
      </c>
      <c r="B1387" s="167"/>
      <c r="C1387" s="159" t="s">
        <v>614</v>
      </c>
      <c r="D1387" s="159" t="s">
        <v>1</v>
      </c>
      <c r="E1387" s="159" t="s">
        <v>1002</v>
      </c>
      <c r="F1387" s="157"/>
      <c r="G1387" s="91">
        <f>SUM(G1388+G1389+G1391)</f>
        <v>36244.2</v>
      </c>
      <c r="H1387" s="20">
        <f>SUM(H1388)</f>
        <v>0</v>
      </c>
      <c r="I1387" s="20" t="e">
        <f t="shared" si="39"/>
        <v>#DIV/0!</v>
      </c>
    </row>
    <row r="1388" spans="1:9" ht="15">
      <c r="A1388" s="108" t="s">
        <v>483</v>
      </c>
      <c r="B1388" s="167"/>
      <c r="C1388" s="159" t="s">
        <v>614</v>
      </c>
      <c r="D1388" s="159" t="s">
        <v>1</v>
      </c>
      <c r="E1388" s="159" t="s">
        <v>1002</v>
      </c>
      <c r="F1388" s="157" t="s">
        <v>933</v>
      </c>
      <c r="G1388" s="91">
        <v>36125.1</v>
      </c>
      <c r="H1388" s="20"/>
      <c r="I1388" s="20" t="e">
        <f t="shared" si="39"/>
        <v>#DIV/0!</v>
      </c>
    </row>
    <row r="1389" spans="1:9" ht="19.5" customHeight="1">
      <c r="A1389" s="108" t="s">
        <v>962</v>
      </c>
      <c r="B1389" s="167"/>
      <c r="C1389" s="159" t="s">
        <v>614</v>
      </c>
      <c r="D1389" s="159" t="s">
        <v>1</v>
      </c>
      <c r="E1389" s="159" t="s">
        <v>1003</v>
      </c>
      <c r="F1389" s="157"/>
      <c r="G1389" s="91">
        <f>SUM(G1390)</f>
        <v>119.1</v>
      </c>
      <c r="H1389" s="20">
        <f>SUM(H1392+H1396+H1400+H1394+H1398)+H1390</f>
        <v>3.5</v>
      </c>
      <c r="I1389" s="20" t="e">
        <f t="shared" si="39"/>
        <v>#DIV/0!</v>
      </c>
    </row>
    <row r="1390" spans="1:9" ht="19.5" customHeight="1">
      <c r="A1390" s="108" t="s">
        <v>483</v>
      </c>
      <c r="B1390" s="167"/>
      <c r="C1390" s="159" t="s">
        <v>614</v>
      </c>
      <c r="D1390" s="159" t="s">
        <v>1</v>
      </c>
      <c r="E1390" s="159" t="s">
        <v>1003</v>
      </c>
      <c r="F1390" s="157" t="s">
        <v>933</v>
      </c>
      <c r="G1390" s="91">
        <v>119.1</v>
      </c>
      <c r="H1390" s="20">
        <f>SUM(H1391)</f>
        <v>3.5</v>
      </c>
      <c r="I1390" s="20"/>
    </row>
    <row r="1391" spans="1:9" ht="19.5" customHeight="1" hidden="1">
      <c r="A1391" s="106" t="s">
        <v>418</v>
      </c>
      <c r="B1391" s="120"/>
      <c r="C1391" s="159" t="s">
        <v>614</v>
      </c>
      <c r="D1391" s="159" t="s">
        <v>1</v>
      </c>
      <c r="E1391" s="159" t="s">
        <v>1004</v>
      </c>
      <c r="F1391" s="158"/>
      <c r="G1391" s="91">
        <f>SUM(G1392)</f>
        <v>0</v>
      </c>
      <c r="H1391" s="20">
        <v>3.5</v>
      </c>
      <c r="I1391" s="20"/>
    </row>
    <row r="1392" spans="1:9" ht="15" hidden="1">
      <c r="A1392" s="108" t="s">
        <v>932</v>
      </c>
      <c r="B1392" s="120"/>
      <c r="C1392" s="159" t="s">
        <v>614</v>
      </c>
      <c r="D1392" s="159" t="s">
        <v>1</v>
      </c>
      <c r="E1392" s="159" t="s">
        <v>1004</v>
      </c>
      <c r="F1392" s="158" t="s">
        <v>933</v>
      </c>
      <c r="G1392" s="91"/>
      <c r="H1392" s="20">
        <f>SUM(H1393)</f>
        <v>0</v>
      </c>
      <c r="I1392" s="20" t="e">
        <f aca="true" t="shared" si="40" ref="I1392:I1403">SUM(H1392/G1396*100)</f>
        <v>#DIV/0!</v>
      </c>
    </row>
    <row r="1393" spans="1:9" ht="0.75" customHeight="1" hidden="1">
      <c r="A1393" s="106" t="s">
        <v>340</v>
      </c>
      <c r="B1393" s="120"/>
      <c r="C1393" s="159" t="s">
        <v>614</v>
      </c>
      <c r="D1393" s="159" t="s">
        <v>1</v>
      </c>
      <c r="E1393" s="159" t="s">
        <v>341</v>
      </c>
      <c r="F1393" s="158"/>
      <c r="G1393" s="91">
        <f>SUM(G1396+G1400+G1404+G1398+G1402+G1394)</f>
        <v>0</v>
      </c>
      <c r="H1393" s="20"/>
      <c r="I1393" s="20" t="e">
        <f t="shared" si="40"/>
        <v>#DIV/0!</v>
      </c>
    </row>
    <row r="1394" spans="1:9" ht="42.75" hidden="1">
      <c r="A1394" s="106" t="s">
        <v>1005</v>
      </c>
      <c r="B1394" s="120"/>
      <c r="C1394" s="159" t="s">
        <v>614</v>
      </c>
      <c r="D1394" s="159" t="s">
        <v>1</v>
      </c>
      <c r="E1394" s="159" t="s">
        <v>1006</v>
      </c>
      <c r="F1394" s="158"/>
      <c r="G1394" s="91">
        <f>SUM(G1395)</f>
        <v>0</v>
      </c>
      <c r="H1394" s="20">
        <f>SUM(H1395)</f>
        <v>0</v>
      </c>
      <c r="I1394" s="20" t="e">
        <f t="shared" si="40"/>
        <v>#DIV/0!</v>
      </c>
    </row>
    <row r="1395" spans="1:9" ht="15" hidden="1">
      <c r="A1395" s="108" t="s">
        <v>932</v>
      </c>
      <c r="B1395" s="120"/>
      <c r="C1395" s="159" t="s">
        <v>614</v>
      </c>
      <c r="D1395" s="159" t="s">
        <v>1</v>
      </c>
      <c r="E1395" s="159" t="s">
        <v>1006</v>
      </c>
      <c r="F1395" s="158" t="s">
        <v>933</v>
      </c>
      <c r="G1395" s="91"/>
      <c r="H1395" s="20"/>
      <c r="I1395" s="20" t="e">
        <f t="shared" si="40"/>
        <v>#DIV/0!</v>
      </c>
    </row>
    <row r="1396" spans="1:9" ht="42.75" hidden="1">
      <c r="A1396" s="106" t="s">
        <v>963</v>
      </c>
      <c r="B1396" s="120"/>
      <c r="C1396" s="159" t="s">
        <v>614</v>
      </c>
      <c r="D1396" s="159" t="s">
        <v>1</v>
      </c>
      <c r="E1396" s="159" t="s">
        <v>964</v>
      </c>
      <c r="F1396" s="158"/>
      <c r="G1396" s="91">
        <f>SUM(G1397)</f>
        <v>0</v>
      </c>
      <c r="H1396" s="20">
        <f>SUM(H1397)</f>
        <v>0</v>
      </c>
      <c r="I1396" s="20" t="e">
        <f t="shared" si="40"/>
        <v>#DIV/0!</v>
      </c>
    </row>
    <row r="1397" spans="1:9" ht="15" hidden="1">
      <c r="A1397" s="106" t="s">
        <v>767</v>
      </c>
      <c r="B1397" s="120"/>
      <c r="C1397" s="159" t="s">
        <v>614</v>
      </c>
      <c r="D1397" s="159" t="s">
        <v>1</v>
      </c>
      <c r="E1397" s="159" t="s">
        <v>964</v>
      </c>
      <c r="F1397" s="158" t="s">
        <v>943</v>
      </c>
      <c r="G1397" s="91"/>
      <c r="H1397" s="20"/>
      <c r="I1397" s="20" t="e">
        <f t="shared" si="40"/>
        <v>#DIV/0!</v>
      </c>
    </row>
    <row r="1398" spans="1:9" ht="57" hidden="1">
      <c r="A1398" s="106" t="s">
        <v>1007</v>
      </c>
      <c r="B1398" s="120"/>
      <c r="C1398" s="159" t="s">
        <v>614</v>
      </c>
      <c r="D1398" s="159" t="s">
        <v>1</v>
      </c>
      <c r="E1398" s="159" t="s">
        <v>1008</v>
      </c>
      <c r="F1398" s="158"/>
      <c r="G1398" s="91">
        <f>SUM(G1399)</f>
        <v>0</v>
      </c>
      <c r="H1398" s="20">
        <f>SUM(H1399)</f>
        <v>0</v>
      </c>
      <c r="I1398" s="20" t="e">
        <f t="shared" si="40"/>
        <v>#DIV/0!</v>
      </c>
    </row>
    <row r="1399" spans="1:9" ht="19.5" customHeight="1" hidden="1">
      <c r="A1399" s="106" t="s">
        <v>90</v>
      </c>
      <c r="B1399" s="120"/>
      <c r="C1399" s="159" t="s">
        <v>614</v>
      </c>
      <c r="D1399" s="159" t="s">
        <v>1</v>
      </c>
      <c r="E1399" s="159" t="s">
        <v>1008</v>
      </c>
      <c r="F1399" s="158" t="s">
        <v>1009</v>
      </c>
      <c r="G1399" s="91"/>
      <c r="H1399" s="20"/>
      <c r="I1399" s="20" t="e">
        <f t="shared" si="40"/>
        <v>#DIV/0!</v>
      </c>
    </row>
    <row r="1400" spans="1:9" ht="28.5" customHeight="1" hidden="1">
      <c r="A1400" s="106" t="s">
        <v>79</v>
      </c>
      <c r="B1400" s="120"/>
      <c r="C1400" s="159" t="s">
        <v>614</v>
      </c>
      <c r="D1400" s="159" t="s">
        <v>1</v>
      </c>
      <c r="E1400" s="159" t="s">
        <v>80</v>
      </c>
      <c r="F1400" s="158"/>
      <c r="G1400" s="91">
        <f>SUM(G1401)</f>
        <v>0</v>
      </c>
      <c r="H1400" s="20">
        <f>SUM(H1401)</f>
        <v>0</v>
      </c>
      <c r="I1400" s="20" t="e">
        <f t="shared" si="40"/>
        <v>#DIV/0!</v>
      </c>
    </row>
    <row r="1401" spans="1:9" ht="18.75" customHeight="1" hidden="1">
      <c r="A1401" s="108" t="s">
        <v>932</v>
      </c>
      <c r="B1401" s="120"/>
      <c r="C1401" s="159" t="s">
        <v>614</v>
      </c>
      <c r="D1401" s="159" t="s">
        <v>1</v>
      </c>
      <c r="E1401" s="159" t="s">
        <v>80</v>
      </c>
      <c r="F1401" s="158" t="s">
        <v>933</v>
      </c>
      <c r="G1401" s="91"/>
      <c r="H1401" s="20"/>
      <c r="I1401" s="20" t="e">
        <f t="shared" si="40"/>
        <v>#DIV/0!</v>
      </c>
    </row>
    <row r="1402" spans="1:9" ht="28.5" hidden="1">
      <c r="A1402" s="108" t="s">
        <v>420</v>
      </c>
      <c r="B1402" s="120"/>
      <c r="C1402" s="159" t="s">
        <v>614</v>
      </c>
      <c r="D1402" s="159" t="s">
        <v>1</v>
      </c>
      <c r="E1402" s="159" t="s">
        <v>1010</v>
      </c>
      <c r="F1402" s="158"/>
      <c r="G1402" s="91">
        <f>SUM(G1403)</f>
        <v>0</v>
      </c>
      <c r="H1402" s="20">
        <f>SUM(H1403)</f>
        <v>568.5</v>
      </c>
      <c r="I1402" s="20" t="e">
        <f t="shared" si="40"/>
        <v>#DIV/0!</v>
      </c>
    </row>
    <row r="1403" spans="1:9" ht="28.5" customHeight="1" hidden="1">
      <c r="A1403" s="106" t="s">
        <v>90</v>
      </c>
      <c r="B1403" s="120"/>
      <c r="C1403" s="159" t="s">
        <v>614</v>
      </c>
      <c r="D1403" s="159" t="s">
        <v>1</v>
      </c>
      <c r="E1403" s="159" t="s">
        <v>1010</v>
      </c>
      <c r="F1403" s="158" t="s">
        <v>1009</v>
      </c>
      <c r="G1403" s="91"/>
      <c r="H1403" s="20">
        <f>SUM(H1405)</f>
        <v>568.5</v>
      </c>
      <c r="I1403" s="20" t="e">
        <f t="shared" si="40"/>
        <v>#DIV/0!</v>
      </c>
    </row>
    <row r="1404" spans="1:9" ht="15.75" customHeight="1" hidden="1">
      <c r="A1404" s="106" t="s">
        <v>653</v>
      </c>
      <c r="B1404" s="120"/>
      <c r="C1404" s="159" t="s">
        <v>614</v>
      </c>
      <c r="D1404" s="159" t="s">
        <v>1</v>
      </c>
      <c r="E1404" s="159" t="s">
        <v>654</v>
      </c>
      <c r="F1404" s="158"/>
      <c r="G1404" s="91">
        <f>SUM(G1405,G1410)</f>
        <v>0</v>
      </c>
      <c r="H1404" s="20"/>
      <c r="I1404" s="20"/>
    </row>
    <row r="1405" spans="1:9" ht="71.25" customHeight="1" hidden="1">
      <c r="A1405" s="108" t="s">
        <v>932</v>
      </c>
      <c r="B1405" s="120"/>
      <c r="C1405" s="159" t="s">
        <v>614</v>
      </c>
      <c r="D1405" s="159" t="s">
        <v>1</v>
      </c>
      <c r="E1405" s="159" t="s">
        <v>654</v>
      </c>
      <c r="F1405" s="158" t="s">
        <v>933</v>
      </c>
      <c r="G1405" s="91"/>
      <c r="H1405" s="20">
        <f>SUM(H1407)</f>
        <v>568.5</v>
      </c>
      <c r="I1405" s="20" t="e">
        <f>SUM(H1405/G1409*100)</f>
        <v>#DIV/0!</v>
      </c>
    </row>
    <row r="1406" spans="1:9" ht="16.5" customHeight="1" hidden="1">
      <c r="A1406" s="106" t="s">
        <v>340</v>
      </c>
      <c r="B1406" s="120"/>
      <c r="C1406" s="159" t="s">
        <v>614</v>
      </c>
      <c r="D1406" s="159" t="s">
        <v>1</v>
      </c>
      <c r="E1406" s="159" t="s">
        <v>341</v>
      </c>
      <c r="F1406" s="158"/>
      <c r="G1406" s="91"/>
      <c r="H1406" s="20"/>
      <c r="I1406" s="20"/>
    </row>
    <row r="1407" spans="1:9" ht="28.5" hidden="1">
      <c r="A1407" s="106" t="s">
        <v>965</v>
      </c>
      <c r="B1407" s="120"/>
      <c r="C1407" s="159" t="s">
        <v>614</v>
      </c>
      <c r="D1407" s="159" t="s">
        <v>1</v>
      </c>
      <c r="E1407" s="159" t="s">
        <v>654</v>
      </c>
      <c r="F1407" s="158"/>
      <c r="G1407" s="91">
        <f>SUM(G1409+G1408)</f>
        <v>0</v>
      </c>
      <c r="H1407" s="20">
        <v>568.5</v>
      </c>
      <c r="I1407" s="20" t="e">
        <f>SUM(H1407/G1411*100)</f>
        <v>#DIV/0!</v>
      </c>
    </row>
    <row r="1408" spans="1:9" ht="21" customHeight="1" hidden="1">
      <c r="A1408" s="108" t="s">
        <v>1038</v>
      </c>
      <c r="B1408" s="120"/>
      <c r="C1408" s="159" t="s">
        <v>614</v>
      </c>
      <c r="D1408" s="159" t="s">
        <v>1</v>
      </c>
      <c r="E1408" s="159" t="s">
        <v>654</v>
      </c>
      <c r="F1408" s="158" t="s">
        <v>72</v>
      </c>
      <c r="G1408" s="91"/>
      <c r="H1408" s="20" t="e">
        <f>SUM(#REF!)</f>
        <v>#REF!</v>
      </c>
      <c r="I1408" s="20" t="e">
        <f>SUM(H1408/G1412*100)</f>
        <v>#REF!</v>
      </c>
    </row>
    <row r="1409" spans="1:9" ht="45" customHeight="1" hidden="1">
      <c r="A1409" s="130" t="s">
        <v>655</v>
      </c>
      <c r="B1409" s="120"/>
      <c r="C1409" s="159" t="s">
        <v>614</v>
      </c>
      <c r="D1409" s="159" t="s">
        <v>1</v>
      </c>
      <c r="E1409" s="159" t="s">
        <v>656</v>
      </c>
      <c r="F1409" s="158"/>
      <c r="G1409" s="91">
        <f>SUM(G1411)</f>
        <v>0</v>
      </c>
      <c r="H1409" s="20"/>
      <c r="I1409" s="20"/>
    </row>
    <row r="1410" spans="1:9" ht="17.25" customHeight="1" hidden="1">
      <c r="A1410" s="105" t="s">
        <v>711</v>
      </c>
      <c r="B1410" s="120"/>
      <c r="C1410" s="159" t="s">
        <v>614</v>
      </c>
      <c r="D1410" s="159" t="s">
        <v>1</v>
      </c>
      <c r="E1410" s="159" t="s">
        <v>654</v>
      </c>
      <c r="F1410" s="158" t="s">
        <v>566</v>
      </c>
      <c r="G1410" s="91"/>
      <c r="H1410" s="20">
        <v>179.9</v>
      </c>
      <c r="I1410" s="20" t="e">
        <f>SUM(H1410/G1414*100)</f>
        <v>#DIV/0!</v>
      </c>
    </row>
    <row r="1411" spans="1:9" ht="17.25" customHeight="1" hidden="1">
      <c r="A1411" s="108" t="s">
        <v>932</v>
      </c>
      <c r="B1411" s="120"/>
      <c r="C1411" s="159" t="s">
        <v>614</v>
      </c>
      <c r="D1411" s="159" t="s">
        <v>1</v>
      </c>
      <c r="E1411" s="159" t="s">
        <v>656</v>
      </c>
      <c r="F1411" s="158" t="s">
        <v>933</v>
      </c>
      <c r="G1411" s="91"/>
      <c r="H1411" s="27">
        <v>14959.3</v>
      </c>
      <c r="I1411" s="20">
        <f>SUM(H1411/G1415*100)</f>
        <v>565.1416698148847</v>
      </c>
    </row>
    <row r="1412" spans="1:9" ht="16.5" customHeight="1">
      <c r="A1412" s="108" t="s">
        <v>634</v>
      </c>
      <c r="B1412" s="188"/>
      <c r="C1412" s="159" t="s">
        <v>614</v>
      </c>
      <c r="D1412" s="159" t="s">
        <v>1</v>
      </c>
      <c r="E1412" s="159" t="s">
        <v>635</v>
      </c>
      <c r="F1412" s="158"/>
      <c r="G1412" s="91">
        <f>SUM(G1415)</f>
        <v>2647</v>
      </c>
      <c r="H1412" s="27"/>
      <c r="I1412" s="20"/>
    </row>
    <row r="1413" spans="1:9" ht="19.5" customHeight="1" hidden="1">
      <c r="A1413" s="105" t="s">
        <v>821</v>
      </c>
      <c r="B1413" s="188"/>
      <c r="C1413" s="159" t="s">
        <v>1039</v>
      </c>
      <c r="D1413" s="159" t="s">
        <v>1</v>
      </c>
      <c r="E1413" s="159" t="s">
        <v>1037</v>
      </c>
      <c r="F1413" s="158"/>
      <c r="G1413" s="91">
        <f>SUM(G1414)</f>
        <v>0</v>
      </c>
      <c r="H1413" s="27"/>
      <c r="I1413" s="20"/>
    </row>
    <row r="1414" spans="1:9" ht="51.75" customHeight="1" hidden="1">
      <c r="A1414" s="108" t="s">
        <v>483</v>
      </c>
      <c r="B1414" s="188"/>
      <c r="C1414" s="159" t="s">
        <v>614</v>
      </c>
      <c r="D1414" s="159" t="s">
        <v>1</v>
      </c>
      <c r="E1414" s="159" t="s">
        <v>1037</v>
      </c>
      <c r="F1414" s="158" t="s">
        <v>933</v>
      </c>
      <c r="G1414" s="91"/>
      <c r="H1414" s="27">
        <v>2979.3</v>
      </c>
      <c r="I1414" s="20" t="e">
        <f>SUM(H1414/G1418*100)</f>
        <v>#DIV/0!</v>
      </c>
    </row>
    <row r="1415" spans="1:9" ht="17.25" customHeight="1">
      <c r="A1415" s="109" t="s">
        <v>293</v>
      </c>
      <c r="B1415" s="155"/>
      <c r="C1415" s="159" t="s">
        <v>614</v>
      </c>
      <c r="D1415" s="159" t="s">
        <v>1</v>
      </c>
      <c r="E1415" s="159" t="s">
        <v>98</v>
      </c>
      <c r="F1415" s="158"/>
      <c r="G1415" s="92">
        <f>SUM(G1416)+G1417</f>
        <v>2647</v>
      </c>
      <c r="H1415" s="27"/>
      <c r="I1415" s="20"/>
    </row>
    <row r="1416" spans="1:9" ht="21" customHeight="1">
      <c r="A1416" s="108" t="s">
        <v>876</v>
      </c>
      <c r="B1416" s="155"/>
      <c r="C1416" s="159" t="s">
        <v>614</v>
      </c>
      <c r="D1416" s="159" t="s">
        <v>1</v>
      </c>
      <c r="E1416" s="159" t="s">
        <v>98</v>
      </c>
      <c r="F1416" s="158" t="s">
        <v>877</v>
      </c>
      <c r="G1416" s="92">
        <v>2647</v>
      </c>
      <c r="H1416" s="27"/>
      <c r="I1416" s="20"/>
    </row>
    <row r="1417" spans="1:9" ht="18.75" customHeight="1" hidden="1">
      <c r="A1417" s="105" t="s">
        <v>711</v>
      </c>
      <c r="B1417" s="120"/>
      <c r="C1417" s="159" t="s">
        <v>614</v>
      </c>
      <c r="D1417" s="159" t="s">
        <v>1</v>
      </c>
      <c r="E1417" s="159" t="s">
        <v>98</v>
      </c>
      <c r="F1417" s="158" t="s">
        <v>566</v>
      </c>
      <c r="G1417" s="91"/>
      <c r="H1417" s="27">
        <v>641.1</v>
      </c>
      <c r="I1417" s="20" t="e">
        <f>SUM(H1417/G1421*100)</f>
        <v>#DIV/0!</v>
      </c>
    </row>
    <row r="1418" spans="1:9" ht="18.75" customHeight="1" hidden="1">
      <c r="A1418" s="109" t="s">
        <v>99</v>
      </c>
      <c r="B1418" s="155"/>
      <c r="C1418" s="159" t="s">
        <v>614</v>
      </c>
      <c r="D1418" s="159" t="s">
        <v>1</v>
      </c>
      <c r="E1418" s="159" t="s">
        <v>100</v>
      </c>
      <c r="F1418" s="158"/>
      <c r="G1418" s="92">
        <f>SUM(G1419:G1420)</f>
        <v>0</v>
      </c>
      <c r="H1418" s="27"/>
      <c r="I1418" s="20"/>
    </row>
    <row r="1419" spans="1:9" ht="21.75" customHeight="1" hidden="1">
      <c r="A1419" s="108" t="s">
        <v>876</v>
      </c>
      <c r="B1419" s="155"/>
      <c r="C1419" s="159" t="s">
        <v>614</v>
      </c>
      <c r="D1419" s="159" t="s">
        <v>1</v>
      </c>
      <c r="E1419" s="159" t="s">
        <v>100</v>
      </c>
      <c r="F1419" s="158" t="s">
        <v>877</v>
      </c>
      <c r="G1419" s="92"/>
      <c r="H1419" s="27"/>
      <c r="I1419" s="20"/>
    </row>
    <row r="1420" spans="1:9" ht="18" customHeight="1" hidden="1">
      <c r="A1420" s="105" t="s">
        <v>711</v>
      </c>
      <c r="B1420" s="120"/>
      <c r="C1420" s="159" t="s">
        <v>614</v>
      </c>
      <c r="D1420" s="159" t="s">
        <v>1</v>
      </c>
      <c r="E1420" s="159" t="s">
        <v>100</v>
      </c>
      <c r="F1420" s="158" t="s">
        <v>566</v>
      </c>
      <c r="G1420" s="91"/>
      <c r="H1420" s="27" t="e">
        <f>SUM(H1425)+H1421</f>
        <v>#REF!</v>
      </c>
      <c r="I1420" s="20" t="e">
        <f aca="true" t="shared" si="41" ref="I1420:I1433">SUM(H1420/G1424*100)</f>
        <v>#REF!</v>
      </c>
    </row>
    <row r="1421" spans="1:9" ht="18" customHeight="1" hidden="1">
      <c r="A1421" s="109" t="s">
        <v>19</v>
      </c>
      <c r="B1421" s="155"/>
      <c r="C1421" s="159" t="s">
        <v>614</v>
      </c>
      <c r="D1421" s="159" t="s">
        <v>1</v>
      </c>
      <c r="E1421" s="159" t="s">
        <v>103</v>
      </c>
      <c r="F1421" s="158"/>
      <c r="G1421" s="92">
        <f>SUM(G1422+G1423)</f>
        <v>0</v>
      </c>
      <c r="H1421" s="27">
        <f>SUM(H1422)</f>
        <v>2256.4</v>
      </c>
      <c r="I1421" s="20">
        <f t="shared" si="41"/>
        <v>44.76984126984127</v>
      </c>
    </row>
    <row r="1422" spans="1:9" ht="18" customHeight="1" hidden="1">
      <c r="A1422" s="108" t="s">
        <v>876</v>
      </c>
      <c r="B1422" s="155"/>
      <c r="C1422" s="159" t="s">
        <v>614</v>
      </c>
      <c r="D1422" s="159" t="s">
        <v>1</v>
      </c>
      <c r="E1422" s="159" t="s">
        <v>103</v>
      </c>
      <c r="F1422" s="158" t="s">
        <v>877</v>
      </c>
      <c r="G1422" s="92"/>
      <c r="H1422" s="27">
        <f>SUM(H1423)</f>
        <v>2256.4</v>
      </c>
      <c r="I1422" s="20">
        <f t="shared" si="41"/>
        <v>44.76984126984127</v>
      </c>
    </row>
    <row r="1423" spans="1:9" ht="18" customHeight="1" hidden="1">
      <c r="A1423" s="108" t="s">
        <v>711</v>
      </c>
      <c r="B1423" s="155"/>
      <c r="C1423" s="159" t="s">
        <v>614</v>
      </c>
      <c r="D1423" s="159" t="s">
        <v>1</v>
      </c>
      <c r="E1423" s="159" t="s">
        <v>103</v>
      </c>
      <c r="F1423" s="158" t="s">
        <v>566</v>
      </c>
      <c r="G1423" s="92"/>
      <c r="H1423" s="27">
        <f>SUM(H1424)</f>
        <v>2256.4</v>
      </c>
      <c r="I1423" s="20">
        <f t="shared" si="41"/>
        <v>44.76984126984127</v>
      </c>
    </row>
    <row r="1424" spans="1:9" ht="18" customHeight="1">
      <c r="A1424" s="128" t="s">
        <v>776</v>
      </c>
      <c r="B1424" s="155"/>
      <c r="C1424" s="183" t="s">
        <v>348</v>
      </c>
      <c r="D1424" s="183" t="s">
        <v>777</v>
      </c>
      <c r="E1424" s="159"/>
      <c r="F1424" s="158"/>
      <c r="G1424" s="92">
        <f>SUM(G1429)+G1425</f>
        <v>22707.1</v>
      </c>
      <c r="H1424" s="27">
        <v>2256.4</v>
      </c>
      <c r="I1424" s="20">
        <f t="shared" si="41"/>
        <v>44.76984126984127</v>
      </c>
    </row>
    <row r="1425" spans="1:9" ht="17.25" customHeight="1">
      <c r="A1425" s="133" t="s">
        <v>372</v>
      </c>
      <c r="B1425" s="155"/>
      <c r="C1425" s="171" t="s">
        <v>348</v>
      </c>
      <c r="D1425" s="183" t="s">
        <v>601</v>
      </c>
      <c r="E1425" s="183"/>
      <c r="F1425" s="158"/>
      <c r="G1425" s="92">
        <f>SUM(G1426)</f>
        <v>5040</v>
      </c>
      <c r="H1425" s="27" t="e">
        <f>SUM(H1426)</f>
        <v>#REF!</v>
      </c>
      <c r="I1425" s="20" t="e">
        <f t="shared" si="41"/>
        <v>#REF!</v>
      </c>
    </row>
    <row r="1426" spans="1:9" ht="15">
      <c r="A1426" s="109" t="s">
        <v>373</v>
      </c>
      <c r="B1426" s="155"/>
      <c r="C1426" s="171" t="s">
        <v>348</v>
      </c>
      <c r="D1426" s="183" t="s">
        <v>601</v>
      </c>
      <c r="E1426" s="159" t="s">
        <v>374</v>
      </c>
      <c r="F1426" s="158"/>
      <c r="G1426" s="92">
        <f>SUM(G1427)</f>
        <v>5040</v>
      </c>
      <c r="H1426" s="27" t="e">
        <f>SUM(H1427)</f>
        <v>#REF!</v>
      </c>
      <c r="I1426" s="20" t="e">
        <f t="shared" si="41"/>
        <v>#REF!</v>
      </c>
    </row>
    <row r="1427" spans="1:9" ht="15">
      <c r="A1427" s="109" t="s">
        <v>763</v>
      </c>
      <c r="B1427" s="155"/>
      <c r="C1427" s="171" t="s">
        <v>348</v>
      </c>
      <c r="D1427" s="183" t="s">
        <v>601</v>
      </c>
      <c r="E1427" s="159" t="s">
        <v>764</v>
      </c>
      <c r="F1427" s="158"/>
      <c r="G1427" s="92">
        <f>SUM(G1428)</f>
        <v>5040</v>
      </c>
      <c r="H1427" s="27" t="e">
        <f>SUM(#REF!)</f>
        <v>#REF!</v>
      </c>
      <c r="I1427" s="20" t="e">
        <f t="shared" si="41"/>
        <v>#REF!</v>
      </c>
    </row>
    <row r="1428" spans="1:9" ht="15">
      <c r="A1428" s="109" t="s">
        <v>1032</v>
      </c>
      <c r="B1428" s="155"/>
      <c r="C1428" s="171" t="s">
        <v>348</v>
      </c>
      <c r="D1428" s="183" t="s">
        <v>601</v>
      </c>
      <c r="E1428" s="159" t="s">
        <v>764</v>
      </c>
      <c r="F1428" s="158" t="s">
        <v>1033</v>
      </c>
      <c r="G1428" s="92">
        <v>5040</v>
      </c>
      <c r="H1428" s="27">
        <v>11370.3</v>
      </c>
      <c r="I1428" s="20">
        <f t="shared" si="41"/>
        <v>64.35861007182842</v>
      </c>
    </row>
    <row r="1429" spans="1:9" ht="15.75">
      <c r="A1429" s="133" t="s">
        <v>714</v>
      </c>
      <c r="B1429" s="155"/>
      <c r="C1429" s="171" t="s">
        <v>348</v>
      </c>
      <c r="D1429" s="183" t="s">
        <v>625</v>
      </c>
      <c r="E1429" s="183"/>
      <c r="F1429" s="158"/>
      <c r="G1429" s="92">
        <f>SUM(G1430)</f>
        <v>17667.1</v>
      </c>
      <c r="H1429" s="81">
        <f>SUM(H1430+H1459)</f>
        <v>200055.59999999998</v>
      </c>
      <c r="I1429" s="26">
        <f t="shared" si="41"/>
        <v>189.96160993299063</v>
      </c>
    </row>
    <row r="1430" spans="1:9" ht="15">
      <c r="A1430" s="109" t="s">
        <v>61</v>
      </c>
      <c r="B1430" s="155"/>
      <c r="C1430" s="171" t="s">
        <v>348</v>
      </c>
      <c r="D1430" s="183" t="s">
        <v>625</v>
      </c>
      <c r="E1430" s="159" t="s">
        <v>62</v>
      </c>
      <c r="F1430" s="158"/>
      <c r="G1430" s="92">
        <f>SUM(G1431)</f>
        <v>17667.1</v>
      </c>
      <c r="H1430" s="20">
        <f>SUM(H1431)+H1446</f>
        <v>113751.4</v>
      </c>
      <c r="I1430" s="20">
        <f t="shared" si="41"/>
        <v>347.50653762494807</v>
      </c>
    </row>
    <row r="1431" spans="1:9" ht="42.75">
      <c r="A1431" s="109" t="s">
        <v>717</v>
      </c>
      <c r="B1431" s="155"/>
      <c r="C1431" s="171" t="s">
        <v>348</v>
      </c>
      <c r="D1431" s="183" t="s">
        <v>625</v>
      </c>
      <c r="E1431" s="159" t="s">
        <v>718</v>
      </c>
      <c r="F1431" s="158"/>
      <c r="G1431" s="92">
        <f>SUM(G1432)</f>
        <v>17667.1</v>
      </c>
      <c r="H1431" s="20">
        <f>SUM(H1432)</f>
        <v>113444</v>
      </c>
      <c r="I1431" s="20">
        <f t="shared" si="41"/>
        <v>346.5674414057727</v>
      </c>
    </row>
    <row r="1432" spans="1:9" ht="18" customHeight="1">
      <c r="A1432" s="109" t="s">
        <v>1032</v>
      </c>
      <c r="B1432" s="155"/>
      <c r="C1432" s="171" t="s">
        <v>348</v>
      </c>
      <c r="D1432" s="183" t="s">
        <v>625</v>
      </c>
      <c r="E1432" s="159" t="s">
        <v>718</v>
      </c>
      <c r="F1432" s="158" t="s">
        <v>1033</v>
      </c>
      <c r="G1432" s="92">
        <v>17667.1</v>
      </c>
      <c r="H1432" s="20">
        <f>SUM(H1433)</f>
        <v>113444</v>
      </c>
      <c r="I1432" s="20">
        <f t="shared" si="41"/>
        <v>346.5674414057727</v>
      </c>
    </row>
    <row r="1433" spans="1:9" ht="28.5" customHeight="1">
      <c r="A1433" s="173" t="s">
        <v>16</v>
      </c>
      <c r="B1433" s="174" t="s">
        <v>966</v>
      </c>
      <c r="C1433" s="159"/>
      <c r="D1433" s="159"/>
      <c r="E1433" s="159"/>
      <c r="F1433" s="157"/>
      <c r="G1433" s="203">
        <f>SUM(G1434+G1463)</f>
        <v>105313.70000000001</v>
      </c>
      <c r="H1433" s="20">
        <f>SUM(H1435+H1484+H1482)</f>
        <v>113444</v>
      </c>
      <c r="I1433" s="20">
        <f t="shared" si="41"/>
        <v>346.5674414057727</v>
      </c>
    </row>
    <row r="1434" spans="1:9" ht="20.25" customHeight="1">
      <c r="A1434" s="106" t="s">
        <v>613</v>
      </c>
      <c r="B1434" s="155"/>
      <c r="C1434" s="159" t="s">
        <v>614</v>
      </c>
      <c r="D1434" s="159"/>
      <c r="E1434" s="159"/>
      <c r="F1434" s="157"/>
      <c r="G1434" s="91">
        <f>SUM(G1435)+G1450</f>
        <v>32733.6</v>
      </c>
      <c r="H1434" s="20"/>
      <c r="I1434" s="20"/>
    </row>
    <row r="1435" spans="1:9" ht="19.5" customHeight="1">
      <c r="A1435" s="106" t="s">
        <v>81</v>
      </c>
      <c r="B1435" s="174"/>
      <c r="C1435" s="159" t="s">
        <v>614</v>
      </c>
      <c r="D1435" s="159" t="s">
        <v>239</v>
      </c>
      <c r="E1435" s="159"/>
      <c r="F1435" s="157"/>
      <c r="G1435" s="91">
        <f>SUM(G1436+G1447)</f>
        <v>32733.6</v>
      </c>
      <c r="H1435" s="20">
        <v>56722</v>
      </c>
      <c r="I1435" s="20">
        <f>SUM(H1435/G1439*100)</f>
        <v>175.91326218897606</v>
      </c>
    </row>
    <row r="1436" spans="1:9" ht="26.25" customHeight="1">
      <c r="A1436" s="106" t="s">
        <v>36</v>
      </c>
      <c r="B1436" s="155"/>
      <c r="C1436" s="159" t="s">
        <v>614</v>
      </c>
      <c r="D1436" s="159" t="s">
        <v>239</v>
      </c>
      <c r="E1436" s="159" t="s">
        <v>37</v>
      </c>
      <c r="F1436" s="157"/>
      <c r="G1436" s="91">
        <f>SUM(G1437)</f>
        <v>32733.6</v>
      </c>
      <c r="H1436" s="20"/>
      <c r="I1436" s="20"/>
    </row>
    <row r="1437" spans="1:9" ht="21.75" customHeight="1">
      <c r="A1437" s="106" t="s">
        <v>361</v>
      </c>
      <c r="B1437" s="174"/>
      <c r="C1437" s="159" t="s">
        <v>614</v>
      </c>
      <c r="D1437" s="159" t="s">
        <v>239</v>
      </c>
      <c r="E1437" s="159" t="s">
        <v>559</v>
      </c>
      <c r="F1437" s="157"/>
      <c r="G1437" s="91">
        <f>SUM(G1438)+G1445+G1440</f>
        <v>32733.6</v>
      </c>
      <c r="H1437" s="20"/>
      <c r="I1437" s="20"/>
    </row>
    <row r="1438" spans="1:9" ht="33" customHeight="1">
      <c r="A1438" s="106" t="s">
        <v>585</v>
      </c>
      <c r="B1438" s="174"/>
      <c r="C1438" s="159" t="s">
        <v>614</v>
      </c>
      <c r="D1438" s="159" t="s">
        <v>239</v>
      </c>
      <c r="E1438" s="159" t="s">
        <v>560</v>
      </c>
      <c r="F1438" s="157"/>
      <c r="G1438" s="91">
        <f>SUM(G1439)</f>
        <v>32244.3</v>
      </c>
      <c r="H1438" s="20"/>
      <c r="I1438" s="20"/>
    </row>
    <row r="1439" spans="1:9" ht="30" customHeight="1">
      <c r="A1439" s="108" t="s">
        <v>710</v>
      </c>
      <c r="B1439" s="120"/>
      <c r="C1439" s="159" t="s">
        <v>614</v>
      </c>
      <c r="D1439" s="159" t="s">
        <v>239</v>
      </c>
      <c r="E1439" s="159" t="s">
        <v>560</v>
      </c>
      <c r="F1439" s="158" t="s">
        <v>485</v>
      </c>
      <c r="G1439" s="91">
        <v>32244.3</v>
      </c>
      <c r="H1439" s="20"/>
      <c r="I1439" s="20"/>
    </row>
    <row r="1440" spans="1:9" ht="24" customHeight="1">
      <c r="A1440" s="108" t="s">
        <v>711</v>
      </c>
      <c r="B1440" s="120"/>
      <c r="C1440" s="159" t="s">
        <v>614</v>
      </c>
      <c r="D1440" s="159" t="s">
        <v>239</v>
      </c>
      <c r="E1440" s="159" t="s">
        <v>680</v>
      </c>
      <c r="F1440" s="158"/>
      <c r="G1440" s="91">
        <f>SUM(G1441+G1443)</f>
        <v>448.8</v>
      </c>
      <c r="H1440" s="20"/>
      <c r="I1440" s="20"/>
    </row>
    <row r="1441" spans="1:9" ht="28.5">
      <c r="A1441" s="108" t="s">
        <v>240</v>
      </c>
      <c r="B1441" s="120"/>
      <c r="C1441" s="159" t="s">
        <v>614</v>
      </c>
      <c r="D1441" s="159" t="s">
        <v>239</v>
      </c>
      <c r="E1441" s="159" t="s">
        <v>241</v>
      </c>
      <c r="F1441" s="158"/>
      <c r="G1441" s="91">
        <f>SUM(G1442)</f>
        <v>291.8</v>
      </c>
      <c r="H1441" s="20">
        <f>SUM(H1442)</f>
        <v>1305.1</v>
      </c>
      <c r="I1441" s="20">
        <f aca="true" t="shared" si="42" ref="I1441:I1454">SUM(H1441/G1445*100)</f>
        <v>3222.4691358024693</v>
      </c>
    </row>
    <row r="1442" spans="1:9" ht="16.5" customHeight="1">
      <c r="A1442" s="108" t="s">
        <v>711</v>
      </c>
      <c r="B1442" s="120"/>
      <c r="C1442" s="159" t="s">
        <v>614</v>
      </c>
      <c r="D1442" s="159" t="s">
        <v>239</v>
      </c>
      <c r="E1442" s="159" t="s">
        <v>241</v>
      </c>
      <c r="F1442" s="158" t="s">
        <v>566</v>
      </c>
      <c r="G1442" s="91">
        <v>291.8</v>
      </c>
      <c r="H1442" s="20">
        <v>1305.1</v>
      </c>
      <c r="I1442" s="20">
        <f t="shared" si="42"/>
        <v>3222.4691358024693</v>
      </c>
    </row>
    <row r="1443" spans="1:9" ht="18" customHeight="1">
      <c r="A1443" s="108" t="s">
        <v>705</v>
      </c>
      <c r="B1443" s="120"/>
      <c r="C1443" s="159" t="s">
        <v>614</v>
      </c>
      <c r="D1443" s="159" t="s">
        <v>239</v>
      </c>
      <c r="E1443" s="159" t="s">
        <v>844</v>
      </c>
      <c r="F1443" s="158"/>
      <c r="G1443" s="91">
        <f>SUM(G1444)</f>
        <v>157</v>
      </c>
      <c r="H1443" s="20">
        <f>SUM(H1444)</f>
        <v>307.4</v>
      </c>
      <c r="I1443" s="20" t="e">
        <f t="shared" si="42"/>
        <v>#DIV/0!</v>
      </c>
    </row>
    <row r="1444" spans="1:9" ht="45" customHeight="1">
      <c r="A1444" s="108" t="s">
        <v>711</v>
      </c>
      <c r="B1444" s="120"/>
      <c r="C1444" s="159" t="s">
        <v>614</v>
      </c>
      <c r="D1444" s="159" t="s">
        <v>239</v>
      </c>
      <c r="E1444" s="159" t="s">
        <v>844</v>
      </c>
      <c r="F1444" s="158" t="s">
        <v>566</v>
      </c>
      <c r="G1444" s="91">
        <v>157</v>
      </c>
      <c r="H1444" s="20">
        <f>SUM(H1445:H1449)</f>
        <v>307.4</v>
      </c>
      <c r="I1444" s="20" t="e">
        <f t="shared" si="42"/>
        <v>#DIV/0!</v>
      </c>
    </row>
    <row r="1445" spans="1:9" ht="48.75" customHeight="1">
      <c r="A1445" s="108" t="s">
        <v>494</v>
      </c>
      <c r="B1445" s="120"/>
      <c r="C1445" s="159" t="s">
        <v>614</v>
      </c>
      <c r="D1445" s="159" t="s">
        <v>239</v>
      </c>
      <c r="E1445" s="159" t="s">
        <v>562</v>
      </c>
      <c r="F1445" s="158"/>
      <c r="G1445" s="91">
        <f>SUM(G1446)</f>
        <v>40.5</v>
      </c>
      <c r="H1445" s="20"/>
      <c r="I1445" s="20" t="e">
        <f t="shared" si="42"/>
        <v>#DIV/0!</v>
      </c>
    </row>
    <row r="1446" spans="1:9" ht="18" customHeight="1">
      <c r="A1446" s="108" t="s">
        <v>711</v>
      </c>
      <c r="B1446" s="120"/>
      <c r="C1446" s="159" t="s">
        <v>614</v>
      </c>
      <c r="D1446" s="159" t="s">
        <v>239</v>
      </c>
      <c r="E1446" s="159" t="s">
        <v>562</v>
      </c>
      <c r="F1446" s="158" t="s">
        <v>566</v>
      </c>
      <c r="G1446" s="91">
        <v>40.5</v>
      </c>
      <c r="H1446" s="20">
        <f>SUM(H1452+H1447+H1450)</f>
        <v>307.4</v>
      </c>
      <c r="I1446" s="20" t="e">
        <f t="shared" si="42"/>
        <v>#DIV/0!</v>
      </c>
    </row>
    <row r="1447" spans="1:9" ht="19.5" customHeight="1" hidden="1">
      <c r="A1447" s="108" t="s">
        <v>634</v>
      </c>
      <c r="B1447" s="189"/>
      <c r="C1447" s="171" t="s">
        <v>614</v>
      </c>
      <c r="D1447" s="171" t="s">
        <v>239</v>
      </c>
      <c r="E1447" s="171" t="s">
        <v>635</v>
      </c>
      <c r="F1447" s="161"/>
      <c r="G1447" s="91">
        <f>SUM(G1448)+G1451</f>
        <v>0</v>
      </c>
      <c r="H1447" s="20">
        <f>SUM(H1448)</f>
        <v>0</v>
      </c>
      <c r="I1447" s="20" t="e">
        <f t="shared" si="42"/>
        <v>#DIV/0!</v>
      </c>
    </row>
    <row r="1448" spans="1:9" ht="19.5" customHeight="1" hidden="1">
      <c r="A1448" s="128" t="s">
        <v>821</v>
      </c>
      <c r="B1448" s="189"/>
      <c r="C1448" s="171" t="s">
        <v>614</v>
      </c>
      <c r="D1448" s="171" t="s">
        <v>239</v>
      </c>
      <c r="E1448" s="171" t="s">
        <v>1037</v>
      </c>
      <c r="F1448" s="161"/>
      <c r="G1448" s="91">
        <f>SUM(G1449)</f>
        <v>0</v>
      </c>
      <c r="H1448" s="20">
        <f>SUM(H1449)</f>
        <v>0</v>
      </c>
      <c r="I1448" s="20" t="e">
        <f t="shared" si="42"/>
        <v>#DIV/0!</v>
      </c>
    </row>
    <row r="1449" spans="1:9" ht="19.5" customHeight="1" hidden="1">
      <c r="A1449" s="108" t="s">
        <v>666</v>
      </c>
      <c r="B1449" s="189"/>
      <c r="C1449" s="171" t="s">
        <v>614</v>
      </c>
      <c r="D1449" s="171" t="s">
        <v>239</v>
      </c>
      <c r="E1449" s="171" t="s">
        <v>1037</v>
      </c>
      <c r="F1449" s="161" t="s">
        <v>566</v>
      </c>
      <c r="G1449" s="91"/>
      <c r="H1449" s="20"/>
      <c r="I1449" s="20" t="e">
        <f t="shared" si="42"/>
        <v>#DIV/0!</v>
      </c>
    </row>
    <row r="1450" spans="1:9" ht="19.5" customHeight="1" hidden="1">
      <c r="A1450" s="106" t="s">
        <v>615</v>
      </c>
      <c r="B1450" s="155"/>
      <c r="C1450" s="155" t="s">
        <v>614</v>
      </c>
      <c r="D1450" s="155" t="s">
        <v>614</v>
      </c>
      <c r="E1450" s="159"/>
      <c r="F1450" s="158"/>
      <c r="G1450" s="91">
        <f>SUM(G1456+G1451+G1454+G1460)</f>
        <v>0</v>
      </c>
      <c r="H1450" s="20">
        <f>SUM(H1451)</f>
        <v>108.1</v>
      </c>
      <c r="I1450" s="20" t="e">
        <f t="shared" si="42"/>
        <v>#DIV/0!</v>
      </c>
    </row>
    <row r="1451" spans="1:9" ht="19.5" customHeight="1" hidden="1">
      <c r="A1451" s="105" t="s">
        <v>878</v>
      </c>
      <c r="B1451" s="159"/>
      <c r="C1451" s="159" t="s">
        <v>614</v>
      </c>
      <c r="D1451" s="159" t="s">
        <v>614</v>
      </c>
      <c r="E1451" s="159" t="s">
        <v>879</v>
      </c>
      <c r="F1451" s="157"/>
      <c r="G1451" s="91">
        <f>SUM(G1452)</f>
        <v>0</v>
      </c>
      <c r="H1451" s="20">
        <v>108.1</v>
      </c>
      <c r="I1451" s="20" t="e">
        <f t="shared" si="42"/>
        <v>#DIV/0!</v>
      </c>
    </row>
    <row r="1452" spans="1:9" ht="19.5" customHeight="1" hidden="1">
      <c r="A1452" s="105" t="s">
        <v>880</v>
      </c>
      <c r="B1452" s="159"/>
      <c r="C1452" s="159" t="s">
        <v>614</v>
      </c>
      <c r="D1452" s="159" t="s">
        <v>614</v>
      </c>
      <c r="E1452" s="159" t="s">
        <v>881</v>
      </c>
      <c r="F1452" s="157"/>
      <c r="G1452" s="91">
        <f>SUM(G1453)</f>
        <v>0</v>
      </c>
      <c r="H1452" s="20">
        <f>SUM(H1453)</f>
        <v>199.3</v>
      </c>
      <c r="I1452" s="20" t="e">
        <f t="shared" si="42"/>
        <v>#DIV/0!</v>
      </c>
    </row>
    <row r="1453" spans="1:9" ht="48.75" customHeight="1" hidden="1">
      <c r="A1453" s="108" t="s">
        <v>932</v>
      </c>
      <c r="B1453" s="159"/>
      <c r="C1453" s="159" t="s">
        <v>614</v>
      </c>
      <c r="D1453" s="159" t="s">
        <v>614</v>
      </c>
      <c r="E1453" s="159" t="s">
        <v>881</v>
      </c>
      <c r="F1453" s="157" t="s">
        <v>933</v>
      </c>
      <c r="G1453" s="91"/>
      <c r="H1453" s="20">
        <f>SUM(H1454)</f>
        <v>199.3</v>
      </c>
      <c r="I1453" s="20" t="e">
        <f t="shared" si="42"/>
        <v>#DIV/0!</v>
      </c>
    </row>
    <row r="1454" spans="1:9" ht="19.5" customHeight="1" hidden="1">
      <c r="A1454" s="108" t="s">
        <v>128</v>
      </c>
      <c r="B1454" s="159"/>
      <c r="C1454" s="159" t="s">
        <v>614</v>
      </c>
      <c r="D1454" s="159" t="s">
        <v>614</v>
      </c>
      <c r="E1454" s="159" t="s">
        <v>129</v>
      </c>
      <c r="F1454" s="157"/>
      <c r="G1454" s="91">
        <f>SUM(G1455)</f>
        <v>0</v>
      </c>
      <c r="H1454" s="20">
        <v>199.3</v>
      </c>
      <c r="I1454" s="20" t="e">
        <f t="shared" si="42"/>
        <v>#DIV/0!</v>
      </c>
    </row>
    <row r="1455" spans="1:9" ht="19.5" customHeight="1" hidden="1">
      <c r="A1455" s="108" t="s">
        <v>876</v>
      </c>
      <c r="B1455" s="159"/>
      <c r="C1455" s="159" t="s">
        <v>614</v>
      </c>
      <c r="D1455" s="159" t="s">
        <v>614</v>
      </c>
      <c r="E1455" s="159" t="s">
        <v>129</v>
      </c>
      <c r="F1455" s="157" t="s">
        <v>877</v>
      </c>
      <c r="G1455" s="91"/>
      <c r="H1455" s="20"/>
      <c r="I1455" s="20"/>
    </row>
    <row r="1456" spans="1:9" ht="15" hidden="1">
      <c r="A1456" s="133" t="s">
        <v>886</v>
      </c>
      <c r="B1456" s="155"/>
      <c r="C1456" s="155" t="s">
        <v>614</v>
      </c>
      <c r="D1456" s="155" t="s">
        <v>614</v>
      </c>
      <c r="E1456" s="155" t="s">
        <v>617</v>
      </c>
      <c r="F1456" s="156"/>
      <c r="G1456" s="91">
        <f>SUM(G1457)</f>
        <v>0</v>
      </c>
      <c r="H1456" s="20" t="e">
        <f>SUM(#REF!)</f>
        <v>#REF!</v>
      </c>
      <c r="I1456" s="20" t="e">
        <f>SUM(H1456/G1460*100)</f>
        <v>#REF!</v>
      </c>
    </row>
    <row r="1457" spans="1:9" ht="42.75" hidden="1">
      <c r="A1457" s="133" t="s">
        <v>582</v>
      </c>
      <c r="B1457" s="155"/>
      <c r="C1457" s="155" t="s">
        <v>614</v>
      </c>
      <c r="D1457" s="155" t="s">
        <v>614</v>
      </c>
      <c r="E1457" s="155" t="s">
        <v>583</v>
      </c>
      <c r="F1457" s="156"/>
      <c r="G1457" s="91">
        <f>SUM(G1458)+G1459</f>
        <v>0</v>
      </c>
      <c r="H1457" s="20"/>
      <c r="I1457" s="20"/>
    </row>
    <row r="1458" spans="1:9" ht="22.5" customHeight="1" hidden="1">
      <c r="A1458" s="108" t="s">
        <v>932</v>
      </c>
      <c r="B1458" s="155"/>
      <c r="C1458" s="155" t="s">
        <v>614</v>
      </c>
      <c r="D1458" s="155" t="s">
        <v>614</v>
      </c>
      <c r="E1458" s="155" t="s">
        <v>583</v>
      </c>
      <c r="F1458" s="156" t="s">
        <v>933</v>
      </c>
      <c r="G1458" s="91"/>
      <c r="H1458" s="20"/>
      <c r="I1458" s="20"/>
    </row>
    <row r="1459" spans="1:9" ht="15" hidden="1">
      <c r="A1459" s="108" t="s">
        <v>666</v>
      </c>
      <c r="B1459" s="155"/>
      <c r="C1459" s="155" t="s">
        <v>614</v>
      </c>
      <c r="D1459" s="155" t="s">
        <v>614</v>
      </c>
      <c r="E1459" s="155" t="s">
        <v>583</v>
      </c>
      <c r="F1459" s="156" t="s">
        <v>566</v>
      </c>
      <c r="G1459" s="91"/>
      <c r="H1459" s="20">
        <f>SUM(H1460+H1508)</f>
        <v>86304.2</v>
      </c>
      <c r="I1459" s="20">
        <f>SUM(H1459/G1463*100)</f>
        <v>118.9089020268641</v>
      </c>
    </row>
    <row r="1460" spans="1:9" ht="15" hidden="1">
      <c r="A1460" s="108" t="s">
        <v>634</v>
      </c>
      <c r="B1460" s="188"/>
      <c r="C1460" s="159" t="s">
        <v>614</v>
      </c>
      <c r="D1460" s="159" t="s">
        <v>614</v>
      </c>
      <c r="E1460" s="159" t="s">
        <v>635</v>
      </c>
      <c r="F1460" s="158"/>
      <c r="G1460" s="91">
        <f>SUM(G1461)</f>
        <v>0</v>
      </c>
      <c r="H1460" s="20">
        <f>SUM(H1490+H1479+H1461+H1500)</f>
        <v>81670.4</v>
      </c>
      <c r="I1460" s="20">
        <f>SUM(H1460/G1464*100)</f>
        <v>140.88925230904053</v>
      </c>
    </row>
    <row r="1461" spans="1:9" ht="32.25" customHeight="1" hidden="1">
      <c r="A1461" s="109" t="s">
        <v>106</v>
      </c>
      <c r="B1461" s="188"/>
      <c r="C1461" s="159" t="s">
        <v>614</v>
      </c>
      <c r="D1461" s="159" t="s">
        <v>614</v>
      </c>
      <c r="E1461" s="159" t="s">
        <v>105</v>
      </c>
      <c r="F1461" s="158"/>
      <c r="G1461" s="91">
        <f>SUM(G1462)</f>
        <v>0</v>
      </c>
      <c r="H1461" s="20">
        <f>SUM(H1474)</f>
        <v>14679.5</v>
      </c>
      <c r="I1461" s="20">
        <f>SUM(H1461/G1465*100)</f>
        <v>50.09948567781657</v>
      </c>
    </row>
    <row r="1462" spans="1:9" ht="37.5" customHeight="1" hidden="1">
      <c r="A1462" s="108" t="s">
        <v>876</v>
      </c>
      <c r="B1462" s="188"/>
      <c r="C1462" s="159" t="s">
        <v>614</v>
      </c>
      <c r="D1462" s="159" t="s">
        <v>614</v>
      </c>
      <c r="E1462" s="159" t="s">
        <v>105</v>
      </c>
      <c r="F1462" s="158" t="s">
        <v>877</v>
      </c>
      <c r="G1462" s="91"/>
      <c r="H1462" s="20">
        <f>SUM(H1463)</f>
        <v>0</v>
      </c>
      <c r="I1462" s="20">
        <f>SUM(H1462/G1466*100)</f>
        <v>0</v>
      </c>
    </row>
    <row r="1463" spans="1:9" ht="15">
      <c r="A1463" s="106" t="s">
        <v>50</v>
      </c>
      <c r="B1463" s="155"/>
      <c r="C1463" s="159" t="s">
        <v>627</v>
      </c>
      <c r="D1463" s="159"/>
      <c r="E1463" s="159"/>
      <c r="F1463" s="157"/>
      <c r="G1463" s="91">
        <f>SUM(G1464+G1512)</f>
        <v>72580.1</v>
      </c>
      <c r="H1463" s="20"/>
      <c r="I1463" s="20"/>
    </row>
    <row r="1464" spans="1:9" ht="21" customHeight="1">
      <c r="A1464" s="106" t="s">
        <v>104</v>
      </c>
      <c r="B1464" s="155"/>
      <c r="C1464" s="159" t="s">
        <v>627</v>
      </c>
      <c r="D1464" s="159" t="s">
        <v>237</v>
      </c>
      <c r="E1464" s="159"/>
      <c r="F1464" s="157"/>
      <c r="G1464" s="91">
        <f>SUM(G1496+G1483+G1465+G1504+G1508)</f>
        <v>57967.8</v>
      </c>
      <c r="H1464" s="20">
        <f>SUM(H1466+H1512+H1510)</f>
        <v>61355.8</v>
      </c>
      <c r="I1464" s="20">
        <f>SUM(H1464/G1468*100)</f>
        <v>366.2551784243264</v>
      </c>
    </row>
    <row r="1465" spans="1:9" ht="24.75" customHeight="1">
      <c r="A1465" s="105" t="s">
        <v>629</v>
      </c>
      <c r="B1465" s="155"/>
      <c r="C1465" s="159" t="s">
        <v>627</v>
      </c>
      <c r="D1465" s="159" t="s">
        <v>237</v>
      </c>
      <c r="E1465" s="159" t="s">
        <v>643</v>
      </c>
      <c r="F1465" s="157"/>
      <c r="G1465" s="91">
        <f>SUM(G1468+G1478)+G1466</f>
        <v>29300.7</v>
      </c>
      <c r="H1465" s="20"/>
      <c r="I1465" s="20"/>
    </row>
    <row r="1466" spans="1:9" ht="40.5" customHeight="1">
      <c r="A1466" s="108" t="s">
        <v>121</v>
      </c>
      <c r="B1466" s="120"/>
      <c r="C1466" s="159" t="s">
        <v>627</v>
      </c>
      <c r="D1466" s="159" t="s">
        <v>237</v>
      </c>
      <c r="E1466" s="159" t="s">
        <v>563</v>
      </c>
      <c r="F1466" s="158"/>
      <c r="G1466" s="91">
        <f>SUM(G1467)</f>
        <v>389.5</v>
      </c>
      <c r="H1466" s="20">
        <v>56722</v>
      </c>
      <c r="I1466" s="20">
        <f>SUM(H1466/G1470*100)</f>
        <v>345.0621114233918</v>
      </c>
    </row>
    <row r="1467" spans="1:9" ht="23.25" customHeight="1">
      <c r="A1467" s="108" t="s">
        <v>483</v>
      </c>
      <c r="B1467" s="155"/>
      <c r="C1467" s="159" t="s">
        <v>627</v>
      </c>
      <c r="D1467" s="159" t="s">
        <v>237</v>
      </c>
      <c r="E1467" s="159" t="s">
        <v>563</v>
      </c>
      <c r="F1467" s="157" t="s">
        <v>933</v>
      </c>
      <c r="G1467" s="91">
        <v>389.5</v>
      </c>
      <c r="H1467" s="20"/>
      <c r="I1467" s="20"/>
    </row>
    <row r="1468" spans="1:9" ht="17.25" customHeight="1">
      <c r="A1468" s="106" t="s">
        <v>588</v>
      </c>
      <c r="B1468" s="174"/>
      <c r="C1468" s="159" t="s">
        <v>627</v>
      </c>
      <c r="D1468" s="159" t="s">
        <v>237</v>
      </c>
      <c r="E1468" s="159" t="s">
        <v>808</v>
      </c>
      <c r="F1468" s="157"/>
      <c r="G1468" s="91">
        <f>SUM(G1469+G1471)</f>
        <v>16752.2</v>
      </c>
      <c r="H1468" s="20"/>
      <c r="I1468" s="20"/>
    </row>
    <row r="1469" spans="1:9" ht="30.75" customHeight="1">
      <c r="A1469" s="106" t="s">
        <v>809</v>
      </c>
      <c r="B1469" s="174"/>
      <c r="C1469" s="159" t="s">
        <v>627</v>
      </c>
      <c r="D1469" s="159" t="s">
        <v>237</v>
      </c>
      <c r="E1469" s="159" t="s">
        <v>810</v>
      </c>
      <c r="F1469" s="157"/>
      <c r="G1469" s="91">
        <f>SUM(G1470)</f>
        <v>16438.2</v>
      </c>
      <c r="H1469" s="20"/>
      <c r="I1469" s="20"/>
    </row>
    <row r="1470" spans="1:9" ht="32.25" customHeight="1">
      <c r="A1470" s="108" t="s">
        <v>710</v>
      </c>
      <c r="B1470" s="120"/>
      <c r="C1470" s="159" t="s">
        <v>627</v>
      </c>
      <c r="D1470" s="159" t="s">
        <v>237</v>
      </c>
      <c r="E1470" s="159" t="s">
        <v>810</v>
      </c>
      <c r="F1470" s="158" t="s">
        <v>485</v>
      </c>
      <c r="G1470" s="91">
        <v>16438.2</v>
      </c>
      <c r="H1470" s="20"/>
      <c r="I1470" s="20"/>
    </row>
    <row r="1471" spans="1:9" ht="23.25" customHeight="1">
      <c r="A1471" s="106" t="s">
        <v>711</v>
      </c>
      <c r="B1471" s="155"/>
      <c r="C1471" s="159" t="s">
        <v>627</v>
      </c>
      <c r="D1471" s="159" t="s">
        <v>237</v>
      </c>
      <c r="E1471" s="155" t="s">
        <v>160</v>
      </c>
      <c r="F1471" s="158"/>
      <c r="G1471" s="91">
        <f>SUM(G1474+G1476)+G1472</f>
        <v>314</v>
      </c>
      <c r="H1471" s="20"/>
      <c r="I1471" s="20"/>
    </row>
    <row r="1472" spans="1:9" ht="32.25" customHeight="1">
      <c r="A1472" s="106" t="s">
        <v>240</v>
      </c>
      <c r="B1472" s="155"/>
      <c r="C1472" s="159" t="s">
        <v>627</v>
      </c>
      <c r="D1472" s="159" t="s">
        <v>237</v>
      </c>
      <c r="E1472" s="155" t="s">
        <v>161</v>
      </c>
      <c r="F1472" s="158"/>
      <c r="G1472" s="91">
        <f>SUM(G1473)</f>
        <v>200</v>
      </c>
      <c r="H1472" s="20"/>
      <c r="I1472" s="20"/>
    </row>
    <row r="1473" spans="1:9" ht="22.5" customHeight="1">
      <c r="A1473" s="106" t="s">
        <v>711</v>
      </c>
      <c r="B1473" s="155"/>
      <c r="C1473" s="159" t="s">
        <v>627</v>
      </c>
      <c r="D1473" s="159" t="s">
        <v>237</v>
      </c>
      <c r="E1473" s="155" t="s">
        <v>161</v>
      </c>
      <c r="F1473" s="158" t="s">
        <v>566</v>
      </c>
      <c r="G1473" s="91">
        <v>200</v>
      </c>
      <c r="H1473" s="20"/>
      <c r="I1473" s="20"/>
    </row>
    <row r="1474" spans="1:9" ht="28.5">
      <c r="A1474" s="108" t="s">
        <v>159</v>
      </c>
      <c r="B1474" s="120"/>
      <c r="C1474" s="159" t="s">
        <v>627</v>
      </c>
      <c r="D1474" s="159" t="s">
        <v>237</v>
      </c>
      <c r="E1474" s="159" t="s">
        <v>158</v>
      </c>
      <c r="F1474" s="158"/>
      <c r="G1474" s="91">
        <f>SUM(G1475)</f>
        <v>30</v>
      </c>
      <c r="H1474" s="20">
        <f>SUM(H1475:H1477)</f>
        <v>14679.5</v>
      </c>
      <c r="I1474" s="20">
        <f aca="true" t="shared" si="43" ref="I1474:I1480">SUM(H1474/G1478*100)</f>
        <v>120.72950078131426</v>
      </c>
    </row>
    <row r="1475" spans="1:9" ht="18.75" customHeight="1">
      <c r="A1475" s="108" t="s">
        <v>666</v>
      </c>
      <c r="B1475" s="120"/>
      <c r="C1475" s="159" t="s">
        <v>627</v>
      </c>
      <c r="D1475" s="159" t="s">
        <v>237</v>
      </c>
      <c r="E1475" s="159" t="s">
        <v>158</v>
      </c>
      <c r="F1475" s="158" t="s">
        <v>566</v>
      </c>
      <c r="G1475" s="91">
        <v>30</v>
      </c>
      <c r="H1475" s="20">
        <v>14679.5</v>
      </c>
      <c r="I1475" s="20">
        <f t="shared" si="43"/>
        <v>120.72950078131426</v>
      </c>
    </row>
    <row r="1476" spans="1:9" ht="19.5" customHeight="1">
      <c r="A1476" s="108" t="s">
        <v>705</v>
      </c>
      <c r="B1476" s="120"/>
      <c r="C1476" s="159" t="s">
        <v>627</v>
      </c>
      <c r="D1476" s="159" t="s">
        <v>237</v>
      </c>
      <c r="E1476" s="159" t="s">
        <v>839</v>
      </c>
      <c r="F1476" s="158"/>
      <c r="G1476" s="91">
        <f>SUM(G1477)</f>
        <v>84</v>
      </c>
      <c r="H1476" s="20"/>
      <c r="I1476" s="20" t="e">
        <f t="shared" si="43"/>
        <v>#DIV/0!</v>
      </c>
    </row>
    <row r="1477" spans="1:9" ht="19.5" customHeight="1">
      <c r="A1477" s="108" t="s">
        <v>666</v>
      </c>
      <c r="B1477" s="120"/>
      <c r="C1477" s="159" t="s">
        <v>627</v>
      </c>
      <c r="D1477" s="159" t="s">
        <v>237</v>
      </c>
      <c r="E1477" s="159" t="s">
        <v>839</v>
      </c>
      <c r="F1477" s="158" t="s">
        <v>566</v>
      </c>
      <c r="G1477" s="91">
        <v>84</v>
      </c>
      <c r="H1477" s="20">
        <f>SUM(H1478)</f>
        <v>0</v>
      </c>
      <c r="I1477" s="20" t="e">
        <f t="shared" si="43"/>
        <v>#DIV/0!</v>
      </c>
    </row>
    <row r="1478" spans="1:9" ht="27" customHeight="1">
      <c r="A1478" s="106" t="s">
        <v>482</v>
      </c>
      <c r="B1478" s="159"/>
      <c r="C1478" s="159" t="s">
        <v>627</v>
      </c>
      <c r="D1478" s="159" t="s">
        <v>237</v>
      </c>
      <c r="E1478" s="159" t="s">
        <v>644</v>
      </c>
      <c r="F1478" s="157"/>
      <c r="G1478" s="91">
        <f>SUM(G1479:G1481)</f>
        <v>12159</v>
      </c>
      <c r="H1478" s="20"/>
      <c r="I1478" s="20" t="e">
        <f t="shared" si="43"/>
        <v>#DIV/0!</v>
      </c>
    </row>
    <row r="1479" spans="1:9" ht="17.25" customHeight="1">
      <c r="A1479" s="108" t="s">
        <v>483</v>
      </c>
      <c r="B1479" s="159"/>
      <c r="C1479" s="159" t="s">
        <v>627</v>
      </c>
      <c r="D1479" s="159" t="s">
        <v>237</v>
      </c>
      <c r="E1479" s="159" t="s">
        <v>644</v>
      </c>
      <c r="F1479" s="157" t="s">
        <v>933</v>
      </c>
      <c r="G1479" s="91">
        <v>12159</v>
      </c>
      <c r="H1479" s="20">
        <f>SUM(H1480)</f>
        <v>56722</v>
      </c>
      <c r="I1479" s="20">
        <f t="shared" si="43"/>
        <v>1377.7507894097644</v>
      </c>
    </row>
    <row r="1480" spans="1:9" ht="21.75" customHeight="1" hidden="1">
      <c r="A1480" s="108" t="s">
        <v>107</v>
      </c>
      <c r="B1480" s="120"/>
      <c r="C1480" s="159" t="s">
        <v>627</v>
      </c>
      <c r="D1480" s="159" t="s">
        <v>237</v>
      </c>
      <c r="E1480" s="159" t="s">
        <v>644</v>
      </c>
      <c r="F1480" s="158" t="s">
        <v>108</v>
      </c>
      <c r="G1480" s="91"/>
      <c r="H1480" s="20">
        <f>SUM(H1482+H1523+H1521)</f>
        <v>56722</v>
      </c>
      <c r="I1480" s="20">
        <f t="shared" si="43"/>
        <v>1377.7507894097644</v>
      </c>
    </row>
    <row r="1481" spans="1:9" ht="34.5" customHeight="1" hidden="1">
      <c r="A1481" s="106" t="s">
        <v>418</v>
      </c>
      <c r="B1481" s="155"/>
      <c r="C1481" s="159" t="s">
        <v>627</v>
      </c>
      <c r="D1481" s="159" t="s">
        <v>237</v>
      </c>
      <c r="E1481" s="159" t="s">
        <v>109</v>
      </c>
      <c r="F1481" s="158"/>
      <c r="G1481" s="91">
        <f>SUM(G1482)</f>
        <v>0</v>
      </c>
      <c r="H1481" s="20"/>
      <c r="I1481" s="20"/>
    </row>
    <row r="1482" spans="1:9" ht="48" customHeight="1" hidden="1">
      <c r="A1482" s="108" t="s">
        <v>932</v>
      </c>
      <c r="B1482" s="120"/>
      <c r="C1482" s="159" t="s">
        <v>627</v>
      </c>
      <c r="D1482" s="159" t="s">
        <v>237</v>
      </c>
      <c r="E1482" s="159" t="s">
        <v>109</v>
      </c>
      <c r="F1482" s="158" t="s">
        <v>933</v>
      </c>
      <c r="G1482" s="91"/>
      <c r="H1482" s="20">
        <v>56722</v>
      </c>
      <c r="I1482" s="20">
        <f>SUM(H1482/G1486*100)</f>
        <v>1671.2433706540955</v>
      </c>
    </row>
    <row r="1483" spans="1:9" ht="19.5" customHeight="1">
      <c r="A1483" s="106" t="s">
        <v>110</v>
      </c>
      <c r="B1483" s="155"/>
      <c r="C1483" s="159" t="s">
        <v>627</v>
      </c>
      <c r="D1483" s="159" t="s">
        <v>237</v>
      </c>
      <c r="E1483" s="159" t="s">
        <v>111</v>
      </c>
      <c r="F1483" s="157"/>
      <c r="G1483" s="91">
        <f>SUM(G1484)</f>
        <v>4117</v>
      </c>
      <c r="H1483" s="20">
        <f>SUM(H1484)</f>
        <v>0</v>
      </c>
      <c r="I1483" s="20" t="e">
        <f>SUM(H1483/G1487*100)</f>
        <v>#DIV/0!</v>
      </c>
    </row>
    <row r="1484" spans="1:9" ht="17.25" customHeight="1">
      <c r="A1484" s="106" t="s">
        <v>588</v>
      </c>
      <c r="B1484" s="174"/>
      <c r="C1484" s="159" t="s">
        <v>627</v>
      </c>
      <c r="D1484" s="159" t="s">
        <v>237</v>
      </c>
      <c r="E1484" s="159" t="s">
        <v>564</v>
      </c>
      <c r="F1484" s="157"/>
      <c r="G1484" s="91">
        <f>SUM(G1485)+G1489</f>
        <v>4117</v>
      </c>
      <c r="H1484" s="20"/>
      <c r="I1484" s="20" t="e">
        <f>SUM(H1484/G1488*100)</f>
        <v>#DIV/0!</v>
      </c>
    </row>
    <row r="1485" spans="1:9" ht="17.25" customHeight="1">
      <c r="A1485" s="106" t="s">
        <v>809</v>
      </c>
      <c r="B1485" s="174"/>
      <c r="C1485" s="159" t="s">
        <v>627</v>
      </c>
      <c r="D1485" s="159" t="s">
        <v>237</v>
      </c>
      <c r="E1485" s="159" t="s">
        <v>565</v>
      </c>
      <c r="F1485" s="157"/>
      <c r="G1485" s="91">
        <f>SUM(G1486)</f>
        <v>3394</v>
      </c>
      <c r="H1485" s="20"/>
      <c r="I1485" s="20"/>
    </row>
    <row r="1486" spans="1:9" ht="28.5" customHeight="1">
      <c r="A1486" s="108" t="s">
        <v>710</v>
      </c>
      <c r="B1486" s="120"/>
      <c r="C1486" s="159" t="s">
        <v>627</v>
      </c>
      <c r="D1486" s="159" t="s">
        <v>237</v>
      </c>
      <c r="E1486" s="159" t="s">
        <v>565</v>
      </c>
      <c r="F1486" s="158" t="s">
        <v>485</v>
      </c>
      <c r="G1486" s="91">
        <v>3394</v>
      </c>
      <c r="H1486" s="20"/>
      <c r="I1486" s="20"/>
    </row>
    <row r="1487" spans="1:9" ht="16.5" customHeight="1" hidden="1">
      <c r="A1487" s="106" t="s">
        <v>418</v>
      </c>
      <c r="B1487" s="155"/>
      <c r="C1487" s="159" t="s">
        <v>627</v>
      </c>
      <c r="D1487" s="159" t="s">
        <v>237</v>
      </c>
      <c r="E1487" s="159" t="s">
        <v>113</v>
      </c>
      <c r="F1487" s="158"/>
      <c r="G1487" s="91">
        <f>SUM(G1488)</f>
        <v>0</v>
      </c>
      <c r="H1487" s="20"/>
      <c r="I1487" s="20"/>
    </row>
    <row r="1488" spans="1:9" ht="0.75" customHeight="1" hidden="1">
      <c r="A1488" s="108" t="s">
        <v>932</v>
      </c>
      <c r="B1488" s="120"/>
      <c r="C1488" s="159" t="s">
        <v>627</v>
      </c>
      <c r="D1488" s="159" t="s">
        <v>237</v>
      </c>
      <c r="E1488" s="159" t="s">
        <v>113</v>
      </c>
      <c r="F1488" s="158" t="s">
        <v>933</v>
      </c>
      <c r="G1488" s="91"/>
      <c r="H1488" s="20"/>
      <c r="I1488" s="20"/>
    </row>
    <row r="1489" spans="1:9" ht="23.25" customHeight="1">
      <c r="A1489" s="106" t="s">
        <v>711</v>
      </c>
      <c r="B1489" s="120"/>
      <c r="C1489" s="159" t="s">
        <v>627</v>
      </c>
      <c r="D1489" s="159" t="s">
        <v>237</v>
      </c>
      <c r="E1489" s="159" t="s">
        <v>841</v>
      </c>
      <c r="F1489" s="158"/>
      <c r="G1489" s="91">
        <f>SUM(G1492+G1490)+G1494</f>
        <v>723</v>
      </c>
      <c r="H1489" s="20"/>
      <c r="I1489" s="20"/>
    </row>
    <row r="1490" spans="1:9" ht="28.5">
      <c r="A1490" s="106" t="s">
        <v>240</v>
      </c>
      <c r="B1490" s="120"/>
      <c r="C1490" s="159" t="s">
        <v>627</v>
      </c>
      <c r="D1490" s="159" t="s">
        <v>237</v>
      </c>
      <c r="E1490" s="159" t="s">
        <v>242</v>
      </c>
      <c r="F1490" s="158"/>
      <c r="G1490" s="91">
        <f>SUM(G1491)</f>
        <v>710</v>
      </c>
      <c r="H1490" s="20">
        <f>SUM(H1491)</f>
        <v>10268.9</v>
      </c>
      <c r="I1490" s="20">
        <f>SUM(H1490/G1496*100)</f>
        <v>41.828342858073896</v>
      </c>
    </row>
    <row r="1491" spans="1:9" ht="14.25" customHeight="1">
      <c r="A1491" s="106" t="s">
        <v>711</v>
      </c>
      <c r="B1491" s="120"/>
      <c r="C1491" s="159" t="s">
        <v>627</v>
      </c>
      <c r="D1491" s="159" t="s">
        <v>237</v>
      </c>
      <c r="E1491" s="159" t="s">
        <v>242</v>
      </c>
      <c r="F1491" s="158" t="s">
        <v>566</v>
      </c>
      <c r="G1491" s="91">
        <v>710</v>
      </c>
      <c r="H1491" s="20">
        <f>SUM(H1492+H1497+H1499)</f>
        <v>10268.9</v>
      </c>
      <c r="I1491" s="20">
        <f>SUM(H1491/G1497*100)</f>
        <v>41.828342858073896</v>
      </c>
    </row>
    <row r="1492" spans="1:9" ht="39" customHeight="1" hidden="1">
      <c r="A1492" s="108" t="s">
        <v>159</v>
      </c>
      <c r="B1492" s="120"/>
      <c r="C1492" s="159" t="s">
        <v>627</v>
      </c>
      <c r="D1492" s="159" t="s">
        <v>237</v>
      </c>
      <c r="E1492" s="159" t="s">
        <v>683</v>
      </c>
      <c r="F1492" s="158"/>
      <c r="G1492" s="91">
        <f>SUM(G1493)</f>
        <v>0</v>
      </c>
      <c r="H1492" s="20">
        <v>8963.8</v>
      </c>
      <c r="I1492" s="20">
        <f>SUM(H1492/G1498*100)</f>
        <v>40.12066905080543</v>
      </c>
    </row>
    <row r="1493" spans="1:9" ht="19.5" customHeight="1" hidden="1">
      <c r="A1493" s="108" t="s">
        <v>666</v>
      </c>
      <c r="B1493" s="120"/>
      <c r="C1493" s="159" t="s">
        <v>627</v>
      </c>
      <c r="D1493" s="159" t="s">
        <v>237</v>
      </c>
      <c r="E1493" s="159" t="s">
        <v>683</v>
      </c>
      <c r="F1493" s="158" t="s">
        <v>566</v>
      </c>
      <c r="G1493" s="91"/>
      <c r="H1493" s="20"/>
      <c r="I1493" s="20" t="e">
        <f>SUM(H1493/G1499*100)</f>
        <v>#DIV/0!</v>
      </c>
    </row>
    <row r="1494" spans="1:9" ht="19.5" customHeight="1">
      <c r="A1494" s="108" t="s">
        <v>705</v>
      </c>
      <c r="B1494" s="120"/>
      <c r="C1494" s="159" t="s">
        <v>627</v>
      </c>
      <c r="D1494" s="159" t="s">
        <v>237</v>
      </c>
      <c r="E1494" s="159" t="s">
        <v>322</v>
      </c>
      <c r="F1494" s="158"/>
      <c r="G1494" s="91">
        <f>SUM(G1495)</f>
        <v>13</v>
      </c>
      <c r="H1494" s="20"/>
      <c r="I1494" s="20"/>
    </row>
    <row r="1495" spans="1:9" ht="19.5" customHeight="1">
      <c r="A1495" s="108" t="s">
        <v>666</v>
      </c>
      <c r="B1495" s="120"/>
      <c r="C1495" s="159" t="s">
        <v>627</v>
      </c>
      <c r="D1495" s="159" t="s">
        <v>237</v>
      </c>
      <c r="E1495" s="159" t="s">
        <v>322</v>
      </c>
      <c r="F1495" s="158" t="s">
        <v>566</v>
      </c>
      <c r="G1495" s="91">
        <v>13</v>
      </c>
      <c r="H1495" s="20"/>
      <c r="I1495" s="20"/>
    </row>
    <row r="1496" spans="1:9" ht="19.5" customHeight="1">
      <c r="A1496" s="106" t="s">
        <v>114</v>
      </c>
      <c r="B1496" s="155"/>
      <c r="C1496" s="159" t="s">
        <v>627</v>
      </c>
      <c r="D1496" s="159" t="s">
        <v>237</v>
      </c>
      <c r="E1496" s="159" t="s">
        <v>115</v>
      </c>
      <c r="F1496" s="157"/>
      <c r="G1496" s="91">
        <f>SUM(G1497)</f>
        <v>24550.1</v>
      </c>
      <c r="H1496" s="20">
        <f>SUM(H1497)</f>
        <v>0</v>
      </c>
      <c r="I1496" s="20" t="e">
        <f aca="true" t="shared" si="44" ref="I1496:I1505">SUM(H1496/G1500*100)</f>
        <v>#DIV/0!</v>
      </c>
    </row>
    <row r="1497" spans="1:9" ht="28.5">
      <c r="A1497" s="106" t="s">
        <v>482</v>
      </c>
      <c r="B1497" s="174"/>
      <c r="C1497" s="159" t="s">
        <v>627</v>
      </c>
      <c r="D1497" s="159" t="s">
        <v>237</v>
      </c>
      <c r="E1497" s="159" t="s">
        <v>116</v>
      </c>
      <c r="F1497" s="157"/>
      <c r="G1497" s="91">
        <f>SUM(G1498+G1501+G1503)</f>
        <v>24550.1</v>
      </c>
      <c r="H1497" s="20"/>
      <c r="I1497" s="20" t="e">
        <f t="shared" si="44"/>
        <v>#DIV/0!</v>
      </c>
    </row>
    <row r="1498" spans="1:9" ht="18" customHeight="1">
      <c r="A1498" s="108" t="s">
        <v>483</v>
      </c>
      <c r="B1498" s="120"/>
      <c r="C1498" s="159" t="s">
        <v>627</v>
      </c>
      <c r="D1498" s="159" t="s">
        <v>237</v>
      </c>
      <c r="E1498" s="159" t="s">
        <v>116</v>
      </c>
      <c r="F1498" s="158" t="s">
        <v>933</v>
      </c>
      <c r="G1498" s="91">
        <v>22342.1</v>
      </c>
      <c r="H1498" s="20">
        <f>SUM(H1499)</f>
        <v>1305.1</v>
      </c>
      <c r="I1498" s="20">
        <f t="shared" si="44"/>
        <v>59.107789855072454</v>
      </c>
    </row>
    <row r="1499" spans="1:9" ht="15" customHeight="1" hidden="1">
      <c r="A1499" s="108" t="s">
        <v>107</v>
      </c>
      <c r="B1499" s="120"/>
      <c r="C1499" s="159" t="s">
        <v>627</v>
      </c>
      <c r="D1499" s="159" t="s">
        <v>237</v>
      </c>
      <c r="E1499" s="159" t="s">
        <v>116</v>
      </c>
      <c r="F1499" s="158" t="s">
        <v>108</v>
      </c>
      <c r="G1499" s="91"/>
      <c r="H1499" s="20">
        <v>1305.1</v>
      </c>
      <c r="I1499" s="20">
        <f t="shared" si="44"/>
        <v>59.107789855072454</v>
      </c>
    </row>
    <row r="1500" spans="1:9" ht="19.5" customHeight="1" hidden="1">
      <c r="A1500" s="106" t="s">
        <v>418</v>
      </c>
      <c r="B1500" s="155"/>
      <c r="C1500" s="159" t="s">
        <v>627</v>
      </c>
      <c r="D1500" s="159" t="s">
        <v>237</v>
      </c>
      <c r="E1500" s="159" t="s">
        <v>117</v>
      </c>
      <c r="F1500" s="158"/>
      <c r="G1500" s="91">
        <f>SUM(G1501)</f>
        <v>0</v>
      </c>
      <c r="H1500" s="20">
        <f>SUM(H1503+H1501)</f>
        <v>0</v>
      </c>
      <c r="I1500" s="20" t="e">
        <f t="shared" si="44"/>
        <v>#DIV/0!</v>
      </c>
    </row>
    <row r="1501" spans="1:9" ht="15" hidden="1">
      <c r="A1501" s="108" t="s">
        <v>932</v>
      </c>
      <c r="B1501" s="120"/>
      <c r="C1501" s="159" t="s">
        <v>627</v>
      </c>
      <c r="D1501" s="159" t="s">
        <v>237</v>
      </c>
      <c r="E1501" s="159" t="s">
        <v>117</v>
      </c>
      <c r="F1501" s="158" t="s">
        <v>933</v>
      </c>
      <c r="G1501" s="91"/>
      <c r="H1501" s="20"/>
      <c r="I1501" s="20" t="e">
        <f t="shared" si="44"/>
        <v>#DIV/0!</v>
      </c>
    </row>
    <row r="1502" spans="1:9" ht="46.5" customHeight="1">
      <c r="A1502" s="108" t="s">
        <v>494</v>
      </c>
      <c r="B1502" s="120"/>
      <c r="C1502" s="159" t="s">
        <v>627</v>
      </c>
      <c r="D1502" s="159" t="s">
        <v>237</v>
      </c>
      <c r="E1502" s="159" t="s">
        <v>118</v>
      </c>
      <c r="F1502" s="158"/>
      <c r="G1502" s="91">
        <f>SUM(G1503)</f>
        <v>2208</v>
      </c>
      <c r="H1502" s="20">
        <f>SUM(H1503)</f>
        <v>0</v>
      </c>
      <c r="I1502" s="20" t="e">
        <f t="shared" si="44"/>
        <v>#DIV/0!</v>
      </c>
    </row>
    <row r="1503" spans="1:9" ht="15">
      <c r="A1503" s="108" t="s">
        <v>483</v>
      </c>
      <c r="B1503" s="120"/>
      <c r="C1503" s="159" t="s">
        <v>627</v>
      </c>
      <c r="D1503" s="159" t="s">
        <v>237</v>
      </c>
      <c r="E1503" s="159" t="s">
        <v>118</v>
      </c>
      <c r="F1503" s="158" t="s">
        <v>933</v>
      </c>
      <c r="G1503" s="91">
        <v>2208</v>
      </c>
      <c r="H1503" s="20"/>
      <c r="I1503" s="20" t="e">
        <f t="shared" si="44"/>
        <v>#DIV/0!</v>
      </c>
    </row>
    <row r="1504" spans="1:9" ht="18" customHeight="1" hidden="1">
      <c r="A1504" s="108" t="s">
        <v>119</v>
      </c>
      <c r="B1504" s="120"/>
      <c r="C1504" s="159" t="s">
        <v>627</v>
      </c>
      <c r="D1504" s="159" t="s">
        <v>237</v>
      </c>
      <c r="E1504" s="159" t="s">
        <v>120</v>
      </c>
      <c r="F1504" s="158"/>
      <c r="G1504" s="91">
        <f>SUM(G1507+G1505)</f>
        <v>0</v>
      </c>
      <c r="H1504" s="20">
        <f>SUM(H1505)</f>
        <v>7333.8</v>
      </c>
      <c r="I1504" s="20" t="e">
        <f t="shared" si="44"/>
        <v>#DIV/0!</v>
      </c>
    </row>
    <row r="1505" spans="1:9" ht="45" customHeight="1" hidden="1">
      <c r="A1505" s="108" t="s">
        <v>932</v>
      </c>
      <c r="B1505" s="120"/>
      <c r="C1505" s="159" t="s">
        <v>627</v>
      </c>
      <c r="D1505" s="159" t="s">
        <v>237</v>
      </c>
      <c r="E1505" s="159" t="s">
        <v>120</v>
      </c>
      <c r="F1505" s="158" t="s">
        <v>933</v>
      </c>
      <c r="G1505" s="91"/>
      <c r="H1505" s="20">
        <f>SUM(H1507:H1511)</f>
        <v>7333.8</v>
      </c>
      <c r="I1505" s="20" t="e">
        <f t="shared" si="44"/>
        <v>#DIV/0!</v>
      </c>
    </row>
    <row r="1506" spans="1:9" ht="21" customHeight="1" hidden="1">
      <c r="A1506" s="108" t="s">
        <v>121</v>
      </c>
      <c r="B1506" s="120"/>
      <c r="C1506" s="159" t="s">
        <v>627</v>
      </c>
      <c r="D1506" s="159" t="s">
        <v>237</v>
      </c>
      <c r="E1506" s="159" t="s">
        <v>122</v>
      </c>
      <c r="F1506" s="158"/>
      <c r="G1506" s="91">
        <f>SUM(G1507)</f>
        <v>0</v>
      </c>
      <c r="H1506" s="20"/>
      <c r="I1506" s="20"/>
    </row>
    <row r="1507" spans="1:9" ht="20.25" customHeight="1" hidden="1">
      <c r="A1507" s="108" t="s">
        <v>932</v>
      </c>
      <c r="B1507" s="120"/>
      <c r="C1507" s="159" t="s">
        <v>627</v>
      </c>
      <c r="D1507" s="159" t="s">
        <v>237</v>
      </c>
      <c r="E1507" s="159" t="s">
        <v>122</v>
      </c>
      <c r="F1507" s="158" t="s">
        <v>933</v>
      </c>
      <c r="G1507" s="91"/>
      <c r="H1507" s="20"/>
      <c r="I1507" s="20" t="e">
        <f aca="true" t="shared" si="45" ref="I1507:I1515">SUM(H1507/G1511*100)</f>
        <v>#DIV/0!</v>
      </c>
    </row>
    <row r="1508" spans="1:9" ht="18.75" customHeight="1" hidden="1">
      <c r="A1508" s="108" t="s">
        <v>634</v>
      </c>
      <c r="B1508" s="189"/>
      <c r="C1508" s="171" t="s">
        <v>627</v>
      </c>
      <c r="D1508" s="171" t="s">
        <v>237</v>
      </c>
      <c r="E1508" s="171" t="s">
        <v>635</v>
      </c>
      <c r="F1508" s="161"/>
      <c r="G1508" s="91">
        <f>SUM(G1509)</f>
        <v>0</v>
      </c>
      <c r="H1508" s="20">
        <f>SUM(H1512+H1515+H1510)</f>
        <v>4633.8</v>
      </c>
      <c r="I1508" s="20">
        <f t="shared" si="45"/>
        <v>31.711640193535583</v>
      </c>
    </row>
    <row r="1509" spans="1:9" ht="42.75" hidden="1">
      <c r="A1509" s="128" t="s">
        <v>821</v>
      </c>
      <c r="B1509" s="189"/>
      <c r="C1509" s="171" t="s">
        <v>627</v>
      </c>
      <c r="D1509" s="171" t="s">
        <v>237</v>
      </c>
      <c r="E1509" s="171" t="s">
        <v>1037</v>
      </c>
      <c r="F1509" s="161"/>
      <c r="G1509" s="91">
        <f>SUM(G1510:G1511)</f>
        <v>0</v>
      </c>
      <c r="H1509" s="20">
        <f>SUM(H1510)</f>
        <v>900</v>
      </c>
      <c r="I1509" s="20" t="e">
        <f t="shared" si="45"/>
        <v>#DIV/0!</v>
      </c>
    </row>
    <row r="1510" spans="1:9" ht="15" hidden="1">
      <c r="A1510" s="108" t="s">
        <v>483</v>
      </c>
      <c r="B1510" s="189"/>
      <c r="C1510" s="171" t="s">
        <v>627</v>
      </c>
      <c r="D1510" s="171" t="s">
        <v>237</v>
      </c>
      <c r="E1510" s="171" t="s">
        <v>1037</v>
      </c>
      <c r="F1510" s="161" t="s">
        <v>933</v>
      </c>
      <c r="G1510" s="91"/>
      <c r="H1510" s="20">
        <f>SUM(H1511)</f>
        <v>900</v>
      </c>
      <c r="I1510" s="20" t="e">
        <f t="shared" si="45"/>
        <v>#DIV/0!</v>
      </c>
    </row>
    <row r="1511" spans="1:9" ht="15" hidden="1">
      <c r="A1511" s="108" t="s">
        <v>666</v>
      </c>
      <c r="B1511" s="189"/>
      <c r="C1511" s="171" t="s">
        <v>627</v>
      </c>
      <c r="D1511" s="171" t="s">
        <v>237</v>
      </c>
      <c r="E1511" s="171" t="s">
        <v>1037</v>
      </c>
      <c r="F1511" s="161" t="s">
        <v>566</v>
      </c>
      <c r="G1511" s="91"/>
      <c r="H1511" s="20">
        <v>900</v>
      </c>
      <c r="I1511" s="20" t="e">
        <f t="shared" si="45"/>
        <v>#DIV/0!</v>
      </c>
    </row>
    <row r="1512" spans="1:9" ht="24.75" customHeight="1">
      <c r="A1512" s="133" t="s">
        <v>896</v>
      </c>
      <c r="B1512" s="189"/>
      <c r="C1512" s="171" t="s">
        <v>627</v>
      </c>
      <c r="D1512" s="171" t="s">
        <v>625</v>
      </c>
      <c r="E1512" s="171"/>
      <c r="F1512" s="161"/>
      <c r="G1512" s="91">
        <f>SUM(G1516+G1519+G1514)</f>
        <v>14612.3</v>
      </c>
      <c r="H1512" s="20">
        <f>SUM(H1513)</f>
        <v>3733.8</v>
      </c>
      <c r="I1512" s="20">
        <f t="shared" si="45"/>
        <v>52.49778552648229</v>
      </c>
    </row>
    <row r="1513" spans="1:9" ht="15" hidden="1">
      <c r="A1513" s="106" t="s">
        <v>148</v>
      </c>
      <c r="B1513" s="189"/>
      <c r="C1513" s="159" t="s">
        <v>627</v>
      </c>
      <c r="D1513" s="171" t="s">
        <v>625</v>
      </c>
      <c r="E1513" s="159" t="s">
        <v>150</v>
      </c>
      <c r="F1513" s="161"/>
      <c r="G1513" s="91">
        <f>SUM(G1514)</f>
        <v>0</v>
      </c>
      <c r="H1513" s="20">
        <f>SUM(H1514)</f>
        <v>3733.8</v>
      </c>
      <c r="I1513" s="20">
        <f t="shared" si="45"/>
        <v>52.49778552648229</v>
      </c>
    </row>
    <row r="1514" spans="1:9" ht="15" hidden="1">
      <c r="A1514" s="106" t="s">
        <v>128</v>
      </c>
      <c r="B1514" s="189"/>
      <c r="C1514" s="159" t="s">
        <v>627</v>
      </c>
      <c r="D1514" s="171" t="s">
        <v>625</v>
      </c>
      <c r="E1514" s="159" t="s">
        <v>129</v>
      </c>
      <c r="F1514" s="161"/>
      <c r="G1514" s="91">
        <f>SUM(G1515)</f>
        <v>0</v>
      </c>
      <c r="H1514" s="20">
        <v>3733.8</v>
      </c>
      <c r="I1514" s="20">
        <f t="shared" si="45"/>
        <v>52.49778552648229</v>
      </c>
    </row>
    <row r="1515" spans="1:9" ht="15" customHeight="1" hidden="1">
      <c r="A1515" s="106" t="s">
        <v>20</v>
      </c>
      <c r="B1515" s="189"/>
      <c r="C1515" s="159" t="s">
        <v>627</v>
      </c>
      <c r="D1515" s="171" t="s">
        <v>625</v>
      </c>
      <c r="E1515" s="159" t="s">
        <v>129</v>
      </c>
      <c r="F1515" s="161" t="s">
        <v>21</v>
      </c>
      <c r="G1515" s="91"/>
      <c r="H1515" s="20">
        <f>SUM(H1518)</f>
        <v>0</v>
      </c>
      <c r="I1515" s="20">
        <f t="shared" si="45"/>
        <v>0</v>
      </c>
    </row>
    <row r="1516" spans="1:9" ht="42.75">
      <c r="A1516" s="133" t="s">
        <v>1000</v>
      </c>
      <c r="B1516" s="174"/>
      <c r="C1516" s="159" t="s">
        <v>627</v>
      </c>
      <c r="D1516" s="171" t="s">
        <v>625</v>
      </c>
      <c r="E1516" s="159" t="s">
        <v>1001</v>
      </c>
      <c r="F1516" s="157"/>
      <c r="G1516" s="91">
        <f>SUM(G1517)</f>
        <v>7112.3</v>
      </c>
      <c r="H1516" s="20"/>
      <c r="I1516" s="20"/>
    </row>
    <row r="1517" spans="1:9" ht="28.5">
      <c r="A1517" s="106" t="s">
        <v>482</v>
      </c>
      <c r="B1517" s="174"/>
      <c r="C1517" s="159" t="s">
        <v>627</v>
      </c>
      <c r="D1517" s="171" t="s">
        <v>625</v>
      </c>
      <c r="E1517" s="159" t="s">
        <v>1002</v>
      </c>
      <c r="F1517" s="157"/>
      <c r="G1517" s="91">
        <f>SUM(G1518)</f>
        <v>7112.3</v>
      </c>
      <c r="H1517" s="20"/>
      <c r="I1517" s="20"/>
    </row>
    <row r="1518" spans="1:9" ht="17.25" customHeight="1">
      <c r="A1518" s="108" t="s">
        <v>483</v>
      </c>
      <c r="B1518" s="120"/>
      <c r="C1518" s="159" t="s">
        <v>627</v>
      </c>
      <c r="D1518" s="171" t="s">
        <v>625</v>
      </c>
      <c r="E1518" s="159" t="s">
        <v>1002</v>
      </c>
      <c r="F1518" s="158" t="s">
        <v>933</v>
      </c>
      <c r="G1518" s="91">
        <v>7112.3</v>
      </c>
      <c r="H1518" s="20">
        <f>SUM(H1519:H1523)</f>
        <v>0</v>
      </c>
      <c r="I1518" s="20">
        <f>SUM(H1518/G1522*100)</f>
        <v>0</v>
      </c>
    </row>
    <row r="1519" spans="1:9" ht="18.75" customHeight="1">
      <c r="A1519" s="108" t="s">
        <v>634</v>
      </c>
      <c r="B1519" s="189"/>
      <c r="C1519" s="171" t="s">
        <v>627</v>
      </c>
      <c r="D1519" s="171" t="s">
        <v>625</v>
      </c>
      <c r="E1519" s="171" t="s">
        <v>635</v>
      </c>
      <c r="F1519" s="161"/>
      <c r="G1519" s="91">
        <f>SUM(G1522)+G1525+G1520</f>
        <v>7500</v>
      </c>
      <c r="H1519" s="20"/>
      <c r="I1519" s="20">
        <f>SUM(H1519/G1523*100)</f>
        <v>0</v>
      </c>
    </row>
    <row r="1520" spans="1:9" ht="42.75" hidden="1">
      <c r="A1520" s="128" t="s">
        <v>821</v>
      </c>
      <c r="B1520" s="189"/>
      <c r="C1520" s="171" t="s">
        <v>627</v>
      </c>
      <c r="D1520" s="171" t="s">
        <v>625</v>
      </c>
      <c r="E1520" s="171" t="s">
        <v>1037</v>
      </c>
      <c r="F1520" s="161"/>
      <c r="G1520" s="91">
        <f>SUM(G1521)</f>
        <v>0</v>
      </c>
      <c r="H1520" s="27"/>
      <c r="I1520" s="20">
        <f>SUM(H1520/G1524*100)</f>
        <v>0</v>
      </c>
    </row>
    <row r="1521" spans="1:9" ht="21.75" customHeight="1" hidden="1">
      <c r="A1521" s="108" t="s">
        <v>483</v>
      </c>
      <c r="B1521" s="189"/>
      <c r="C1521" s="171" t="s">
        <v>627</v>
      </c>
      <c r="D1521" s="171" t="s">
        <v>625</v>
      </c>
      <c r="E1521" s="171" t="s">
        <v>1037</v>
      </c>
      <c r="F1521" s="161" t="s">
        <v>933</v>
      </c>
      <c r="G1521" s="91"/>
      <c r="H1521" s="27"/>
      <c r="I1521" s="20"/>
    </row>
    <row r="1522" spans="1:9" ht="36" customHeight="1">
      <c r="A1522" s="128" t="s">
        <v>294</v>
      </c>
      <c r="B1522" s="189"/>
      <c r="C1522" s="171" t="s">
        <v>627</v>
      </c>
      <c r="D1522" s="171" t="s">
        <v>625</v>
      </c>
      <c r="E1522" s="171" t="s">
        <v>22</v>
      </c>
      <c r="F1522" s="161"/>
      <c r="G1522" s="91">
        <f>SUM(G1523:G1524)</f>
        <v>3900</v>
      </c>
      <c r="H1522" s="20"/>
      <c r="I1522" s="20">
        <f aca="true" t="shared" si="46" ref="I1522:I1539">SUM(H1522/G1526*100)</f>
        <v>0</v>
      </c>
    </row>
    <row r="1523" spans="1:9" ht="30.75" customHeight="1">
      <c r="A1523" s="108" t="s">
        <v>589</v>
      </c>
      <c r="B1523" s="189"/>
      <c r="C1523" s="171" t="s">
        <v>627</v>
      </c>
      <c r="D1523" s="171" t="s">
        <v>625</v>
      </c>
      <c r="E1523" s="171" t="s">
        <v>22</v>
      </c>
      <c r="F1523" s="161" t="s">
        <v>21</v>
      </c>
      <c r="G1523" s="91">
        <v>1780</v>
      </c>
      <c r="H1523" s="27"/>
      <c r="I1523" s="20">
        <f t="shared" si="46"/>
        <v>0</v>
      </c>
    </row>
    <row r="1524" spans="1:9" ht="15" customHeight="1">
      <c r="A1524" s="128" t="s">
        <v>711</v>
      </c>
      <c r="B1524" s="189"/>
      <c r="C1524" s="171" t="s">
        <v>627</v>
      </c>
      <c r="D1524" s="171" t="s">
        <v>625</v>
      </c>
      <c r="E1524" s="171" t="s">
        <v>22</v>
      </c>
      <c r="F1524" s="161" t="s">
        <v>566</v>
      </c>
      <c r="G1524" s="92">
        <v>2120</v>
      </c>
      <c r="H1524" s="81" t="e">
        <f>SUM(H1525+H1533)</f>
        <v>#REF!</v>
      </c>
      <c r="I1524" s="26" t="e">
        <f t="shared" si="46"/>
        <v>#REF!</v>
      </c>
    </row>
    <row r="1525" spans="1:9" ht="15">
      <c r="A1525" s="128" t="s">
        <v>295</v>
      </c>
      <c r="B1525" s="189"/>
      <c r="C1525" s="171" t="s">
        <v>627</v>
      </c>
      <c r="D1525" s="171" t="s">
        <v>625</v>
      </c>
      <c r="E1525" s="171" t="s">
        <v>24</v>
      </c>
      <c r="F1525" s="161"/>
      <c r="G1525" s="92">
        <f>SUM(G1526:G1527)</f>
        <v>3600</v>
      </c>
      <c r="H1525" s="20">
        <f>SUM(H1526)+H1530</f>
        <v>0</v>
      </c>
      <c r="I1525" s="20" t="e">
        <f t="shared" si="46"/>
        <v>#DIV/0!</v>
      </c>
    </row>
    <row r="1526" spans="1:9" ht="28.5">
      <c r="A1526" s="108" t="s">
        <v>662</v>
      </c>
      <c r="B1526" s="189"/>
      <c r="C1526" s="171" t="s">
        <v>627</v>
      </c>
      <c r="D1526" s="171" t="s">
        <v>625</v>
      </c>
      <c r="E1526" s="171" t="s">
        <v>24</v>
      </c>
      <c r="F1526" s="161" t="s">
        <v>21</v>
      </c>
      <c r="G1526" s="91">
        <v>3140</v>
      </c>
      <c r="H1526" s="20">
        <f>SUM(H1527)</f>
        <v>0</v>
      </c>
      <c r="I1526" s="20" t="e">
        <f t="shared" si="46"/>
        <v>#DIV/0!</v>
      </c>
    </row>
    <row r="1527" spans="1:9" ht="15">
      <c r="A1527" s="128" t="s">
        <v>711</v>
      </c>
      <c r="B1527" s="189"/>
      <c r="C1527" s="171" t="s">
        <v>627</v>
      </c>
      <c r="D1527" s="171" t="s">
        <v>625</v>
      </c>
      <c r="E1527" s="171" t="s">
        <v>24</v>
      </c>
      <c r="F1527" s="161" t="s">
        <v>566</v>
      </c>
      <c r="G1527" s="92">
        <v>460</v>
      </c>
      <c r="H1527" s="20">
        <f>SUM(H1528)</f>
        <v>0</v>
      </c>
      <c r="I1527" s="20" t="e">
        <f t="shared" si="46"/>
        <v>#DIV/0!</v>
      </c>
    </row>
    <row r="1528" spans="1:9" ht="14.25" customHeight="1">
      <c r="A1528" s="173" t="s">
        <v>17</v>
      </c>
      <c r="B1528" s="174" t="s">
        <v>967</v>
      </c>
      <c r="C1528" s="159"/>
      <c r="D1528" s="159"/>
      <c r="E1528" s="159"/>
      <c r="F1528" s="157"/>
      <c r="G1528" s="203">
        <f>SUM(G1529+G1537)</f>
        <v>85964.3</v>
      </c>
      <c r="H1528" s="20">
        <f>SUM(H1529)</f>
        <v>0</v>
      </c>
      <c r="I1528" s="20" t="e">
        <f t="shared" si="46"/>
        <v>#DIV/0!</v>
      </c>
    </row>
    <row r="1529" spans="1:9" ht="19.5" customHeight="1" hidden="1">
      <c r="A1529" s="106" t="s">
        <v>613</v>
      </c>
      <c r="B1529" s="174"/>
      <c r="C1529" s="159" t="s">
        <v>614</v>
      </c>
      <c r="D1529" s="159"/>
      <c r="E1529" s="159"/>
      <c r="F1529" s="157"/>
      <c r="G1529" s="91">
        <f>SUM(G1530)+G1534</f>
        <v>0</v>
      </c>
      <c r="H1529" s="20"/>
      <c r="I1529" s="20" t="e">
        <f t="shared" si="46"/>
        <v>#DIV/0!</v>
      </c>
    </row>
    <row r="1530" spans="1:9" ht="19.5" customHeight="1" hidden="1">
      <c r="A1530" s="106" t="s">
        <v>615</v>
      </c>
      <c r="B1530" s="155"/>
      <c r="C1530" s="155" t="s">
        <v>614</v>
      </c>
      <c r="D1530" s="155" t="s">
        <v>614</v>
      </c>
      <c r="E1530" s="155"/>
      <c r="F1530" s="156"/>
      <c r="G1530" s="91">
        <f>SUM(G1531)</f>
        <v>0</v>
      </c>
      <c r="H1530" s="20">
        <f>SUM(H1531)</f>
        <v>0</v>
      </c>
      <c r="I1530" s="20" t="e">
        <f t="shared" si="46"/>
        <v>#DIV/0!</v>
      </c>
    </row>
    <row r="1531" spans="1:9" ht="19.5" customHeight="1" hidden="1">
      <c r="A1531" s="133" t="s">
        <v>886</v>
      </c>
      <c r="B1531" s="155"/>
      <c r="C1531" s="155" t="s">
        <v>614</v>
      </c>
      <c r="D1531" s="155" t="s">
        <v>614</v>
      </c>
      <c r="E1531" s="155" t="s">
        <v>617</v>
      </c>
      <c r="F1531" s="156"/>
      <c r="G1531" s="91">
        <f>SUM(G1532)</f>
        <v>0</v>
      </c>
      <c r="H1531" s="20">
        <f>SUM(H1532)</f>
        <v>0</v>
      </c>
      <c r="I1531" s="20" t="e">
        <f t="shared" si="46"/>
        <v>#DIV/0!</v>
      </c>
    </row>
    <row r="1532" spans="1:9" ht="19.5" customHeight="1" hidden="1">
      <c r="A1532" s="133" t="s">
        <v>887</v>
      </c>
      <c r="B1532" s="155"/>
      <c r="C1532" s="155" t="s">
        <v>614</v>
      </c>
      <c r="D1532" s="155" t="s">
        <v>614</v>
      </c>
      <c r="E1532" s="155" t="s">
        <v>888</v>
      </c>
      <c r="F1532" s="156"/>
      <c r="G1532" s="91">
        <f>SUM(G1533)</f>
        <v>0</v>
      </c>
      <c r="H1532" s="20"/>
      <c r="I1532" s="20" t="e">
        <f t="shared" si="46"/>
        <v>#DIV/0!</v>
      </c>
    </row>
    <row r="1533" spans="1:11" ht="15" hidden="1">
      <c r="A1533" s="108" t="s">
        <v>932</v>
      </c>
      <c r="B1533" s="155"/>
      <c r="C1533" s="155" t="s">
        <v>614</v>
      </c>
      <c r="D1533" s="155" t="s">
        <v>614</v>
      </c>
      <c r="E1533" s="155" t="s">
        <v>888</v>
      </c>
      <c r="F1533" s="156" t="s">
        <v>933</v>
      </c>
      <c r="G1533" s="91"/>
      <c r="H1533" s="20" t="e">
        <f>SUM(H1534+H1551+H1590+H1604+H1585)</f>
        <v>#REF!</v>
      </c>
      <c r="I1533" s="20" t="e">
        <f t="shared" si="46"/>
        <v>#REF!</v>
      </c>
      <c r="K1533" s="95"/>
    </row>
    <row r="1534" spans="1:9" ht="13.5" customHeight="1" hidden="1">
      <c r="A1534" s="108" t="s">
        <v>893</v>
      </c>
      <c r="B1534" s="155"/>
      <c r="C1534" s="155" t="s">
        <v>614</v>
      </c>
      <c r="D1534" s="155" t="s">
        <v>1</v>
      </c>
      <c r="E1534" s="155"/>
      <c r="F1534" s="156"/>
      <c r="G1534" s="91">
        <f>SUM(G1535)</f>
        <v>0</v>
      </c>
      <c r="H1534" s="20">
        <f>SUM(H1535+H1538)</f>
        <v>46235.5</v>
      </c>
      <c r="I1534" s="20">
        <f t="shared" si="46"/>
        <v>434.34414602297807</v>
      </c>
    </row>
    <row r="1535" spans="1:9" ht="19.5" customHeight="1" hidden="1">
      <c r="A1535" s="108" t="s">
        <v>634</v>
      </c>
      <c r="B1535" s="155"/>
      <c r="C1535" s="155" t="s">
        <v>614</v>
      </c>
      <c r="D1535" s="155" t="s">
        <v>1</v>
      </c>
      <c r="E1535" s="155" t="s">
        <v>635</v>
      </c>
      <c r="F1535" s="156"/>
      <c r="G1535" s="91">
        <f>SUM(G1536)</f>
        <v>0</v>
      </c>
      <c r="H1535" s="20">
        <f>SUM(H1536)</f>
        <v>146.8</v>
      </c>
      <c r="I1535" s="20" t="e">
        <f t="shared" si="46"/>
        <v>#DIV/0!</v>
      </c>
    </row>
    <row r="1536" spans="1:9" ht="19.5" customHeight="1" hidden="1">
      <c r="A1536" s="106" t="s">
        <v>25</v>
      </c>
      <c r="B1536" s="155"/>
      <c r="C1536" s="155" t="s">
        <v>614</v>
      </c>
      <c r="D1536" s="155" t="s">
        <v>1</v>
      </c>
      <c r="E1536" s="155" t="s">
        <v>635</v>
      </c>
      <c r="F1536" s="156" t="s">
        <v>753</v>
      </c>
      <c r="G1536" s="91"/>
      <c r="H1536" s="20">
        <f>SUM(H1537)</f>
        <v>146.8</v>
      </c>
      <c r="I1536" s="20" t="e">
        <f t="shared" si="46"/>
        <v>#DIV/0!</v>
      </c>
    </row>
    <row r="1537" spans="1:9" ht="19.5" customHeight="1">
      <c r="A1537" s="106" t="s">
        <v>48</v>
      </c>
      <c r="B1537" s="155"/>
      <c r="C1537" s="159" t="s">
        <v>1</v>
      </c>
      <c r="D1537" s="159"/>
      <c r="E1537" s="159"/>
      <c r="F1537" s="157"/>
      <c r="G1537" s="91">
        <f>SUM(G1538+G1555+G1594+G1608+G1589)</f>
        <v>85964.3</v>
      </c>
      <c r="H1537" s="20">
        <v>146.8</v>
      </c>
      <c r="I1537" s="20" t="e">
        <f t="shared" si="46"/>
        <v>#DIV/0!</v>
      </c>
    </row>
    <row r="1538" spans="1:9" ht="15">
      <c r="A1538" s="106" t="s">
        <v>754</v>
      </c>
      <c r="B1538" s="155"/>
      <c r="C1538" s="159" t="s">
        <v>1</v>
      </c>
      <c r="D1538" s="159" t="s">
        <v>237</v>
      </c>
      <c r="E1538" s="159"/>
      <c r="F1538" s="157"/>
      <c r="G1538" s="91">
        <f>SUM(G1539+G1542)</f>
        <v>10644.900000000001</v>
      </c>
      <c r="H1538" s="20">
        <f>SUM(H1539)</f>
        <v>46088.7</v>
      </c>
      <c r="I1538" s="20">
        <f t="shared" si="46"/>
        <v>432.9650818701912</v>
      </c>
    </row>
    <row r="1539" spans="1:9" ht="15" hidden="1">
      <c r="A1539" s="106" t="s">
        <v>148</v>
      </c>
      <c r="B1539" s="155"/>
      <c r="C1539" s="159" t="s">
        <v>1</v>
      </c>
      <c r="D1539" s="159" t="s">
        <v>237</v>
      </c>
      <c r="E1539" s="155" t="s">
        <v>150</v>
      </c>
      <c r="F1539" s="156"/>
      <c r="G1539" s="91">
        <f>SUM(G1540)</f>
        <v>0</v>
      </c>
      <c r="H1539" s="20">
        <f>SUM(H1546:H1549)</f>
        <v>46088.7</v>
      </c>
      <c r="I1539" s="20">
        <f t="shared" si="46"/>
        <v>432.9650818701912</v>
      </c>
    </row>
    <row r="1540" spans="1:9" ht="14.25" customHeight="1" hidden="1">
      <c r="A1540" s="106" t="s">
        <v>128</v>
      </c>
      <c r="B1540" s="155"/>
      <c r="C1540" s="159" t="s">
        <v>1</v>
      </c>
      <c r="D1540" s="159" t="s">
        <v>237</v>
      </c>
      <c r="E1540" s="155" t="s">
        <v>129</v>
      </c>
      <c r="F1540" s="156"/>
      <c r="G1540" s="91">
        <f>SUM(G1541)</f>
        <v>0</v>
      </c>
      <c r="H1540" s="20"/>
      <c r="I1540" s="20"/>
    </row>
    <row r="1541" spans="1:9" ht="15" customHeight="1" hidden="1">
      <c r="A1541" s="108" t="s">
        <v>932</v>
      </c>
      <c r="B1541" s="159"/>
      <c r="C1541" s="159" t="s">
        <v>1</v>
      </c>
      <c r="D1541" s="159" t="s">
        <v>237</v>
      </c>
      <c r="E1541" s="155" t="s">
        <v>129</v>
      </c>
      <c r="F1541" s="157" t="s">
        <v>933</v>
      </c>
      <c r="G1541" s="91"/>
      <c r="H1541" s="20"/>
      <c r="I1541" s="20"/>
    </row>
    <row r="1542" spans="1:9" ht="15">
      <c r="A1542" s="106" t="s">
        <v>791</v>
      </c>
      <c r="B1542" s="155"/>
      <c r="C1542" s="159" t="s">
        <v>1</v>
      </c>
      <c r="D1542" s="159" t="s">
        <v>237</v>
      </c>
      <c r="E1542" s="159" t="s">
        <v>758</v>
      </c>
      <c r="F1542" s="157"/>
      <c r="G1542" s="91">
        <f>SUM(G1543)</f>
        <v>10644.900000000001</v>
      </c>
      <c r="H1542" s="20"/>
      <c r="I1542" s="20"/>
    </row>
    <row r="1543" spans="1:9" ht="15">
      <c r="A1543" s="106" t="s">
        <v>588</v>
      </c>
      <c r="B1543" s="174"/>
      <c r="C1543" s="159" t="s">
        <v>1</v>
      </c>
      <c r="D1543" s="159" t="s">
        <v>237</v>
      </c>
      <c r="E1543" s="159" t="s">
        <v>567</v>
      </c>
      <c r="F1543" s="157"/>
      <c r="G1543" s="91">
        <f>SUM(G1551)+G1544</f>
        <v>10644.900000000001</v>
      </c>
      <c r="H1543" s="20"/>
      <c r="I1543" s="20"/>
    </row>
    <row r="1544" spans="1:9" ht="15">
      <c r="A1544" s="108" t="s">
        <v>711</v>
      </c>
      <c r="B1544" s="174"/>
      <c r="C1544" s="159" t="s">
        <v>1</v>
      </c>
      <c r="D1544" s="159" t="s">
        <v>237</v>
      </c>
      <c r="E1544" s="159" t="s">
        <v>664</v>
      </c>
      <c r="F1544" s="157"/>
      <c r="G1544" s="91">
        <f>SUM(G1546+G1548)</f>
        <v>156.2</v>
      </c>
      <c r="H1544" s="20"/>
      <c r="I1544" s="20"/>
    </row>
    <row r="1545" spans="1:9" ht="15" hidden="1">
      <c r="A1545" s="108" t="s">
        <v>666</v>
      </c>
      <c r="B1545" s="174"/>
      <c r="C1545" s="159" t="s">
        <v>1</v>
      </c>
      <c r="D1545" s="159" t="s">
        <v>237</v>
      </c>
      <c r="E1545" s="159" t="s">
        <v>664</v>
      </c>
      <c r="F1545" s="157" t="s">
        <v>566</v>
      </c>
      <c r="G1545" s="91"/>
      <c r="H1545" s="20"/>
      <c r="I1545" s="20"/>
    </row>
    <row r="1546" spans="1:9" ht="28.5" hidden="1">
      <c r="A1546" s="108" t="s">
        <v>159</v>
      </c>
      <c r="B1546" s="174"/>
      <c r="C1546" s="159" t="s">
        <v>1</v>
      </c>
      <c r="D1546" s="159" t="s">
        <v>237</v>
      </c>
      <c r="E1546" s="159" t="s">
        <v>665</v>
      </c>
      <c r="F1546" s="157"/>
      <c r="G1546" s="91">
        <f>SUM(G1547)</f>
        <v>0</v>
      </c>
      <c r="H1546" s="20">
        <v>46088.7</v>
      </c>
      <c r="I1546" s="20">
        <f aca="true" t="shared" si="47" ref="I1546:I1553">SUM(H1546/G1550*100)</f>
        <v>439.4128919694528</v>
      </c>
    </row>
    <row r="1547" spans="1:9" ht="42" customHeight="1" hidden="1">
      <c r="A1547" s="108" t="s">
        <v>666</v>
      </c>
      <c r="B1547" s="174"/>
      <c r="C1547" s="159" t="s">
        <v>1</v>
      </c>
      <c r="D1547" s="159" t="s">
        <v>237</v>
      </c>
      <c r="E1547" s="159" t="s">
        <v>665</v>
      </c>
      <c r="F1547" s="157" t="s">
        <v>566</v>
      </c>
      <c r="G1547" s="91"/>
      <c r="H1547" s="20"/>
      <c r="I1547" s="20">
        <f t="shared" si="47"/>
        <v>0</v>
      </c>
    </row>
    <row r="1548" spans="1:9" ht="19.5" customHeight="1">
      <c r="A1548" s="106" t="s">
        <v>838</v>
      </c>
      <c r="B1548" s="174"/>
      <c r="C1548" s="159" t="s">
        <v>1</v>
      </c>
      <c r="D1548" s="159" t="s">
        <v>237</v>
      </c>
      <c r="E1548" s="159" t="s">
        <v>842</v>
      </c>
      <c r="F1548" s="157"/>
      <c r="G1548" s="91">
        <f>SUM(G1549)</f>
        <v>156.2</v>
      </c>
      <c r="H1548" s="20"/>
      <c r="I1548" s="20" t="e">
        <f t="shared" si="47"/>
        <v>#DIV/0!</v>
      </c>
    </row>
    <row r="1549" spans="1:9" ht="19.5" customHeight="1">
      <c r="A1549" s="106" t="s">
        <v>711</v>
      </c>
      <c r="B1549" s="174"/>
      <c r="C1549" s="159" t="s">
        <v>1</v>
      </c>
      <c r="D1549" s="159" t="s">
        <v>237</v>
      </c>
      <c r="E1549" s="159" t="s">
        <v>842</v>
      </c>
      <c r="F1549" s="157" t="s">
        <v>566</v>
      </c>
      <c r="G1549" s="91">
        <v>156.2</v>
      </c>
      <c r="H1549" s="20">
        <f>SUM(H1550)</f>
        <v>0</v>
      </c>
      <c r="I1549" s="20" t="e">
        <f t="shared" si="47"/>
        <v>#DIV/0!</v>
      </c>
    </row>
    <row r="1550" spans="1:9" ht="33.75" customHeight="1">
      <c r="A1550" s="106" t="s">
        <v>10</v>
      </c>
      <c r="B1550" s="174"/>
      <c r="C1550" s="159" t="s">
        <v>1</v>
      </c>
      <c r="D1550" s="159" t="s">
        <v>237</v>
      </c>
      <c r="E1550" s="159" t="s">
        <v>9</v>
      </c>
      <c r="F1550" s="157"/>
      <c r="G1550" s="91">
        <f>SUM(G1551)</f>
        <v>10488.7</v>
      </c>
      <c r="H1550" s="20"/>
      <c r="I1550" s="20" t="e">
        <f t="shared" si="47"/>
        <v>#DIV/0!</v>
      </c>
    </row>
    <row r="1551" spans="1:9" ht="42.75">
      <c r="A1551" s="108" t="s">
        <v>363</v>
      </c>
      <c r="B1551" s="120"/>
      <c r="C1551" s="159" t="s">
        <v>1</v>
      </c>
      <c r="D1551" s="159" t="s">
        <v>237</v>
      </c>
      <c r="E1551" s="159" t="s">
        <v>9</v>
      </c>
      <c r="F1551" s="158" t="s">
        <v>875</v>
      </c>
      <c r="G1551" s="91">
        <v>10488.7</v>
      </c>
      <c r="H1551" s="20">
        <f>SUM(H1552+H1566+H1576+H1582)</f>
        <v>31424.600000000002</v>
      </c>
      <c r="I1551" s="20">
        <f t="shared" si="47"/>
        <v>180.79129199100203</v>
      </c>
    </row>
    <row r="1552" spans="1:9" ht="0.75" customHeight="1" hidden="1">
      <c r="A1552" s="108" t="s">
        <v>87</v>
      </c>
      <c r="B1552" s="155"/>
      <c r="C1552" s="159" t="s">
        <v>1</v>
      </c>
      <c r="D1552" s="159" t="s">
        <v>237</v>
      </c>
      <c r="E1552" s="159" t="s">
        <v>759</v>
      </c>
      <c r="F1552" s="157" t="s">
        <v>88</v>
      </c>
      <c r="G1552" s="91"/>
      <c r="H1552" s="20">
        <f>SUM(H1553)</f>
        <v>21799.8</v>
      </c>
      <c r="I1552" s="20">
        <f t="shared" si="47"/>
        <v>235.02813894818547</v>
      </c>
    </row>
    <row r="1553" spans="1:9" ht="42.75" hidden="1">
      <c r="A1553" s="106" t="s">
        <v>418</v>
      </c>
      <c r="B1553" s="155"/>
      <c r="C1553" s="159" t="s">
        <v>760</v>
      </c>
      <c r="D1553" s="159" t="s">
        <v>237</v>
      </c>
      <c r="E1553" s="159" t="s">
        <v>910</v>
      </c>
      <c r="F1553" s="157"/>
      <c r="G1553" s="91">
        <f>SUM(G1554)</f>
        <v>0</v>
      </c>
      <c r="H1553" s="20">
        <f>SUM(H1561:H1564)</f>
        <v>21799.8</v>
      </c>
      <c r="I1553" s="20">
        <f t="shared" si="47"/>
        <v>235.02813894818547</v>
      </c>
    </row>
    <row r="1554" spans="1:9" ht="15" customHeight="1" hidden="1">
      <c r="A1554" s="108" t="s">
        <v>932</v>
      </c>
      <c r="B1554" s="155"/>
      <c r="C1554" s="159" t="s">
        <v>760</v>
      </c>
      <c r="D1554" s="159" t="s">
        <v>237</v>
      </c>
      <c r="E1554" s="159" t="s">
        <v>910</v>
      </c>
      <c r="F1554" s="157" t="s">
        <v>933</v>
      </c>
      <c r="G1554" s="91"/>
      <c r="H1554" s="20"/>
      <c r="I1554" s="20"/>
    </row>
    <row r="1555" spans="1:9" ht="15">
      <c r="A1555" s="106" t="s">
        <v>911</v>
      </c>
      <c r="B1555" s="155"/>
      <c r="C1555" s="159" t="s">
        <v>1</v>
      </c>
      <c r="D1555" s="159" t="s">
        <v>239</v>
      </c>
      <c r="E1555" s="159"/>
      <c r="F1555" s="157"/>
      <c r="G1555" s="91">
        <f>SUM(G1556+G1570+G1582+G1586)</f>
        <v>17381.7</v>
      </c>
      <c r="H1555" s="20"/>
      <c r="I1555" s="20"/>
    </row>
    <row r="1556" spans="1:9" ht="15">
      <c r="A1556" s="106" t="s">
        <v>791</v>
      </c>
      <c r="B1556" s="155"/>
      <c r="C1556" s="159" t="s">
        <v>1</v>
      </c>
      <c r="D1556" s="159" t="s">
        <v>239</v>
      </c>
      <c r="E1556" s="159" t="s">
        <v>758</v>
      </c>
      <c r="F1556" s="157"/>
      <c r="G1556" s="91">
        <f>SUM(G1557)</f>
        <v>9275.400000000001</v>
      </c>
      <c r="H1556" s="20"/>
      <c r="I1556" s="20"/>
    </row>
    <row r="1557" spans="1:9" ht="15">
      <c r="A1557" s="106" t="s">
        <v>588</v>
      </c>
      <c r="B1557" s="174"/>
      <c r="C1557" s="159" t="s">
        <v>1</v>
      </c>
      <c r="D1557" s="159" t="s">
        <v>239</v>
      </c>
      <c r="E1557" s="159" t="s">
        <v>567</v>
      </c>
      <c r="F1557" s="157"/>
      <c r="G1557" s="91">
        <f>SUM(G1566)+G1558+G1563</f>
        <v>9275.400000000001</v>
      </c>
      <c r="H1557" s="20"/>
      <c r="I1557" s="20"/>
    </row>
    <row r="1558" spans="1:9" ht="16.5" customHeight="1">
      <c r="A1558" s="108" t="s">
        <v>711</v>
      </c>
      <c r="B1558" s="174"/>
      <c r="C1558" s="159" t="s">
        <v>1</v>
      </c>
      <c r="D1558" s="159" t="s">
        <v>239</v>
      </c>
      <c r="E1558" s="159" t="s">
        <v>664</v>
      </c>
      <c r="F1558" s="157"/>
      <c r="G1558" s="91">
        <f>SUM(G1561)</f>
        <v>156.2</v>
      </c>
      <c r="H1558" s="20"/>
      <c r="I1558" s="20"/>
    </row>
    <row r="1559" spans="1:9" ht="19.5" customHeight="1" hidden="1">
      <c r="A1559" s="108" t="s">
        <v>159</v>
      </c>
      <c r="B1559" s="174"/>
      <c r="C1559" s="159" t="s">
        <v>1</v>
      </c>
      <c r="D1559" s="159" t="s">
        <v>239</v>
      </c>
      <c r="E1559" s="159" t="s">
        <v>665</v>
      </c>
      <c r="F1559" s="157"/>
      <c r="G1559" s="91">
        <f>SUM(G1560)</f>
        <v>0</v>
      </c>
      <c r="H1559" s="20"/>
      <c r="I1559" s="20"/>
    </row>
    <row r="1560" spans="1:9" ht="15" customHeight="1" hidden="1">
      <c r="A1560" s="108" t="s">
        <v>666</v>
      </c>
      <c r="B1560" s="174"/>
      <c r="C1560" s="159" t="s">
        <v>1</v>
      </c>
      <c r="D1560" s="159" t="s">
        <v>239</v>
      </c>
      <c r="E1560" s="159" t="s">
        <v>665</v>
      </c>
      <c r="F1560" s="157" t="s">
        <v>566</v>
      </c>
      <c r="G1560" s="91"/>
      <c r="H1560" s="20"/>
      <c r="I1560" s="20"/>
    </row>
    <row r="1561" spans="1:9" ht="19.5" customHeight="1">
      <c r="A1561" s="106" t="s">
        <v>838</v>
      </c>
      <c r="B1561" s="174"/>
      <c r="C1561" s="159" t="s">
        <v>1</v>
      </c>
      <c r="D1561" s="159" t="s">
        <v>237</v>
      </c>
      <c r="E1561" s="159" t="s">
        <v>842</v>
      </c>
      <c r="F1561" s="157"/>
      <c r="G1561" s="91">
        <f>SUM(G1562)</f>
        <v>156.2</v>
      </c>
      <c r="H1561" s="20">
        <v>21799.8</v>
      </c>
      <c r="I1561" s="20">
        <f aca="true" t="shared" si="48" ref="I1561:I1567">SUM(H1561/G1565*100)</f>
        <v>239.05386437406787</v>
      </c>
    </row>
    <row r="1562" spans="1:9" ht="21.75" customHeight="1">
      <c r="A1562" s="106" t="s">
        <v>711</v>
      </c>
      <c r="B1562" s="174"/>
      <c r="C1562" s="159" t="s">
        <v>1</v>
      </c>
      <c r="D1562" s="159" t="s">
        <v>237</v>
      </c>
      <c r="E1562" s="159" t="s">
        <v>842</v>
      </c>
      <c r="F1562" s="157" t="s">
        <v>566</v>
      </c>
      <c r="G1562" s="91">
        <v>156.2</v>
      </c>
      <c r="H1562" s="20"/>
      <c r="I1562" s="20">
        <f t="shared" si="48"/>
        <v>0</v>
      </c>
    </row>
    <row r="1563" spans="1:9" ht="18.75" customHeight="1" hidden="1">
      <c r="A1563" s="108" t="s">
        <v>159</v>
      </c>
      <c r="B1563" s="174"/>
      <c r="C1563" s="159" t="s">
        <v>1</v>
      </c>
      <c r="D1563" s="159" t="s">
        <v>239</v>
      </c>
      <c r="E1563" s="159" t="s">
        <v>665</v>
      </c>
      <c r="F1563" s="157"/>
      <c r="G1563" s="91">
        <f>SUM(G1564)</f>
        <v>0</v>
      </c>
      <c r="H1563" s="20"/>
      <c r="I1563" s="20" t="e">
        <f t="shared" si="48"/>
        <v>#DIV/0!</v>
      </c>
    </row>
    <row r="1564" spans="1:9" ht="18" customHeight="1" hidden="1">
      <c r="A1564" s="108" t="s">
        <v>666</v>
      </c>
      <c r="B1564" s="174"/>
      <c r="C1564" s="159" t="s">
        <v>1</v>
      </c>
      <c r="D1564" s="159" t="s">
        <v>239</v>
      </c>
      <c r="E1564" s="159" t="s">
        <v>665</v>
      </c>
      <c r="F1564" s="157" t="s">
        <v>566</v>
      </c>
      <c r="G1564" s="91"/>
      <c r="H1564" s="20">
        <f>SUM(H1565)</f>
        <v>0</v>
      </c>
      <c r="I1564" s="20" t="e">
        <f t="shared" si="48"/>
        <v>#DIV/0!</v>
      </c>
    </row>
    <row r="1565" spans="1:9" ht="28.5">
      <c r="A1565" s="106" t="s">
        <v>10</v>
      </c>
      <c r="B1565" s="174"/>
      <c r="C1565" s="159" t="s">
        <v>1</v>
      </c>
      <c r="D1565" s="159" t="s">
        <v>239</v>
      </c>
      <c r="E1565" s="159" t="s">
        <v>9</v>
      </c>
      <c r="F1565" s="157"/>
      <c r="G1565" s="91">
        <f>SUM(G1566)</f>
        <v>9119.2</v>
      </c>
      <c r="H1565" s="20"/>
      <c r="I1565" s="20" t="e">
        <f t="shared" si="48"/>
        <v>#DIV/0!</v>
      </c>
    </row>
    <row r="1566" spans="1:9" ht="28.5" customHeight="1">
      <c r="A1566" s="108" t="s">
        <v>363</v>
      </c>
      <c r="B1566" s="120"/>
      <c r="C1566" s="159" t="s">
        <v>1</v>
      </c>
      <c r="D1566" s="159" t="s">
        <v>239</v>
      </c>
      <c r="E1566" s="159" t="s">
        <v>9</v>
      </c>
      <c r="F1566" s="158" t="s">
        <v>875</v>
      </c>
      <c r="G1566" s="91">
        <v>9119.2</v>
      </c>
      <c r="H1566" s="20">
        <f>SUM(H1567)</f>
        <v>7467.6</v>
      </c>
      <c r="I1566" s="20">
        <f t="shared" si="48"/>
        <v>92.12094297028237</v>
      </c>
    </row>
    <row r="1567" spans="1:9" ht="28.5" hidden="1">
      <c r="A1567" s="108" t="s">
        <v>87</v>
      </c>
      <c r="B1567" s="155"/>
      <c r="C1567" s="159" t="s">
        <v>1</v>
      </c>
      <c r="D1567" s="159" t="s">
        <v>239</v>
      </c>
      <c r="E1567" s="159" t="s">
        <v>759</v>
      </c>
      <c r="F1567" s="157" t="s">
        <v>88</v>
      </c>
      <c r="G1567" s="91"/>
      <c r="H1567" s="20">
        <f>SUM(H1573:H1574)</f>
        <v>7467.6</v>
      </c>
      <c r="I1567" s="20">
        <f t="shared" si="48"/>
        <v>92.12094297028237</v>
      </c>
    </row>
    <row r="1568" spans="1:9" ht="42.75" hidden="1">
      <c r="A1568" s="106" t="s">
        <v>418</v>
      </c>
      <c r="B1568" s="155"/>
      <c r="C1568" s="159" t="s">
        <v>1</v>
      </c>
      <c r="D1568" s="159" t="s">
        <v>239</v>
      </c>
      <c r="E1568" s="159" t="s">
        <v>910</v>
      </c>
      <c r="F1568" s="157"/>
      <c r="G1568" s="91">
        <f>SUM(G1569)</f>
        <v>0</v>
      </c>
      <c r="H1568" s="20"/>
      <c r="I1568" s="20"/>
    </row>
    <row r="1569" spans="1:9" ht="15" hidden="1">
      <c r="A1569" s="108" t="s">
        <v>932</v>
      </c>
      <c r="B1569" s="155"/>
      <c r="C1569" s="159" t="s">
        <v>1</v>
      </c>
      <c r="D1569" s="159" t="s">
        <v>239</v>
      </c>
      <c r="E1569" s="159" t="s">
        <v>910</v>
      </c>
      <c r="F1569" s="157" t="s">
        <v>933</v>
      </c>
      <c r="G1569" s="91"/>
      <c r="H1569" s="20"/>
      <c r="I1569" s="20"/>
    </row>
    <row r="1570" spans="1:9" ht="15">
      <c r="A1570" s="106" t="s">
        <v>912</v>
      </c>
      <c r="B1570" s="155"/>
      <c r="C1570" s="159" t="s">
        <v>1</v>
      </c>
      <c r="D1570" s="159" t="s">
        <v>239</v>
      </c>
      <c r="E1570" s="159" t="s">
        <v>913</v>
      </c>
      <c r="F1570" s="157"/>
      <c r="G1570" s="91">
        <f>SUM(G1571)</f>
        <v>8106.3</v>
      </c>
      <c r="H1570" s="20"/>
      <c r="I1570" s="20"/>
    </row>
    <row r="1571" spans="1:9" ht="15">
      <c r="A1571" s="106" t="s">
        <v>588</v>
      </c>
      <c r="B1571" s="155"/>
      <c r="C1571" s="159" t="s">
        <v>1</v>
      </c>
      <c r="D1571" s="159" t="s">
        <v>239</v>
      </c>
      <c r="E1571" s="159" t="s">
        <v>11</v>
      </c>
      <c r="F1571" s="157"/>
      <c r="G1571" s="91">
        <f>SUM(G1579+G1572)</f>
        <v>8106.3</v>
      </c>
      <c r="H1571" s="20"/>
      <c r="I1571" s="20"/>
    </row>
    <row r="1572" spans="1:9" ht="15">
      <c r="A1572" s="108" t="s">
        <v>711</v>
      </c>
      <c r="B1572" s="155"/>
      <c r="C1572" s="159" t="s">
        <v>1</v>
      </c>
      <c r="D1572" s="159" t="s">
        <v>239</v>
      </c>
      <c r="E1572" s="159" t="s">
        <v>843</v>
      </c>
      <c r="F1572" s="157"/>
      <c r="G1572" s="91">
        <f>SUM(G1573)+G1575+G1577</f>
        <v>560</v>
      </c>
      <c r="H1572" s="20"/>
      <c r="I1572" s="20"/>
    </row>
    <row r="1573" spans="1:9" ht="36" customHeight="1">
      <c r="A1573" s="108" t="s">
        <v>667</v>
      </c>
      <c r="B1573" s="174"/>
      <c r="C1573" s="159" t="s">
        <v>1</v>
      </c>
      <c r="D1573" s="159" t="s">
        <v>239</v>
      </c>
      <c r="E1573" s="159" t="s">
        <v>668</v>
      </c>
      <c r="F1573" s="157"/>
      <c r="G1573" s="91">
        <f>SUM(G1574)</f>
        <v>231</v>
      </c>
      <c r="H1573" s="20">
        <v>7467.6</v>
      </c>
      <c r="I1573" s="20">
        <f>SUM(H1573/G1579*100)</f>
        <v>98.95710480632893</v>
      </c>
    </row>
    <row r="1574" spans="1:9" ht="21" customHeight="1">
      <c r="A1574" s="108" t="s">
        <v>666</v>
      </c>
      <c r="B1574" s="174"/>
      <c r="C1574" s="159" t="s">
        <v>1</v>
      </c>
      <c r="D1574" s="159" t="s">
        <v>239</v>
      </c>
      <c r="E1574" s="159" t="s">
        <v>668</v>
      </c>
      <c r="F1574" s="157" t="s">
        <v>566</v>
      </c>
      <c r="G1574" s="91">
        <v>231</v>
      </c>
      <c r="H1574" s="20"/>
      <c r="I1574" s="20" t="e">
        <f>SUM(H1574/G1580*100)</f>
        <v>#DIV/0!</v>
      </c>
    </row>
    <row r="1575" spans="1:9" ht="28.5">
      <c r="A1575" s="108" t="s">
        <v>159</v>
      </c>
      <c r="B1575" s="174"/>
      <c r="C1575" s="159" t="s">
        <v>1</v>
      </c>
      <c r="D1575" s="159" t="s">
        <v>239</v>
      </c>
      <c r="E1575" s="159" t="s">
        <v>301</v>
      </c>
      <c r="F1575" s="157"/>
      <c r="G1575" s="91">
        <f>SUM(G1576)</f>
        <v>230</v>
      </c>
      <c r="H1575" s="20"/>
      <c r="I1575" s="20"/>
    </row>
    <row r="1576" spans="1:9" ht="15">
      <c r="A1576" s="108" t="s">
        <v>666</v>
      </c>
      <c r="B1576" s="174"/>
      <c r="C1576" s="159" t="s">
        <v>1</v>
      </c>
      <c r="D1576" s="159" t="s">
        <v>239</v>
      </c>
      <c r="E1576" s="159" t="s">
        <v>301</v>
      </c>
      <c r="F1576" s="157" t="s">
        <v>566</v>
      </c>
      <c r="G1576" s="91">
        <v>230</v>
      </c>
      <c r="H1576" s="20">
        <f>SUM(H1579)</f>
        <v>1817.2</v>
      </c>
      <c r="I1576" s="20" t="e">
        <f>SUM(H1576/G1582*100)</f>
        <v>#DIV/0!</v>
      </c>
    </row>
    <row r="1577" spans="1:9" ht="21.75" customHeight="1">
      <c r="A1577" s="108" t="s">
        <v>705</v>
      </c>
      <c r="B1577" s="174"/>
      <c r="C1577" s="159" t="s">
        <v>1</v>
      </c>
      <c r="D1577" s="159" t="s">
        <v>239</v>
      </c>
      <c r="E1577" s="159" t="s">
        <v>392</v>
      </c>
      <c r="F1577" s="157"/>
      <c r="G1577" s="91">
        <f>SUM(G1578)</f>
        <v>99</v>
      </c>
      <c r="H1577" s="20"/>
      <c r="I1577" s="20"/>
    </row>
    <row r="1578" spans="1:9" ht="21" customHeight="1">
      <c r="A1578" s="108" t="s">
        <v>666</v>
      </c>
      <c r="B1578" s="174"/>
      <c r="C1578" s="159" t="s">
        <v>1</v>
      </c>
      <c r="D1578" s="159" t="s">
        <v>239</v>
      </c>
      <c r="E1578" s="159" t="s">
        <v>392</v>
      </c>
      <c r="F1578" s="157" t="s">
        <v>566</v>
      </c>
      <c r="G1578" s="91">
        <v>99</v>
      </c>
      <c r="H1578" s="20"/>
      <c r="I1578" s="20"/>
    </row>
    <row r="1579" spans="1:9" ht="31.5" customHeight="1">
      <c r="A1579" s="108" t="s">
        <v>10</v>
      </c>
      <c r="B1579" s="155"/>
      <c r="C1579" s="159" t="s">
        <v>1</v>
      </c>
      <c r="D1579" s="159" t="s">
        <v>239</v>
      </c>
      <c r="E1579" s="159" t="s">
        <v>12</v>
      </c>
      <c r="F1579" s="157"/>
      <c r="G1579" s="91">
        <f>SUM(G1581)</f>
        <v>7546.3</v>
      </c>
      <c r="H1579" s="20">
        <f>SUM(H1580:H1581)</f>
        <v>1817.2</v>
      </c>
      <c r="I1579" s="20" t="e">
        <f aca="true" t="shared" si="49" ref="I1579:I1604">SUM(H1579/G1583*100)</f>
        <v>#DIV/0!</v>
      </c>
    </row>
    <row r="1580" spans="1:9" ht="40.5" customHeight="1" hidden="1">
      <c r="A1580" s="106" t="s">
        <v>418</v>
      </c>
      <c r="B1580" s="155"/>
      <c r="C1580" s="159" t="s">
        <v>1</v>
      </c>
      <c r="D1580" s="159" t="s">
        <v>239</v>
      </c>
      <c r="E1580" s="159" t="s">
        <v>914</v>
      </c>
      <c r="F1580" s="157" t="s">
        <v>915</v>
      </c>
      <c r="G1580" s="91"/>
      <c r="H1580" s="20">
        <v>1817.2</v>
      </c>
      <c r="I1580" s="20" t="e">
        <f t="shared" si="49"/>
        <v>#DIV/0!</v>
      </c>
    </row>
    <row r="1581" spans="1:9" ht="48.75" customHeight="1">
      <c r="A1581" s="108" t="s">
        <v>363</v>
      </c>
      <c r="B1581" s="155"/>
      <c r="C1581" s="159" t="s">
        <v>1</v>
      </c>
      <c r="D1581" s="159" t="s">
        <v>239</v>
      </c>
      <c r="E1581" s="159" t="s">
        <v>13</v>
      </c>
      <c r="F1581" s="157" t="s">
        <v>875</v>
      </c>
      <c r="G1581" s="91">
        <v>7546.3</v>
      </c>
      <c r="H1581" s="20"/>
      <c r="I1581" s="20" t="e">
        <f t="shared" si="49"/>
        <v>#DIV/0!</v>
      </c>
    </row>
    <row r="1582" spans="1:9" ht="15" hidden="1">
      <c r="A1582" s="106" t="s">
        <v>916</v>
      </c>
      <c r="B1582" s="155"/>
      <c r="C1582" s="159" t="s">
        <v>1</v>
      </c>
      <c r="D1582" s="159" t="s">
        <v>239</v>
      </c>
      <c r="E1582" s="159" t="s">
        <v>917</v>
      </c>
      <c r="F1582" s="157"/>
      <c r="G1582" s="91">
        <f>SUM(G1583)</f>
        <v>0</v>
      </c>
      <c r="H1582" s="20">
        <f>SUM(H1583)</f>
        <v>340</v>
      </c>
      <c r="I1582" s="20" t="e">
        <f t="shared" si="49"/>
        <v>#DIV/0!</v>
      </c>
    </row>
    <row r="1583" spans="1:9" ht="15" hidden="1">
      <c r="A1583" s="106" t="s">
        <v>588</v>
      </c>
      <c r="B1583" s="174"/>
      <c r="C1583" s="159" t="s">
        <v>1</v>
      </c>
      <c r="D1583" s="159" t="s">
        <v>239</v>
      </c>
      <c r="E1583" s="159" t="s">
        <v>568</v>
      </c>
      <c r="F1583" s="157"/>
      <c r="G1583" s="91">
        <f>SUM(G1585)</f>
        <v>0</v>
      </c>
      <c r="H1583" s="20">
        <f>SUM(H1584)</f>
        <v>340</v>
      </c>
      <c r="I1583" s="20" t="e">
        <f t="shared" si="49"/>
        <v>#DIV/0!</v>
      </c>
    </row>
    <row r="1584" spans="1:9" ht="28.5" hidden="1">
      <c r="A1584" s="106" t="s">
        <v>10</v>
      </c>
      <c r="B1584" s="174"/>
      <c r="C1584" s="159" t="s">
        <v>1</v>
      </c>
      <c r="D1584" s="159" t="s">
        <v>239</v>
      </c>
      <c r="E1584" s="159" t="s">
        <v>14</v>
      </c>
      <c r="F1584" s="157"/>
      <c r="G1584" s="91">
        <f>SUM(G1585)</f>
        <v>0</v>
      </c>
      <c r="H1584" s="20">
        <v>340</v>
      </c>
      <c r="I1584" s="20" t="e">
        <f t="shared" si="49"/>
        <v>#DIV/0!</v>
      </c>
    </row>
    <row r="1585" spans="1:9" ht="42.75" hidden="1">
      <c r="A1585" s="108" t="s">
        <v>363</v>
      </c>
      <c r="B1585" s="120"/>
      <c r="C1585" s="159" t="s">
        <v>1</v>
      </c>
      <c r="D1585" s="159" t="s">
        <v>239</v>
      </c>
      <c r="E1585" s="159" t="s">
        <v>14</v>
      </c>
      <c r="F1585" s="158" t="s">
        <v>875</v>
      </c>
      <c r="G1585" s="91"/>
      <c r="H1585" s="20">
        <f>SUM(H1586)</f>
        <v>9494.7</v>
      </c>
      <c r="I1585" s="20" t="e">
        <f t="shared" si="49"/>
        <v>#DIV/0!</v>
      </c>
    </row>
    <row r="1586" spans="1:9" ht="15" hidden="1">
      <c r="A1586" s="109" t="s">
        <v>61</v>
      </c>
      <c r="B1586" s="155"/>
      <c r="C1586" s="159" t="s">
        <v>1</v>
      </c>
      <c r="D1586" s="159" t="s">
        <v>239</v>
      </c>
      <c r="E1586" s="159" t="s">
        <v>62</v>
      </c>
      <c r="F1586" s="157"/>
      <c r="G1586" s="91">
        <f>SUM(G1587)</f>
        <v>0</v>
      </c>
      <c r="H1586" s="20">
        <f>SUM(H1587)</f>
        <v>9494.7</v>
      </c>
      <c r="I1586" s="20" t="e">
        <f t="shared" si="49"/>
        <v>#DIV/0!</v>
      </c>
    </row>
    <row r="1587" spans="1:9" ht="42.75" hidden="1">
      <c r="A1587" s="133" t="s">
        <v>421</v>
      </c>
      <c r="B1587" s="155"/>
      <c r="C1587" s="159" t="s">
        <v>1</v>
      </c>
      <c r="D1587" s="159" t="s">
        <v>239</v>
      </c>
      <c r="E1587" s="159" t="s">
        <v>918</v>
      </c>
      <c r="F1587" s="157"/>
      <c r="G1587" s="91">
        <f>SUM(G1588)</f>
        <v>0</v>
      </c>
      <c r="H1587" s="20">
        <f>SUM(H1588:H1589)</f>
        <v>9494.7</v>
      </c>
      <c r="I1587" s="20" t="e">
        <f t="shared" si="49"/>
        <v>#DIV/0!</v>
      </c>
    </row>
    <row r="1588" spans="1:9" ht="15" hidden="1">
      <c r="A1588" s="108" t="s">
        <v>711</v>
      </c>
      <c r="B1588" s="155"/>
      <c r="C1588" s="159" t="s">
        <v>1</v>
      </c>
      <c r="D1588" s="159" t="s">
        <v>239</v>
      </c>
      <c r="E1588" s="159" t="s">
        <v>918</v>
      </c>
      <c r="F1588" s="158" t="s">
        <v>566</v>
      </c>
      <c r="G1588" s="91"/>
      <c r="H1588" s="20">
        <v>9494.7</v>
      </c>
      <c r="I1588" s="20" t="e">
        <f t="shared" si="49"/>
        <v>#DIV/0!</v>
      </c>
    </row>
    <row r="1589" spans="1:9" ht="19.5" customHeight="1" hidden="1">
      <c r="A1589" s="194" t="s">
        <v>919</v>
      </c>
      <c r="B1589" s="167"/>
      <c r="C1589" s="159" t="s">
        <v>1</v>
      </c>
      <c r="D1589" s="159" t="s">
        <v>601</v>
      </c>
      <c r="E1589" s="159"/>
      <c r="F1589" s="157"/>
      <c r="G1589" s="91">
        <f>SUM(G1590)</f>
        <v>0</v>
      </c>
      <c r="H1589" s="20"/>
      <c r="I1589" s="20" t="e">
        <f t="shared" si="49"/>
        <v>#DIV/0!</v>
      </c>
    </row>
    <row r="1590" spans="1:9" ht="21" customHeight="1" hidden="1">
      <c r="A1590" s="194" t="s">
        <v>920</v>
      </c>
      <c r="B1590" s="167"/>
      <c r="C1590" s="159" t="s">
        <v>1</v>
      </c>
      <c r="D1590" s="159" t="s">
        <v>601</v>
      </c>
      <c r="E1590" s="159" t="s">
        <v>758</v>
      </c>
      <c r="F1590" s="157"/>
      <c r="G1590" s="91">
        <f>SUM(G1591)</f>
        <v>0</v>
      </c>
      <c r="H1590" s="20">
        <f>SUM(H1593+H1597+H1591)</f>
        <v>40136</v>
      </c>
      <c r="I1590" s="20">
        <f t="shared" si="49"/>
        <v>6289.923209528287</v>
      </c>
    </row>
    <row r="1591" spans="1:9" ht="15" hidden="1">
      <c r="A1591" s="110" t="s">
        <v>930</v>
      </c>
      <c r="B1591" s="167"/>
      <c r="C1591" s="159" t="s">
        <v>1</v>
      </c>
      <c r="D1591" s="159" t="s">
        <v>601</v>
      </c>
      <c r="E1591" s="159" t="s">
        <v>759</v>
      </c>
      <c r="F1591" s="157"/>
      <c r="G1591" s="91">
        <f>SUM(G1592:G1593)</f>
        <v>0</v>
      </c>
      <c r="H1591" s="20">
        <f>SUM(H1592)</f>
        <v>60</v>
      </c>
      <c r="I1591" s="20" t="e">
        <f t="shared" si="49"/>
        <v>#DIV/0!</v>
      </c>
    </row>
    <row r="1592" spans="1:9" ht="11.25" customHeight="1" hidden="1">
      <c r="A1592" s="110" t="s">
        <v>932</v>
      </c>
      <c r="B1592" s="167"/>
      <c r="C1592" s="159" t="s">
        <v>1</v>
      </c>
      <c r="D1592" s="159" t="s">
        <v>601</v>
      </c>
      <c r="E1592" s="159" t="s">
        <v>759</v>
      </c>
      <c r="F1592" s="157" t="s">
        <v>933</v>
      </c>
      <c r="G1592" s="91"/>
      <c r="H1592" s="20">
        <v>60</v>
      </c>
      <c r="I1592" s="20" t="e">
        <f t="shared" si="49"/>
        <v>#DIV/0!</v>
      </c>
    </row>
    <row r="1593" spans="1:9" ht="42.75" hidden="1">
      <c r="A1593" s="106" t="s">
        <v>418</v>
      </c>
      <c r="B1593" s="155"/>
      <c r="C1593" s="159" t="s">
        <v>1</v>
      </c>
      <c r="D1593" s="159" t="s">
        <v>601</v>
      </c>
      <c r="E1593" s="159" t="s">
        <v>914</v>
      </c>
      <c r="F1593" s="157" t="s">
        <v>915</v>
      </c>
      <c r="G1593" s="91"/>
      <c r="H1593" s="20">
        <f>SUM(H1594)</f>
        <v>34637.7</v>
      </c>
      <c r="I1593" s="20">
        <f t="shared" si="49"/>
        <v>5428.255759285377</v>
      </c>
    </row>
    <row r="1594" spans="1:9" ht="14.25" customHeight="1">
      <c r="A1594" s="108" t="s">
        <v>921</v>
      </c>
      <c r="B1594" s="155"/>
      <c r="C1594" s="159" t="s">
        <v>1</v>
      </c>
      <c r="D1594" s="159" t="s">
        <v>625</v>
      </c>
      <c r="E1594" s="159"/>
      <c r="F1594" s="157"/>
      <c r="G1594" s="91">
        <f>SUM(G1597+G1603+G1595)</f>
        <v>638.1</v>
      </c>
      <c r="H1594" s="20">
        <f>SUM(H1595:H1596)</f>
        <v>34637.7</v>
      </c>
      <c r="I1594" s="20" t="e">
        <f t="shared" si="49"/>
        <v>#DIV/0!</v>
      </c>
    </row>
    <row r="1595" spans="1:9" ht="18.75" customHeight="1" hidden="1">
      <c r="A1595" s="108" t="s">
        <v>128</v>
      </c>
      <c r="B1595" s="155"/>
      <c r="C1595" s="159" t="s">
        <v>1</v>
      </c>
      <c r="D1595" s="159" t="s">
        <v>625</v>
      </c>
      <c r="E1595" s="159" t="s">
        <v>129</v>
      </c>
      <c r="F1595" s="157"/>
      <c r="G1595" s="91">
        <f>SUM(G1596)</f>
        <v>0</v>
      </c>
      <c r="H1595" s="20">
        <v>34637.7</v>
      </c>
      <c r="I1595" s="20" t="e">
        <f t="shared" si="49"/>
        <v>#DIV/0!</v>
      </c>
    </row>
    <row r="1596" spans="1:9" ht="19.5" customHeight="1" hidden="1">
      <c r="A1596" s="108" t="s">
        <v>932</v>
      </c>
      <c r="B1596" s="155"/>
      <c r="C1596" s="159" t="s">
        <v>1</v>
      </c>
      <c r="D1596" s="159" t="s">
        <v>625</v>
      </c>
      <c r="E1596" s="159" t="s">
        <v>129</v>
      </c>
      <c r="F1596" s="157" t="s">
        <v>933</v>
      </c>
      <c r="G1596" s="91"/>
      <c r="H1596" s="20"/>
      <c r="I1596" s="20">
        <f>SUM(H1596/G1602*100)</f>
        <v>0</v>
      </c>
    </row>
    <row r="1597" spans="1:9" ht="16.5" customHeight="1">
      <c r="A1597" s="106" t="s">
        <v>922</v>
      </c>
      <c r="B1597" s="155"/>
      <c r="C1597" s="159" t="s">
        <v>1</v>
      </c>
      <c r="D1597" s="159" t="s">
        <v>625</v>
      </c>
      <c r="E1597" s="159" t="s">
        <v>923</v>
      </c>
      <c r="F1597" s="157"/>
      <c r="G1597" s="91">
        <f>SUM(G1598)+G1600</f>
        <v>638.1</v>
      </c>
      <c r="H1597" s="20">
        <f>SUM(H1598)</f>
        <v>5438.3</v>
      </c>
      <c r="I1597" s="20" t="e">
        <f>SUM(H1597/G1603*100)</f>
        <v>#DIV/0!</v>
      </c>
    </row>
    <row r="1598" spans="1:9" ht="28.5" hidden="1">
      <c r="A1598" s="106" t="s">
        <v>482</v>
      </c>
      <c r="B1598" s="155"/>
      <c r="C1598" s="159" t="s">
        <v>1</v>
      </c>
      <c r="D1598" s="159" t="s">
        <v>625</v>
      </c>
      <c r="E1598" s="159" t="s">
        <v>924</v>
      </c>
      <c r="F1598" s="157"/>
      <c r="G1598" s="91"/>
      <c r="H1598" s="20">
        <f>SUM(H1599)</f>
        <v>5438.3</v>
      </c>
      <c r="I1598" s="20" t="e">
        <f>SUM(H1598/G1604*100)</f>
        <v>#DIV/0!</v>
      </c>
    </row>
    <row r="1599" spans="1:9" ht="15" hidden="1">
      <c r="A1599" s="108" t="s">
        <v>483</v>
      </c>
      <c r="B1599" s="155"/>
      <c r="C1599" s="159" t="s">
        <v>1</v>
      </c>
      <c r="D1599" s="159" t="s">
        <v>625</v>
      </c>
      <c r="E1599" s="159" t="s">
        <v>924</v>
      </c>
      <c r="F1599" s="157" t="s">
        <v>933</v>
      </c>
      <c r="G1599" s="91"/>
      <c r="H1599" s="20">
        <v>5438.3</v>
      </c>
      <c r="I1599" s="20" t="e">
        <f>SUM(H1599/G1605*100)</f>
        <v>#DIV/0!</v>
      </c>
    </row>
    <row r="1600" spans="1:9" ht="18" customHeight="1">
      <c r="A1600" s="106" t="s">
        <v>588</v>
      </c>
      <c r="B1600" s="155"/>
      <c r="C1600" s="159" t="s">
        <v>1</v>
      </c>
      <c r="D1600" s="159" t="s">
        <v>625</v>
      </c>
      <c r="E1600" s="159" t="s">
        <v>323</v>
      </c>
      <c r="F1600" s="157"/>
      <c r="G1600" s="91">
        <f>SUM(G1605:G1606)+G1601</f>
        <v>638.1</v>
      </c>
      <c r="H1600" s="20"/>
      <c r="I1600" s="20"/>
    </row>
    <row r="1601" spans="1:9" ht="28.5">
      <c r="A1601" s="108" t="s">
        <v>10</v>
      </c>
      <c r="B1601" s="155"/>
      <c r="C1601" s="159" t="s">
        <v>1</v>
      </c>
      <c r="D1601" s="159" t="s">
        <v>625</v>
      </c>
      <c r="E1601" s="159" t="s">
        <v>324</v>
      </c>
      <c r="F1601" s="157"/>
      <c r="G1601" s="91">
        <f>SUM(G1602)</f>
        <v>638.1</v>
      </c>
      <c r="H1601" s="20"/>
      <c r="I1601" s="20"/>
    </row>
    <row r="1602" spans="1:9" ht="42" customHeight="1">
      <c r="A1602" s="108" t="s">
        <v>363</v>
      </c>
      <c r="B1602" s="155"/>
      <c r="C1602" s="159" t="s">
        <v>1</v>
      </c>
      <c r="D1602" s="159" t="s">
        <v>625</v>
      </c>
      <c r="E1602" s="159" t="s">
        <v>325</v>
      </c>
      <c r="F1602" s="157" t="s">
        <v>875</v>
      </c>
      <c r="G1602" s="91">
        <v>638.1</v>
      </c>
      <c r="H1602" s="20">
        <f>SUM(H1603)</f>
        <v>0</v>
      </c>
      <c r="I1602" s="20" t="e">
        <f t="shared" si="49"/>
        <v>#DIV/0!</v>
      </c>
    </row>
    <row r="1603" spans="1:9" ht="12.75" customHeight="1" hidden="1">
      <c r="A1603" s="109" t="s">
        <v>61</v>
      </c>
      <c r="B1603" s="155"/>
      <c r="C1603" s="159" t="s">
        <v>1</v>
      </c>
      <c r="D1603" s="159" t="s">
        <v>625</v>
      </c>
      <c r="E1603" s="159" t="s">
        <v>62</v>
      </c>
      <c r="F1603" s="157"/>
      <c r="G1603" s="91">
        <f>SUM(G1604)</f>
        <v>0</v>
      </c>
      <c r="H1603" s="20"/>
      <c r="I1603" s="20" t="e">
        <f t="shared" si="49"/>
        <v>#DIV/0!</v>
      </c>
    </row>
    <row r="1604" spans="1:9" ht="18" customHeight="1" hidden="1">
      <c r="A1604" s="133" t="s">
        <v>421</v>
      </c>
      <c r="B1604" s="155"/>
      <c r="C1604" s="159" t="s">
        <v>1</v>
      </c>
      <c r="D1604" s="159" t="s">
        <v>625</v>
      </c>
      <c r="E1604" s="159" t="s">
        <v>918</v>
      </c>
      <c r="F1604" s="157"/>
      <c r="G1604" s="91">
        <f>SUM(G1605)</f>
        <v>0</v>
      </c>
      <c r="H1604" s="20" t="e">
        <f>SUM(H1607+H1611+#REF!+H1616)</f>
        <v>#REF!</v>
      </c>
      <c r="I1604" s="20" t="e">
        <f t="shared" si="49"/>
        <v>#REF!</v>
      </c>
    </row>
    <row r="1605" spans="1:9" ht="47.25" customHeight="1" hidden="1">
      <c r="A1605" s="108" t="s">
        <v>483</v>
      </c>
      <c r="B1605" s="155"/>
      <c r="C1605" s="159" t="s">
        <v>1</v>
      </c>
      <c r="D1605" s="159" t="s">
        <v>625</v>
      </c>
      <c r="E1605" s="159" t="s">
        <v>918</v>
      </c>
      <c r="F1605" s="157" t="s">
        <v>933</v>
      </c>
      <c r="G1605" s="91"/>
      <c r="H1605" s="20"/>
      <c r="I1605" s="20"/>
    </row>
    <row r="1606" spans="1:9" ht="18" customHeight="1" hidden="1">
      <c r="A1606" s="133" t="s">
        <v>340</v>
      </c>
      <c r="B1606" s="155"/>
      <c r="C1606" s="159" t="s">
        <v>1</v>
      </c>
      <c r="D1606" s="159" t="s">
        <v>237</v>
      </c>
      <c r="E1606" s="159" t="s">
        <v>968</v>
      </c>
      <c r="F1606" s="156"/>
      <c r="G1606" s="91">
        <f>SUM(G1607)</f>
        <v>0</v>
      </c>
      <c r="H1606" s="20"/>
      <c r="I1606" s="20"/>
    </row>
    <row r="1607" spans="1:9" ht="28.5" hidden="1">
      <c r="A1607" s="106" t="s">
        <v>90</v>
      </c>
      <c r="B1607" s="155"/>
      <c r="C1607" s="159" t="s">
        <v>1</v>
      </c>
      <c r="D1607" s="159" t="s">
        <v>237</v>
      </c>
      <c r="E1607" s="159" t="s">
        <v>968</v>
      </c>
      <c r="F1607" s="156" t="s">
        <v>969</v>
      </c>
      <c r="G1607" s="91"/>
      <c r="H1607" s="20">
        <f>SUM(H1608)</f>
        <v>6864.8</v>
      </c>
      <c r="I1607" s="20">
        <f aca="true" t="shared" si="50" ref="I1607:I1619">SUM(H1607/G1611*100)</f>
        <v>54.768990194748724</v>
      </c>
    </row>
    <row r="1608" spans="1:9" ht="17.25" customHeight="1">
      <c r="A1608" s="131" t="s">
        <v>908</v>
      </c>
      <c r="B1608" s="159"/>
      <c r="C1608" s="159" t="s">
        <v>1</v>
      </c>
      <c r="D1608" s="159" t="s">
        <v>1</v>
      </c>
      <c r="E1608" s="159"/>
      <c r="F1608" s="157"/>
      <c r="G1608" s="91">
        <f>SUM(G1611+G1615+G1620)+G1609</f>
        <v>57299.6</v>
      </c>
      <c r="H1608" s="20">
        <f>SUM(H1609:H1610)</f>
        <v>6864.8</v>
      </c>
      <c r="I1608" s="20">
        <f t="shared" si="50"/>
        <v>54.768990194748724</v>
      </c>
    </row>
    <row r="1609" spans="1:9" ht="17.25" customHeight="1" hidden="1">
      <c r="A1609" s="131" t="s">
        <v>847</v>
      </c>
      <c r="B1609" s="159"/>
      <c r="C1609" s="159" t="s">
        <v>1</v>
      </c>
      <c r="D1609" s="159" t="s">
        <v>1</v>
      </c>
      <c r="E1609" s="159" t="s">
        <v>848</v>
      </c>
      <c r="F1609" s="157"/>
      <c r="G1609" s="91">
        <f>SUM(G1610)</f>
        <v>0</v>
      </c>
      <c r="H1609" s="20">
        <v>6864.8</v>
      </c>
      <c r="I1609" s="20">
        <f t="shared" si="50"/>
        <v>54.768990194748724</v>
      </c>
    </row>
    <row r="1610" spans="1:9" ht="15" hidden="1">
      <c r="A1610" s="108" t="s">
        <v>711</v>
      </c>
      <c r="B1610" s="159"/>
      <c r="C1610" s="159" t="s">
        <v>1</v>
      </c>
      <c r="D1610" s="159" t="s">
        <v>1</v>
      </c>
      <c r="E1610" s="159" t="s">
        <v>848</v>
      </c>
      <c r="F1610" s="157" t="s">
        <v>566</v>
      </c>
      <c r="G1610" s="91"/>
      <c r="H1610" s="20"/>
      <c r="I1610" s="20" t="e">
        <f t="shared" si="50"/>
        <v>#DIV/0!</v>
      </c>
    </row>
    <row r="1611" spans="1:9" ht="28.5">
      <c r="A1611" s="131" t="s">
        <v>755</v>
      </c>
      <c r="B1611" s="155"/>
      <c r="C1611" s="159" t="s">
        <v>1</v>
      </c>
      <c r="D1611" s="159" t="s">
        <v>1</v>
      </c>
      <c r="E1611" s="159" t="s">
        <v>756</v>
      </c>
      <c r="F1611" s="157"/>
      <c r="G1611" s="91">
        <f>SUM(G1612)</f>
        <v>12534.1</v>
      </c>
      <c r="H1611" s="20">
        <f>SUM(H1612+H1614)</f>
        <v>0</v>
      </c>
      <c r="I1611" s="20" t="e">
        <f t="shared" si="50"/>
        <v>#DIV/0!</v>
      </c>
    </row>
    <row r="1612" spans="1:9" ht="28.5">
      <c r="A1612" s="106" t="s">
        <v>482</v>
      </c>
      <c r="B1612" s="155"/>
      <c r="C1612" s="159" t="s">
        <v>1</v>
      </c>
      <c r="D1612" s="159" t="s">
        <v>1</v>
      </c>
      <c r="E1612" s="159" t="s">
        <v>757</v>
      </c>
      <c r="F1612" s="157"/>
      <c r="G1612" s="91">
        <f>SUM(G1613:G1614)</f>
        <v>12534.1</v>
      </c>
      <c r="H1612" s="20">
        <f>SUM(H1613)</f>
        <v>0</v>
      </c>
      <c r="I1612" s="20" t="e">
        <f t="shared" si="50"/>
        <v>#DIV/0!</v>
      </c>
    </row>
    <row r="1613" spans="1:9" ht="15">
      <c r="A1613" s="108" t="s">
        <v>483</v>
      </c>
      <c r="B1613" s="155"/>
      <c r="C1613" s="159" t="s">
        <v>1</v>
      </c>
      <c r="D1613" s="159" t="s">
        <v>1</v>
      </c>
      <c r="E1613" s="159" t="s">
        <v>757</v>
      </c>
      <c r="F1613" s="157" t="s">
        <v>933</v>
      </c>
      <c r="G1613" s="91">
        <v>12534.1</v>
      </c>
      <c r="H1613" s="20"/>
      <c r="I1613" s="20" t="e">
        <f t="shared" si="50"/>
        <v>#DIV/0!</v>
      </c>
    </row>
    <row r="1614" spans="1:9" ht="42.75" hidden="1">
      <c r="A1614" s="106" t="s">
        <v>418</v>
      </c>
      <c r="B1614" s="155"/>
      <c r="C1614" s="159" t="s">
        <v>1</v>
      </c>
      <c r="D1614" s="159" t="s">
        <v>1</v>
      </c>
      <c r="E1614" s="159" t="s">
        <v>757</v>
      </c>
      <c r="F1614" s="157" t="s">
        <v>915</v>
      </c>
      <c r="G1614" s="91"/>
      <c r="H1614" s="20">
        <f>SUM(H1615)</f>
        <v>0</v>
      </c>
      <c r="I1614" s="20" t="e">
        <f t="shared" si="50"/>
        <v>#DIV/0!</v>
      </c>
    </row>
    <row r="1615" spans="1:9" ht="29.25" customHeight="1" hidden="1">
      <c r="A1615" s="106" t="s">
        <v>340</v>
      </c>
      <c r="B1615" s="155"/>
      <c r="C1615" s="159" t="s">
        <v>1</v>
      </c>
      <c r="D1615" s="159" t="s">
        <v>1</v>
      </c>
      <c r="E1615" s="159" t="s">
        <v>341</v>
      </c>
      <c r="F1615" s="157"/>
      <c r="G1615" s="91">
        <f>SUM(G1616+G1618)</f>
        <v>0</v>
      </c>
      <c r="H1615" s="20"/>
      <c r="I1615" s="20" t="e">
        <f t="shared" si="50"/>
        <v>#DIV/0!</v>
      </c>
    </row>
    <row r="1616" spans="1:9" ht="23.25" customHeight="1" hidden="1">
      <c r="A1616" s="108" t="s">
        <v>420</v>
      </c>
      <c r="B1616" s="120"/>
      <c r="C1616" s="159" t="s">
        <v>1</v>
      </c>
      <c r="D1616" s="159" t="s">
        <v>1</v>
      </c>
      <c r="E1616" s="159" t="s">
        <v>1010</v>
      </c>
      <c r="F1616" s="158"/>
      <c r="G1616" s="91">
        <f>SUM(G1617)</f>
        <v>0</v>
      </c>
      <c r="H1616" s="20">
        <f>SUM(H1617)</f>
        <v>1831.4</v>
      </c>
      <c r="I1616" s="20">
        <f t="shared" si="50"/>
        <v>4.091096938490579</v>
      </c>
    </row>
    <row r="1617" spans="1:9" ht="19.5" customHeight="1" hidden="1">
      <c r="A1617" s="106" t="s">
        <v>90</v>
      </c>
      <c r="B1617" s="120"/>
      <c r="C1617" s="159" t="s">
        <v>1</v>
      </c>
      <c r="D1617" s="159" t="s">
        <v>1</v>
      </c>
      <c r="E1617" s="159" t="s">
        <v>1010</v>
      </c>
      <c r="F1617" s="158" t="s">
        <v>1009</v>
      </c>
      <c r="G1617" s="91"/>
      <c r="H1617" s="20">
        <f>SUM(H1619:H1632)</f>
        <v>1831.4</v>
      </c>
      <c r="I1617" s="20" t="e">
        <f t="shared" si="50"/>
        <v>#DIV/0!</v>
      </c>
    </row>
    <row r="1618" spans="1:9" ht="28.5" hidden="1">
      <c r="A1618" s="106" t="s">
        <v>900</v>
      </c>
      <c r="B1618" s="155"/>
      <c r="C1618" s="159" t="s">
        <v>1</v>
      </c>
      <c r="D1618" s="159" t="s">
        <v>1</v>
      </c>
      <c r="E1618" s="159" t="s">
        <v>901</v>
      </c>
      <c r="F1618" s="157"/>
      <c r="G1618" s="91">
        <f>SUM(G1619)</f>
        <v>0</v>
      </c>
      <c r="H1618" s="20"/>
      <c r="I1618" s="20" t="e">
        <f t="shared" si="50"/>
        <v>#DIV/0!</v>
      </c>
    </row>
    <row r="1619" spans="1:9" ht="19.5" customHeight="1" hidden="1">
      <c r="A1619" s="106" t="s">
        <v>90</v>
      </c>
      <c r="B1619" s="155"/>
      <c r="C1619" s="159" t="s">
        <v>1</v>
      </c>
      <c r="D1619" s="159" t="s">
        <v>1</v>
      </c>
      <c r="E1619" s="159" t="s">
        <v>901</v>
      </c>
      <c r="F1619" s="157" t="s">
        <v>1009</v>
      </c>
      <c r="G1619" s="91"/>
      <c r="H1619" s="27"/>
      <c r="I1619" s="20" t="e">
        <f t="shared" si="50"/>
        <v>#DIV/0!</v>
      </c>
    </row>
    <row r="1620" spans="1:9" ht="19.5" customHeight="1">
      <c r="A1620" s="108" t="s">
        <v>634</v>
      </c>
      <c r="B1620" s="159"/>
      <c r="C1620" s="159" t="s">
        <v>1</v>
      </c>
      <c r="D1620" s="159" t="s">
        <v>1</v>
      </c>
      <c r="E1620" s="159" t="s">
        <v>635</v>
      </c>
      <c r="F1620" s="157"/>
      <c r="G1620" s="91">
        <f>SUM(G1621+G1625)+G1627+G1629+G1631</f>
        <v>44765.5</v>
      </c>
      <c r="H1620" s="27"/>
      <c r="I1620" s="20"/>
    </row>
    <row r="1621" spans="1:9" ht="32.25" customHeight="1" hidden="1">
      <c r="A1621" s="106" t="s">
        <v>49</v>
      </c>
      <c r="B1621" s="159"/>
      <c r="C1621" s="159" t="s">
        <v>1</v>
      </c>
      <c r="D1621" s="159" t="s">
        <v>1</v>
      </c>
      <c r="E1621" s="159" t="s">
        <v>635</v>
      </c>
      <c r="F1621" s="157" t="s">
        <v>1009</v>
      </c>
      <c r="G1621" s="91"/>
      <c r="H1621" s="27"/>
      <c r="I1621" s="20"/>
    </row>
    <row r="1622" spans="1:9" ht="18" customHeight="1" hidden="1">
      <c r="A1622" s="106" t="s">
        <v>902</v>
      </c>
      <c r="B1622" s="195"/>
      <c r="C1622" s="159" t="s">
        <v>1</v>
      </c>
      <c r="D1622" s="159" t="s">
        <v>1</v>
      </c>
      <c r="E1622" s="159" t="s">
        <v>903</v>
      </c>
      <c r="F1622" s="157"/>
      <c r="G1622" s="91"/>
      <c r="H1622" s="20">
        <v>340</v>
      </c>
      <c r="I1622" s="20" t="e">
        <f>SUM(H1622/G1626*100)</f>
        <v>#DIV/0!</v>
      </c>
    </row>
    <row r="1623" spans="1:9" ht="33" customHeight="1" hidden="1">
      <c r="A1623" s="106" t="s">
        <v>902</v>
      </c>
      <c r="B1623" s="195"/>
      <c r="C1623" s="159" t="s">
        <v>1</v>
      </c>
      <c r="D1623" s="159" t="s">
        <v>1</v>
      </c>
      <c r="E1623" s="159" t="s">
        <v>903</v>
      </c>
      <c r="F1623" s="157" t="s">
        <v>1009</v>
      </c>
      <c r="G1623" s="92"/>
      <c r="H1623" s="27">
        <v>1424.2</v>
      </c>
      <c r="I1623" s="20">
        <f>SUM(H1623/G1627*100)</f>
        <v>223.93081761006292</v>
      </c>
    </row>
    <row r="1624" spans="1:9" ht="27" customHeight="1" hidden="1">
      <c r="A1624" s="106" t="s">
        <v>1036</v>
      </c>
      <c r="B1624" s="195"/>
      <c r="C1624" s="159" t="s">
        <v>1</v>
      </c>
      <c r="D1624" s="159" t="s">
        <v>1</v>
      </c>
      <c r="E1624" s="159" t="s">
        <v>1037</v>
      </c>
      <c r="F1624" s="157" t="s">
        <v>1009</v>
      </c>
      <c r="G1624" s="92"/>
      <c r="H1624" s="27"/>
      <c r="I1624" s="20"/>
    </row>
    <row r="1625" spans="1:9" ht="30.75" customHeight="1" hidden="1">
      <c r="A1625" s="106" t="s">
        <v>422</v>
      </c>
      <c r="B1625" s="195"/>
      <c r="C1625" s="159" t="s">
        <v>1</v>
      </c>
      <c r="D1625" s="159" t="s">
        <v>1</v>
      </c>
      <c r="E1625" s="159" t="s">
        <v>155</v>
      </c>
      <c r="F1625" s="157"/>
      <c r="G1625" s="92">
        <f>SUM(G1626)</f>
        <v>0</v>
      </c>
      <c r="H1625" s="27">
        <v>67.2</v>
      </c>
      <c r="I1625" s="20">
        <f>SUM(H1625/G1629*100)</f>
        <v>13.521126760563382</v>
      </c>
    </row>
    <row r="1626" spans="1:9" ht="21" customHeight="1" hidden="1">
      <c r="A1626" s="108" t="s">
        <v>711</v>
      </c>
      <c r="B1626" s="155"/>
      <c r="C1626" s="159" t="s">
        <v>1</v>
      </c>
      <c r="D1626" s="159" t="s">
        <v>1</v>
      </c>
      <c r="E1626" s="159" t="s">
        <v>155</v>
      </c>
      <c r="F1626" s="158" t="s">
        <v>566</v>
      </c>
      <c r="G1626" s="91"/>
      <c r="H1626" s="27"/>
      <c r="I1626" s="20"/>
    </row>
    <row r="1627" spans="1:9" ht="43.5" customHeight="1">
      <c r="A1627" s="128" t="s">
        <v>289</v>
      </c>
      <c r="B1627" s="171"/>
      <c r="C1627" s="171" t="s">
        <v>1</v>
      </c>
      <c r="D1627" s="159" t="s">
        <v>1</v>
      </c>
      <c r="E1627" s="171" t="s">
        <v>93</v>
      </c>
      <c r="F1627" s="161"/>
      <c r="G1627" s="92">
        <f>SUM(G1628)</f>
        <v>636</v>
      </c>
      <c r="H1627" s="27"/>
      <c r="I1627" s="20"/>
    </row>
    <row r="1628" spans="1:9" ht="22.5" customHeight="1">
      <c r="A1628" s="108" t="s">
        <v>711</v>
      </c>
      <c r="B1628" s="171"/>
      <c r="C1628" s="171" t="s">
        <v>1</v>
      </c>
      <c r="D1628" s="159" t="s">
        <v>1</v>
      </c>
      <c r="E1628" s="171" t="s">
        <v>93</v>
      </c>
      <c r="F1628" s="158" t="s">
        <v>566</v>
      </c>
      <c r="G1628" s="92">
        <f>1136-500</f>
        <v>636</v>
      </c>
      <c r="H1628" s="27"/>
      <c r="I1628" s="20"/>
    </row>
    <row r="1629" spans="1:9" ht="35.25" customHeight="1">
      <c r="A1629" s="128" t="s">
        <v>290</v>
      </c>
      <c r="B1629" s="171"/>
      <c r="C1629" s="171" t="s">
        <v>1</v>
      </c>
      <c r="D1629" s="159" t="s">
        <v>1</v>
      </c>
      <c r="E1629" s="171" t="s">
        <v>94</v>
      </c>
      <c r="F1629" s="161"/>
      <c r="G1629" s="92">
        <f>SUM(G1630)</f>
        <v>497</v>
      </c>
      <c r="H1629" s="27"/>
      <c r="I1629" s="20" t="e">
        <f>SUM(H1629/G1633*100)</f>
        <v>#DIV/0!</v>
      </c>
    </row>
    <row r="1630" spans="1:9" ht="19.5" customHeight="1">
      <c r="A1630" s="108" t="s">
        <v>711</v>
      </c>
      <c r="B1630" s="171"/>
      <c r="C1630" s="171" t="s">
        <v>1</v>
      </c>
      <c r="D1630" s="159" t="s">
        <v>1</v>
      </c>
      <c r="E1630" s="171" t="s">
        <v>94</v>
      </c>
      <c r="F1630" s="158" t="s">
        <v>566</v>
      </c>
      <c r="G1630" s="92">
        <v>497</v>
      </c>
      <c r="H1630" s="27"/>
      <c r="I1630" s="20" t="e">
        <f>SUM(H1630/G1634*100)</f>
        <v>#DIV/0!</v>
      </c>
    </row>
    <row r="1631" spans="1:9" ht="47.25" customHeight="1">
      <c r="A1631" s="108" t="s">
        <v>291</v>
      </c>
      <c r="B1631" s="171"/>
      <c r="C1631" s="171" t="s">
        <v>1</v>
      </c>
      <c r="D1631" s="159" t="s">
        <v>1</v>
      </c>
      <c r="E1631" s="171" t="s">
        <v>692</v>
      </c>
      <c r="F1631" s="158"/>
      <c r="G1631" s="92">
        <f>SUM(G1632)</f>
        <v>43632.5</v>
      </c>
      <c r="H1631" s="27"/>
      <c r="I1631" s="20" t="e">
        <f>SUM(H1631/G1635*100)</f>
        <v>#DIV/0!</v>
      </c>
    </row>
    <row r="1632" spans="1:9" ht="19.5" customHeight="1" thickBot="1">
      <c r="A1632" s="108" t="s">
        <v>711</v>
      </c>
      <c r="B1632" s="171"/>
      <c r="C1632" s="171" t="s">
        <v>1</v>
      </c>
      <c r="D1632" s="159" t="s">
        <v>1</v>
      </c>
      <c r="E1632" s="171" t="s">
        <v>692</v>
      </c>
      <c r="F1632" s="158" t="s">
        <v>566</v>
      </c>
      <c r="G1632" s="92">
        <v>43632.5</v>
      </c>
      <c r="H1632" s="85"/>
      <c r="I1632" s="43" t="e">
        <f>SUM(H1632/G1636*100)</f>
        <v>#DIV/0!</v>
      </c>
    </row>
    <row r="1633" spans="1:9" ht="30" customHeight="1" hidden="1" thickBot="1">
      <c r="A1633" s="128" t="s">
        <v>95</v>
      </c>
      <c r="B1633" s="171"/>
      <c r="C1633" s="171" t="s">
        <v>1</v>
      </c>
      <c r="D1633" s="171" t="s">
        <v>348</v>
      </c>
      <c r="E1633" s="171" t="s">
        <v>546</v>
      </c>
      <c r="F1633" s="161" t="s">
        <v>1009</v>
      </c>
      <c r="G1633" s="92"/>
      <c r="H1633" s="45" t="e">
        <f>SUM(H11+H41+H235+H669+H706+H985+H1170+H1193+H1429+H1524)</f>
        <v>#REF!</v>
      </c>
      <c r="I1633" s="46" t="e">
        <f>SUM(H1633/G1637*100)</f>
        <v>#REF!</v>
      </c>
    </row>
    <row r="1634" spans="1:9" ht="29.25" hidden="1" thickBot="1">
      <c r="A1634" s="128" t="s">
        <v>547</v>
      </c>
      <c r="B1634" s="171"/>
      <c r="C1634" s="171" t="s">
        <v>1</v>
      </c>
      <c r="D1634" s="171" t="s">
        <v>348</v>
      </c>
      <c r="E1634" s="171" t="s">
        <v>548</v>
      </c>
      <c r="F1634" s="161" t="s">
        <v>1009</v>
      </c>
      <c r="G1634" s="92"/>
      <c r="H1634" s="57">
        <f>-76000-174.5-350</f>
        <v>-76524.5</v>
      </c>
      <c r="I1634" s="57">
        <f>-76000-174.5-350</f>
        <v>-76524.5</v>
      </c>
    </row>
    <row r="1635" spans="1:7" ht="11.25" customHeight="1" hidden="1" thickBot="1">
      <c r="A1635" s="109" t="s">
        <v>96</v>
      </c>
      <c r="B1635" s="171"/>
      <c r="C1635" s="171" t="s">
        <v>1</v>
      </c>
      <c r="D1635" s="171" t="s">
        <v>348</v>
      </c>
      <c r="E1635" s="171" t="s">
        <v>97</v>
      </c>
      <c r="F1635" s="161" t="s">
        <v>1009</v>
      </c>
      <c r="G1635" s="92"/>
    </row>
    <row r="1636" spans="1:7" ht="43.5" hidden="1" thickBot="1">
      <c r="A1636" s="196" t="s">
        <v>772</v>
      </c>
      <c r="B1636" s="197"/>
      <c r="C1636" s="197" t="s">
        <v>1</v>
      </c>
      <c r="D1636" s="197" t="s">
        <v>348</v>
      </c>
      <c r="E1636" s="197" t="s">
        <v>773</v>
      </c>
      <c r="F1636" s="198" t="s">
        <v>1009</v>
      </c>
      <c r="G1636" s="210"/>
    </row>
    <row r="1637" spans="1:7" ht="30" customHeight="1" thickBot="1">
      <c r="A1637" s="144" t="s">
        <v>738</v>
      </c>
      <c r="B1637" s="199"/>
      <c r="C1637" s="200"/>
      <c r="D1637" s="200"/>
      <c r="E1637" s="200"/>
      <c r="F1637" s="201"/>
      <c r="G1637" s="211">
        <f>SUM(G11+G41+G235+G669+G706+G985+G1170+G1193+G1433+G1528+G1077+G57)</f>
        <v>2990707.1999999997</v>
      </c>
    </row>
    <row r="1638" spans="1:7" ht="26.25" hidden="1" thickBot="1">
      <c r="A1638" s="119" t="s">
        <v>739</v>
      </c>
      <c r="B1638" s="86"/>
      <c r="C1638" s="87"/>
      <c r="D1638" s="86"/>
      <c r="E1638" s="86"/>
      <c r="F1638" s="88"/>
      <c r="G1638" s="57">
        <f>-76000-174.5-350</f>
        <v>-76524.5</v>
      </c>
    </row>
    <row r="1639" ht="12.75">
      <c r="G1639" s="112"/>
    </row>
    <row r="1640" ht="12.75" hidden="1">
      <c r="G1640" s="113">
        <f>SUM(3354713.1+75126)</f>
        <v>3429839.1</v>
      </c>
    </row>
    <row r="1641" ht="12.75" hidden="1"/>
    <row r="1642" ht="12.75" hidden="1">
      <c r="G1642" s="113">
        <f>SUM(G1637-G1640)</f>
        <v>-439131.9000000004</v>
      </c>
    </row>
    <row r="1643" ht="12.75" hidden="1">
      <c r="G1643" s="150">
        <f>SUM(G1637-2951239.5)</f>
        <v>39467.69999999972</v>
      </c>
    </row>
    <row r="1644" ht="12.75" hidden="1"/>
    <row r="1645" ht="12.75">
      <c r="G1645" s="150"/>
    </row>
  </sheetData>
  <sheetProtection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59" r:id="rId1"/>
  <ignoredErrors>
    <ignoredError sqref="B11 C12:C14 D13:D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user</cp:lastModifiedBy>
  <cp:lastPrinted>2013-04-24T05:31:49Z</cp:lastPrinted>
  <dcterms:created xsi:type="dcterms:W3CDTF">2010-10-13T06:28:56Z</dcterms:created>
  <dcterms:modified xsi:type="dcterms:W3CDTF">2013-04-26T06:20:18Z</dcterms:modified>
  <cp:category/>
  <cp:version/>
  <cp:contentType/>
  <cp:contentStatus/>
</cp:coreProperties>
</file>