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firstSheet="3" activeTab="6"/>
  </bookViews>
  <sheets>
    <sheet name="Перечень ГАД" sheetId="1" r:id="rId1"/>
    <sheet name="функцион.2012" sheetId="2" r:id="rId2"/>
    <sheet name="ведомствен.2012" sheetId="3" r:id="rId3"/>
    <sheet name="Источники 2012" sheetId="4" r:id="rId4"/>
    <sheet name="Прогр.заимств." sheetId="5" r:id="rId5"/>
    <sheet name="прогр.заимств.2013-2014" sheetId="6" r:id="rId6"/>
    <sheet name="источники 2013-2014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<sst xmlns="http://schemas.openxmlformats.org/spreadsheetml/2006/main" count="12430" uniqueCount="1346">
  <si>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</si>
  <si>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</si>
  <si>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</si>
  <si>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</si>
  <si>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</si>
  <si>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</si>
  <si>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</si>
  <si>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</si>
  <si>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</si>
  <si>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</si>
  <si>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rFont val="Arial"/>
        <family val="2"/>
      </rPr>
      <t>*</t>
    </r>
  </si>
  <si>
    <t>019</t>
  </si>
  <si>
    <r>
      <t>Министерство промышленности и природных ресурсов Челябинской области</t>
    </r>
    <r>
      <rPr>
        <b/>
        <sz val="14"/>
        <rFont val="Arial"/>
        <family val="2"/>
      </rPr>
      <t xml:space="preserve"> *</t>
    </r>
  </si>
  <si>
    <t>1 16 25010 01 0000 140</t>
  </si>
  <si>
    <t>Денежные взыскания (штрафы) за нарушение законодательства Российской Федерации о недрах</t>
  </si>
  <si>
    <t>034</t>
  </si>
  <si>
    <r>
      <t xml:space="preserve">Главное контрольное управление Челябинской области </t>
    </r>
    <r>
      <rPr>
        <b/>
        <sz val="14"/>
        <rFont val="Arial"/>
        <family val="2"/>
      </rPr>
      <t>*</t>
    </r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</si>
  <si>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</si>
  <si>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</si>
  <si>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Министерства внутренних дел Российской Федерации по Челябинской области
(Отдел Министерства внутренних дел Российской Федерации 
по городу Миассу Челябинской области)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</si>
  <si>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</si>
  <si>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</si>
  <si>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1 16 25083 04 0000 140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</si>
  <si>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</si>
  <si>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 о  возмещении  вреда, причиненного    окружающей     среде, подлежащие   зачислению   в   бюджеты городских округов</t>
  </si>
  <si>
    <t>1 08 07083 01 0000 110</t>
  </si>
  <si>
    <t>Государственная пошлина за совершение действий, связанных с лицензированием, с проведением аттестации в  случаях, если такая аттестация предусмотрена законодательством Российской  Федерации, зачисляемая в бюджеты городских округов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</si>
  <si>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</si>
  <si>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</si>
  <si>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</si>
  <si>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</si>
  <si>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2 02 02088 04 0002 151</t>
  </si>
  <si>
    <r>
  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</t>
    </r>
    <r>
      <rPr>
        <sz val="10"/>
        <color indexed="10"/>
        <rFont val="Arial"/>
        <family val="2"/>
      </rPr>
      <t>а</t>
    </r>
    <r>
      <rPr>
        <sz val="10"/>
        <rFont val="Arial"/>
        <family val="2"/>
      </rPr>
      <t xml:space="preserve"> содействия  реформированию  жилищно-коммунального хозяйства                            </t>
    </r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</si>
  <si>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</si>
  <si>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</si>
  <si>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</si>
  <si>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</si>
  <si>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</si>
  <si>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</si>
  <si>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</si>
  <si>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</si>
  <si>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</si>
  <si>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</si>
  <si>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</si>
  <si>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</si>
  <si>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</si>
  <si>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</si>
  <si>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</si>
  <si>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</si>
  <si>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</si>
  <si>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</si>
  <si>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</si>
  <si>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</si>
  <si>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</si>
  <si>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</si>
  <si>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</si>
  <si>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</si>
  <si>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</si>
  <si>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</si>
  <si>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</si>
  <si>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</si>
  <si>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</si>
  <si>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</si>
  <si>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</si>
  <si>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</si>
  <si>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</si>
  <si>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r>
      <t xml:space="preserve">Субвенции бюджетам городских округов на содержание ребенка в семье опекуна и приемной семье, а также </t>
    </r>
    <r>
      <rPr>
        <sz val="10"/>
        <rFont val="Arial"/>
        <family val="2"/>
      </rPr>
      <t>вознаграждение, причитающееся приемному родителю</t>
    </r>
  </si>
  <si>
    <t xml:space="preserve">Комитет по управлению имуществом Миасского городского округа 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</si>
  <si>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</si>
  <si>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</si>
  <si>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</si>
  <si>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</si>
  <si>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</si>
  <si>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r>
      <t>Доходы от размещения сумм, аккумулируемых</t>
    </r>
    <r>
      <rPr>
        <sz val="10"/>
        <rFont val="Arial"/>
        <family val="2"/>
      </rPr>
      <t xml:space="preserve"> в ходе проведения аукционов по продаже акций, находящихся в собственности городских округов</t>
    </r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</si>
  <si>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</si>
  <si>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</si>
  <si>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</si>
  <si>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2"/>
      </rPr>
      <t xml:space="preserve"> автономных учреждений) </t>
    </r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</si>
  <si>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</si>
  <si>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</si>
  <si>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</si>
  <si>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</si>
  <si>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</si>
  <si>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</si>
  <si>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</si>
  <si>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</si>
  <si>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</si>
  <si>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2"/>
      </rPr>
      <t xml:space="preserve"> автономных учреждений, а также имущества муниципальных унитарных предприятий, в том числе казенных) </t>
    </r>
  </si>
  <si>
    <t>1 14 01040 04 0000 410</t>
  </si>
  <si>
    <r>
      <t xml:space="preserve">Доходы </t>
    </r>
    <r>
      <rPr>
        <sz val="10"/>
        <rFont val="Arial"/>
        <family val="2"/>
      </rPr>
      <t xml:space="preserve"> от продажи квартир, находящихся в собственности городских округов</t>
    </r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</si>
  <si>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</si>
  <si>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</si>
  <si>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</si>
  <si>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</t>
    </r>
    <r>
      <rPr>
        <sz val="10"/>
        <rFont val="Arial"/>
        <family val="2"/>
      </rPr>
      <t>бюджетных и</t>
    </r>
    <r>
      <rPr>
        <sz val="10"/>
        <rFont val="Arial"/>
        <family val="2"/>
      </rPr>
      <t xml:space="preserve">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</si>
  <si>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</si>
  <si>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</si>
  <si>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</si>
  <si>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</si>
  <si>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</si>
  <si>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</si>
  <si>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1 14 06032 04 0000 430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</si>
  <si>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</si>
  <si>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1 14 07020 04 0000 410</t>
  </si>
  <si>
    <t>Доходы от продажи нежвижимого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</si>
  <si>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2 02 02008 04 0000 151</t>
  </si>
  <si>
    <t>Субсидии бюджетам городских округов на обеспечение жильем молодых семей</t>
  </si>
  <si>
    <t>2 02 02051 04 0000 151</t>
  </si>
  <si>
    <t>Субсидии бюджетам городских округов на реализацию федеральных целевых программ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</si>
  <si>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</si>
  <si>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</si>
  <si>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</si>
  <si>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</si>
  <si>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</si>
  <si>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</si>
  <si>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Управление по физической культуре, спорту, туризму, молодежной политике Администрации Миасского городского округа</t>
  </si>
  <si>
    <t>Муниципальное казенное учреждение Миасского городского округа "Образование"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</si>
  <si>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</si>
  <si>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</si>
  <si>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</si>
  <si>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</si>
  <si>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</si>
  <si>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</si>
  <si>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</si>
  <si>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</si>
  <si>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казенное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</si>
  <si>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</si>
  <si>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</si>
  <si>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</si>
  <si>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</si>
  <si>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Муниципальное казенное учреждение "Управление здравоохранения" 
Миасского городского округа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</si>
  <si>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</si>
  <si>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</si>
  <si>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</si>
  <si>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 в части укрепления материально-технической базы медицинских учреждений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</si>
  <si>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</si>
  <si>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</si>
  <si>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</si>
  <si>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</si>
  <si>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жилищно-коммунального хозяйства, энергетики и транспорта Администрации Миасского городского округа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</si>
  <si>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</si>
  <si>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</si>
  <si>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</si>
  <si>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</si>
  <si>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</si>
  <si>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Фонда содействия реформированию жилищно-коммунального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</si>
  <si>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</si>
  <si>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</si>
  <si>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</si>
  <si>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</si>
  <si>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</si>
  <si>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1 13 01530 04 0000 130</t>
  </si>
  <si>
    <t>Плата за оказание услуг по присоединению объетов дорожного сервиса к автомобильным дорогам общего пользования местного значения, зачисляемая в 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</si>
  <si>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</si>
  <si>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</si>
  <si>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1 13 01994 04 0010 130</t>
  </si>
  <si>
    <t>Прочие доходы от оказания платных услуг (работ) получателями средств бюджетов городских округов (в части средств по родительской плате за содержание детей в дошкольных образовательных учреждениях)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</si>
  <si>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</si>
  <si>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</si>
  <si>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</si>
  <si>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</si>
  <si>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</si>
  <si>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</si>
  <si>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</si>
  <si>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</si>
  <si>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</si>
  <si>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</si>
  <si>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</si>
  <si>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</si>
  <si>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</si>
  <si>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органами местного управления (организациями) городских округов за выполнение определенных функций</t>
  </si>
  <si>
    <t>1 15 03040 04 0000 140</t>
  </si>
  <si>
    <t>Сборы за выдачу лицензий органами местного самоуправления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</si>
  <si>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</si>
  <si>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</si>
  <si>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</si>
  <si>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</si>
  <si>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</si>
  <si>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</si>
  <si>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</si>
  <si>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</si>
  <si>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</si>
  <si>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</si>
  <si>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1 17 05040 04 0000 180</t>
  </si>
  <si>
    <t>Прочие неналоговые доходы бюджетов городских округов</t>
  </si>
  <si>
    <t>1 17 12040 04 0000 180</t>
  </si>
  <si>
    <t>Целевые отчисления от лотерей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</si>
  <si>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</si>
  <si>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</si>
  <si>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</si>
  <si>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</si>
  <si>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</si>
  <si>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</si>
  <si>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</si>
  <si>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</si>
  <si>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</si>
  <si>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</si>
  <si>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</si>
  <si>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</si>
  <si>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2 03 04010 04 0000 180</t>
  </si>
  <si>
    <t>Предоставление государственными (муниципальными) организациями грантов для получателей средств бюджетов городских округов</t>
  </si>
  <si>
    <t>2 03 04020 04 0000 180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</si>
  <si>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</si>
  <si>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2 03 04099 04 0000 180</t>
  </si>
  <si>
    <t>Прочие безвозмездные поступления от государственных (муниципальных) организаций в бюджеты городских округов</t>
  </si>
  <si>
    <t>2 04 04010 04 0000 180</t>
  </si>
  <si>
    <t>Предоставление негосударственными организациями грантов для получателей средств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</si>
  <si>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</si>
  <si>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</si>
  <si>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</si>
  <si>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</si>
  <si>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2 07 04000 04 0000 180</t>
  </si>
  <si>
    <t>Прочие безвозмездные поступления в бюджеты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</si>
  <si>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</si>
  <si>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</si>
  <si>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</si>
  <si>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</si>
  <si>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</si>
  <si>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</si>
  <si>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</si>
  <si>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</si>
  <si>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</si>
  <si>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t xml:space="preserve"> *</t>
    </r>
    <r>
      <rPr>
        <sz val="10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Федерации")</t>
    </r>
  </si>
  <si>
    <t>Приложение №1</t>
  </si>
  <si>
    <t>от 28.12.2012  №1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</si>
  <si>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</si>
  <si>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</si>
  <si>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</si>
  <si>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</si>
  <si>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</si>
  <si>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</si>
  <si>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</si>
  <si>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</si>
  <si>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</si>
  <si>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</si>
  <si>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</si>
  <si>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</si>
  <si>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</si>
  <si>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</si>
  <si>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</si>
  <si>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</si>
  <si>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</si>
  <si>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</si>
  <si>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</si>
  <si>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</si>
  <si>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</si>
  <si>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</si>
  <si>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</si>
  <si>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</si>
  <si>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</si>
  <si>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</si>
  <si>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</si>
  <si>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</si>
  <si>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</si>
  <si>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</si>
  <si>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</si>
  <si>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</si>
  <si>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</si>
  <si>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</si>
  <si>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</si>
  <si>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</si>
  <si>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</si>
  <si>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</si>
  <si>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</si>
  <si>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</si>
  <si>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</si>
  <si>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</si>
  <si>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</si>
  <si>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</si>
  <si>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</si>
  <si>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</si>
  <si>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Программа по совершенствованию организации дорожного движения пешеходов на территории Миасского городского округа на 2012 год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</si>
  <si>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</si>
  <si>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</si>
  <si>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</si>
  <si>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</si>
  <si>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</si>
  <si>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</si>
  <si>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</si>
  <si>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</si>
  <si>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Выплата единовременного пособия при всех формах устройства детей, лишенных родительского попечения, в семью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</si>
  <si>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муниципальных центров предоставления государственных и муниципальных услуг, в Челябинской области на 2012-2013 годы"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</si>
  <si>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</si>
  <si>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</si>
  <si>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Мероприятия в области здравоохранения, спорта и физической культуры, туризма за счет субсидии из областного бюджета</t>
  </si>
  <si>
    <t>Областная целевая программа "Дети Южного Урала" на 2006-2010 годы за счет субсидий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</si>
  <si>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</si>
  <si>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</si>
  <si>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</si>
  <si>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</si>
  <si>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</si>
  <si>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</si>
  <si>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Внедрение инновационных образовательных программ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</si>
  <si>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</si>
  <si>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</si>
  <si>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</si>
  <si>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</si>
  <si>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</si>
  <si>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</si>
  <si>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</si>
  <si>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</si>
  <si>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</si>
  <si>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</si>
  <si>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</si>
  <si>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</si>
  <si>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</si>
  <si>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</si>
  <si>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</si>
  <si>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</si>
  <si>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</si>
  <si>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</si>
  <si>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</si>
  <si>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 xml:space="preserve">Муниципальная целевая программа "Безопасность учреждений культуры" на 2010-2012 годы 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</si>
  <si>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</si>
  <si>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</si>
  <si>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</si>
  <si>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</si>
  <si>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</si>
  <si>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</si>
  <si>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</si>
  <si>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</si>
  <si>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</si>
  <si>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</si>
  <si>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</si>
  <si>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</si>
  <si>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</si>
  <si>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</si>
  <si>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</si>
  <si>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</si>
  <si>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</si>
  <si>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</si>
  <si>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</si>
  <si>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</si>
  <si>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</si>
  <si>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</si>
  <si>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</si>
  <si>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</si>
  <si>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</si>
  <si>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</si>
  <si>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</si>
  <si>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</si>
  <si>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</si>
  <si>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</si>
  <si>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</si>
  <si>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</si>
  <si>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</si>
  <si>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</si>
  <si>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</si>
  <si>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</si>
  <si>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</si>
  <si>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</si>
  <si>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</si>
  <si>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</si>
  <si>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</si>
  <si>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</si>
  <si>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</si>
  <si>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522 16 00</t>
  </si>
  <si>
    <t>436 01 00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</si>
  <si>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</si>
  <si>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</si>
  <si>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</si>
  <si>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</si>
  <si>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</si>
  <si>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</si>
  <si>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</si>
  <si>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</si>
  <si>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</si>
  <si>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Источники 
внутреннего финансирования дефицита бюджета Миасского  городского округа 
на 2012 год   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</si>
  <si>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</si>
  <si>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</si>
  <si>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</si>
  <si>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</si>
  <si>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</si>
  <si>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</si>
  <si>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</si>
  <si>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</si>
  <si>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</si>
  <si>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</si>
  <si>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</si>
  <si>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</si>
  <si>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</si>
  <si>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</si>
  <si>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</si>
  <si>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</si>
  <si>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</si>
  <si>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</si>
  <si>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</si>
  <si>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</si>
  <si>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</si>
  <si>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</si>
  <si>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</si>
  <si>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</si>
  <si>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</si>
  <si>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</si>
  <si>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</si>
  <si>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</si>
  <si>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</si>
  <si>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</si>
  <si>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</si>
  <si>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</si>
  <si>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</si>
  <si>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</si>
  <si>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</si>
  <si>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</si>
  <si>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Управление по физической культуре, спорту, туризму, молодежной политике Администрации МГО</t>
  </si>
  <si>
    <t>МКУ МГО "Образование"</t>
  </si>
  <si>
    <t>МКУ "Управление культуры" МГО</t>
  </si>
  <si>
    <t>МКУ "Управление здравоохранения" МГО</t>
  </si>
  <si>
    <t>на 2012 год  (тыс. руб.)</t>
  </si>
  <si>
    <t>Управление ЖКХ, энергетики и транспорта Администрации МГО</t>
  </si>
  <si>
    <t xml:space="preserve">НП "Образование" в МГО на 2009-2012гг. 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</si>
  <si>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</si>
  <si>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</si>
  <si>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</si>
  <si>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</si>
  <si>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</si>
  <si>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</si>
  <si>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</si>
  <si>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</si>
  <si>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</si>
  <si>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</si>
  <si>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</si>
  <si>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</si>
  <si>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</si>
  <si>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</si>
  <si>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</si>
  <si>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</si>
  <si>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</si>
  <si>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</si>
  <si>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</si>
  <si>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</si>
  <si>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</si>
  <si>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</si>
  <si>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</si>
  <si>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</si>
  <si>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</si>
  <si>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</si>
  <si>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</si>
  <si>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</si>
  <si>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</si>
  <si>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</si>
  <si>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</si>
  <si>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</si>
  <si>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</si>
  <si>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</si>
  <si>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</si>
  <si>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</si>
  <si>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</si>
  <si>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</si>
  <si>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</si>
  <si>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</si>
  <si>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</si>
  <si>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</si>
  <si>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</si>
  <si>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</si>
  <si>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</si>
  <si>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</si>
  <si>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</si>
  <si>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</si>
  <si>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</si>
  <si>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</si>
  <si>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</si>
  <si>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</si>
  <si>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</si>
  <si>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</si>
  <si>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</si>
  <si>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</si>
  <si>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</si>
  <si>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</si>
  <si>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</si>
  <si>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</si>
  <si>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</si>
  <si>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</si>
  <si>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</si>
  <si>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</si>
  <si>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</si>
  <si>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</si>
  <si>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</si>
  <si>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</si>
  <si>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</si>
  <si>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</si>
  <si>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</si>
  <si>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</si>
  <si>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</si>
  <si>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</si>
  <si>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</si>
  <si>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</si>
  <si>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</si>
  <si>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</si>
  <si>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</si>
  <si>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РФ</t>
  </si>
  <si>
    <t>01  03  00  00  00  0000  000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</si>
  <si>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</si>
  <si>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</si>
  <si>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бюджетных кредитов от других бюджетов бюджетной системы РФ в валюте РФ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</si>
  <si>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</si>
  <si>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</si>
  <si>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</si>
  <si>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</si>
  <si>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</si>
  <si>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</si>
  <si>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</si>
  <si>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</si>
  <si>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</si>
  <si>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</si>
  <si>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</si>
  <si>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</si>
  <si>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</si>
  <si>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</si>
  <si>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</si>
  <si>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</si>
  <si>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</si>
  <si>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</si>
  <si>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</si>
  <si>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</si>
  <si>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</si>
  <si>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</si>
  <si>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</si>
  <si>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</si>
  <si>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</si>
  <si>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</si>
  <si>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</si>
  <si>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</si>
  <si>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</si>
  <si>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</si>
  <si>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</si>
  <si>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</si>
  <si>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</si>
  <si>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</si>
  <si>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</si>
  <si>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</si>
  <si>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</si>
  <si>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</si>
  <si>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</si>
  <si>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</si>
  <si>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</si>
  <si>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</si>
  <si>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</si>
  <si>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</si>
  <si>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</si>
  <si>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</si>
  <si>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</si>
  <si>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</si>
  <si>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</si>
  <si>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</si>
  <si>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</si>
  <si>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</si>
  <si>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</si>
  <si>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</si>
  <si>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</si>
  <si>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</si>
  <si>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</si>
  <si>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</si>
  <si>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</si>
  <si>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</si>
  <si>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</si>
  <si>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</si>
  <si>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</si>
  <si>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</si>
  <si>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</si>
  <si>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</si>
  <si>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</si>
  <si>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</si>
  <si>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</si>
  <si>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</si>
  <si>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</si>
  <si>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</si>
  <si>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</si>
  <si>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</si>
  <si>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</si>
  <si>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</si>
  <si>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</si>
  <si>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</si>
  <si>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</si>
  <si>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</si>
  <si>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</si>
  <si>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</si>
  <si>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</si>
  <si>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</si>
  <si>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</si>
  <si>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</si>
  <si>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</si>
  <si>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</si>
  <si>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</si>
  <si>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</si>
  <si>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</si>
  <si>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</si>
  <si>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</si>
  <si>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</si>
  <si>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 xml:space="preserve">Расходы за счет субвенции из областного бюджета на ежемесячное пособие на ребенка </t>
  </si>
  <si>
    <t>505 55 10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</si>
  <si>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</si>
  <si>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</si>
  <si>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</si>
  <si>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</si>
  <si>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</si>
  <si>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</si>
  <si>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</si>
  <si>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505 55 25</t>
  </si>
  <si>
    <t>505 55 33</t>
  </si>
  <si>
    <t>505 55 34</t>
  </si>
  <si>
    <t>505 99 72</t>
  </si>
  <si>
    <t>РАСПРЕДЕЛЕНИЕ БЮДЖЕТНЫХ АССИГНОВАНИЙ НА 2012 ГОД</t>
  </si>
  <si>
    <t>НА 2012 ГОД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</si>
  <si>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</si>
  <si>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</si>
  <si>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</si>
  <si>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</si>
  <si>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</si>
  <si>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</si>
  <si>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</si>
  <si>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</si>
  <si>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</si>
  <si>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</si>
  <si>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</si>
  <si>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</si>
  <si>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</si>
  <si>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</si>
  <si>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</si>
  <si>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</si>
  <si>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</si>
  <si>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</si>
  <si>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</si>
  <si>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</si>
  <si>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</si>
  <si>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</si>
  <si>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</si>
  <si>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</si>
  <si>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</si>
  <si>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</si>
  <si>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</si>
  <si>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</si>
  <si>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</si>
  <si>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</si>
  <si>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01  03  00  00  04  0000  710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</si>
  <si>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</si>
  <si>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</si>
  <si>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</si>
  <si>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</si>
  <si>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</si>
  <si>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</si>
  <si>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</si>
  <si>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</si>
  <si>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</si>
  <si>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</si>
  <si>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</si>
  <si>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</si>
  <si>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</si>
  <si>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</si>
  <si>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</si>
  <si>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</si>
  <si>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</si>
  <si>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</si>
  <si>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</si>
  <si>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</si>
  <si>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</si>
  <si>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</si>
  <si>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</si>
  <si>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</si>
  <si>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</si>
  <si>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</si>
  <si>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</si>
  <si>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</si>
  <si>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</si>
  <si>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</si>
  <si>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</si>
  <si>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</si>
  <si>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</si>
  <si>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</si>
  <si>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</si>
  <si>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округав 2012 году"</t>
  </si>
  <si>
    <t>795 00 78</t>
  </si>
  <si>
    <t>421 82 22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</si>
  <si>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</si>
  <si>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</si>
  <si>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Закон Челябинской области "О звании "Ветеран труда Челябинской области"" (ежемесячная денежная выплата)</t>
  </si>
  <si>
    <t>505 33 30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</si>
  <si>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</si>
  <si>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>505 55 22</t>
  </si>
  <si>
    <t>Закон Челябинской области "О мерах социальной поддержки жертв политических репрессий в Челябинской области" (ежемесячная денежная выплата)</t>
  </si>
  <si>
    <t>505 55 32</t>
  </si>
  <si>
    <t>Отдельные мероприятия в других видах транспорта</t>
  </si>
  <si>
    <t>317 02 00</t>
  </si>
  <si>
    <t>Приложение 4</t>
  </si>
  <si>
    <t>Приложение 5</t>
  </si>
  <si>
    <t xml:space="preserve">Программа муниципальных внутренних заимствований </t>
  </si>
  <si>
    <t xml:space="preserve">на 2012 год </t>
  </si>
  <si>
    <t>1. Источники внутренних заимствований</t>
  </si>
  <si>
    <t>тыс.руб.</t>
  </si>
  <si>
    <t>Сумма,                 2012г.</t>
  </si>
  <si>
    <t>Сумма,                 2013г.</t>
  </si>
  <si>
    <t>Сумма,                 2014г.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</si>
  <si>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</si>
  <si>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</si>
  <si>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</si>
  <si>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</si>
  <si>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</si>
  <si>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на плановый период 2013 и 2014 гг.</t>
  </si>
  <si>
    <t xml:space="preserve">Источники 
внутреннего финансирования дефицита бюджета Миасского  городского округа 
на на  плановый период 2013 и 2014 гг.  </t>
  </si>
  <si>
    <t>Сумма, 2013год
тыс. руб.</t>
  </si>
  <si>
    <t>Сумма, 2014год
тыс. руб.</t>
  </si>
  <si>
    <t>Приложение 6</t>
  </si>
  <si>
    <t>351 82 23</t>
  </si>
  <si>
    <t>Муниципальная целевая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2012 год"</t>
  </si>
  <si>
    <t>Областная целевая программа строительства и реконструкции автомобильных дорог общего пользования в Челябинской области на 2012-2015годы</t>
  </si>
  <si>
    <t>522 23 00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</si>
  <si>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</si>
  <si>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Малое и среднее предпринимательство</t>
  </si>
  <si>
    <t>345 00 00</t>
  </si>
  <si>
    <t>345 01 00</t>
  </si>
  <si>
    <t>Средства массовой информации</t>
  </si>
  <si>
    <t>Другие вопросы в области средств массовой информации</t>
  </si>
  <si>
    <t>Телерадиокампании и телеорганизации</t>
  </si>
  <si>
    <t>453 00 00</t>
  </si>
  <si>
    <t>453 82 00</t>
  </si>
  <si>
    <t>453 82 20</t>
  </si>
  <si>
    <t>453 82 24</t>
  </si>
  <si>
    <t>ОЦП "Повышение энергетической эффективности экономики Челябинской области и сокращения энергетических издержек в бюджетном секторе на 2010-2020 годы"</t>
  </si>
  <si>
    <t>522 35 00</t>
  </si>
  <si>
    <t>Программа "Чистая вода" на территории Миасского городского округа на 2010-2020гг.</t>
  </si>
  <si>
    <t>Другие мероприятия по реализации муниципальных функций</t>
  </si>
  <si>
    <t>Реализация государственных функций в области здравоохранения</t>
  </si>
  <si>
    <t>485 01 00</t>
  </si>
  <si>
    <t>Реализация функций органов местного самоуправления в области здравоохранения</t>
  </si>
  <si>
    <t>485 00 00</t>
  </si>
  <si>
    <t>Подключение общедоступных библиотекРоссийской федерации к сети интернет</t>
  </si>
  <si>
    <t>440 09 00</t>
  </si>
  <si>
    <t>Федеральная целевая программа развития образования на 2011-2015 годы</t>
  </si>
  <si>
    <t>100 89 00</t>
  </si>
  <si>
    <t>Областная целевая программа  реализации  национального проекта "Образование" в Челябинской области</t>
  </si>
  <si>
    <t>Субсидии бюджетным и автономным учреждениям на капитальный ремонт зданий и сооружений</t>
  </si>
  <si>
    <t>470 82 21</t>
  </si>
  <si>
    <t>471 82 23</t>
  </si>
  <si>
    <t>478 82 20</t>
  </si>
  <si>
    <t>478 82 23</t>
  </si>
  <si>
    <t>Приложение 7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</si>
  <si>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</si>
  <si>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</si>
  <si>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год"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</si>
  <si>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</si>
  <si>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годы"</t>
  </si>
  <si>
    <t>092 15 01</t>
  </si>
  <si>
    <t>Программа "Капитальный ремонт многоквартирных жилых домов" МГО на 2012 год</t>
  </si>
  <si>
    <t>795 21 00</t>
  </si>
  <si>
    <t>ОЦП "Повышение энергетической эффективности экономики Челябинской области и сокращения энергетических издержекв бюджетном секторе на 2010-2020 годы"</t>
  </si>
  <si>
    <t>440 82 21</t>
  </si>
  <si>
    <t>Программа энергосбережения и повышения энергетической эффективности на период до 2020 года</t>
  </si>
  <si>
    <t>092 34 00</t>
  </si>
  <si>
    <t>470 82 22</t>
  </si>
  <si>
    <t>471 82 24</t>
  </si>
  <si>
    <t>Областная целевая программа раелизации нациальная проекта "Образование" в Челябинской области</t>
  </si>
  <si>
    <t>Приложение 2</t>
  </si>
  <si>
    <t>к  решению Собрания депутатов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</si>
  <si>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</si>
  <si>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</si>
  <si>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</si>
  <si>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</si>
  <si>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</si>
  <si>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</si>
  <si>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007</t>
  </si>
  <si>
    <r>
      <t>Контрольно-счетная палата Челябинской области</t>
    </r>
    <r>
      <rPr>
        <b/>
        <sz val="14"/>
        <rFont val="Arial"/>
        <family val="2"/>
      </rPr>
      <t xml:space="preserve"> *</t>
    </r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</si>
  <si>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</si>
  <si>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</si>
  <si>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008</t>
  </si>
  <si>
    <r>
      <t xml:space="preserve">Министерство сельского хозяйства Челябинской области </t>
    </r>
    <r>
      <rPr>
        <b/>
        <sz val="14"/>
        <rFont val="Arial"/>
        <family val="2"/>
      </rPr>
      <t>*</t>
    </r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</si>
  <si>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</si>
  <si>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</si>
  <si>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</si>
  <si>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</si>
  <si>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</si>
  <si>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</si>
  <si>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</si>
  <si>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</si>
  <si>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</si>
  <si>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</si>
  <si>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</si>
  <si>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</si>
  <si>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</si>
  <si>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</si>
  <si>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</si>
  <si>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</si>
  <si>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</si>
  <si>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</si>
  <si>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</si>
  <si>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</si>
  <si>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</si>
  <si>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</si>
  <si>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</si>
  <si>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</si>
  <si>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</si>
  <si>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</si>
  <si>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</si>
  <si>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</si>
  <si>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</si>
  <si>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</si>
  <si>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</si>
  <si>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</si>
  <si>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</si>
  <si>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</si>
  <si>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</si>
  <si>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</si>
  <si>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Наименование источника средств</t>
  </si>
  <si>
    <t>Сумма,
тыс. руб.</t>
  </si>
  <si>
    <t>Исполнено,
тыс. руб.</t>
  </si>
  <si>
    <t>01  00  00  00  00  0000  000</t>
  </si>
  <si>
    <t>Источники внутреннего финансирования дефицита бюджетов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</si>
  <si>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</si>
  <si>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</si>
  <si>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</si>
  <si>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</si>
  <si>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</si>
  <si>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</si>
  <si>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</si>
  <si>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</si>
  <si>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</si>
  <si>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</si>
  <si>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</si>
  <si>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</si>
  <si>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</si>
  <si>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</si>
  <si>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</si>
  <si>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</si>
  <si>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</si>
  <si>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</si>
  <si>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</si>
  <si>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</si>
  <si>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</si>
  <si>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</si>
  <si>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</si>
  <si>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</si>
  <si>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</si>
  <si>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</si>
  <si>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</si>
  <si>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</si>
  <si>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</si>
  <si>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</si>
  <si>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</si>
  <si>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</si>
  <si>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</si>
  <si>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</si>
  <si>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</si>
  <si>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Программа "Экология  Миасского городского округа" на 2010-2015гг.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</si>
  <si>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</si>
  <si>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</si>
  <si>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РФ</t>
  </si>
  <si>
    <t>01  02  00  00  00  0000  800</t>
  </si>
  <si>
    <t>Субсидии бюджетным и автономным учреждениям на проведение текущего ремонта зданий</t>
  </si>
  <si>
    <t>Приложение 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</si>
  <si>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</si>
  <si>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</si>
  <si>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</si>
  <si>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</si>
  <si>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</si>
  <si>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</si>
  <si>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</si>
  <si>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</si>
  <si>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</si>
  <si>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</si>
  <si>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</si>
  <si>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</si>
  <si>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</si>
  <si>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</si>
  <si>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</si>
  <si>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</si>
  <si>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</si>
  <si>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</si>
  <si>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</si>
  <si>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</si>
  <si>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</si>
  <si>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</si>
  <si>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</si>
  <si>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</si>
  <si>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</si>
  <si>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</si>
  <si>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</si>
  <si>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</si>
  <si>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</si>
  <si>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</si>
  <si>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</si>
  <si>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</si>
  <si>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</si>
  <si>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</si>
  <si>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</si>
  <si>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</si>
  <si>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</si>
  <si>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</si>
  <si>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</si>
  <si>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</si>
  <si>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</si>
  <si>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</si>
  <si>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</si>
  <si>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</si>
  <si>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</si>
  <si>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на 2012 год                 (тыс. руб.)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</si>
  <si>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</si>
  <si>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</si>
  <si>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</si>
  <si>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</si>
  <si>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</si>
  <si>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</si>
  <si>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</si>
  <si>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</si>
  <si>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</si>
  <si>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</si>
  <si>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</si>
  <si>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</si>
  <si>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</si>
  <si>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</si>
  <si>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</si>
  <si>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Код бюджетной классификации РФ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</si>
  <si>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</si>
  <si>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</si>
  <si>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</si>
  <si>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</si>
  <si>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</si>
  <si>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</si>
  <si>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</si>
  <si>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</si>
  <si>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</si>
  <si>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</si>
  <si>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</si>
  <si>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</si>
  <si>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</si>
  <si>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</si>
  <si>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</si>
  <si>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</si>
  <si>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</si>
  <si>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</si>
  <si>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</si>
  <si>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</si>
  <si>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</si>
  <si>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</si>
  <si>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</si>
  <si>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</si>
  <si>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</si>
  <si>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</si>
  <si>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</si>
  <si>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</si>
  <si>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</si>
  <si>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</si>
  <si>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</si>
  <si>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</si>
  <si>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</si>
  <si>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</si>
  <si>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</si>
  <si>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</si>
  <si>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</si>
  <si>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</si>
  <si>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</si>
  <si>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</si>
  <si>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</si>
  <si>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</si>
  <si>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</si>
  <si>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</si>
  <si>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</si>
  <si>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</si>
  <si>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</si>
  <si>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</si>
  <si>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</si>
  <si>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</si>
  <si>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</si>
  <si>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</si>
  <si>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</si>
  <si>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</si>
  <si>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</si>
  <si>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</si>
  <si>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</si>
  <si>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</si>
  <si>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</si>
  <si>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</si>
  <si>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</si>
  <si>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</si>
  <si>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</si>
  <si>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</si>
  <si>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</si>
  <si>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</si>
  <si>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</si>
  <si>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</si>
  <si>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</si>
  <si>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</si>
  <si>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</si>
  <si>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</si>
  <si>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</si>
  <si>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</si>
  <si>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</si>
  <si>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</si>
  <si>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</si>
  <si>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</si>
  <si>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</si>
  <si>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</si>
  <si>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</si>
  <si>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</si>
  <si>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</si>
  <si>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</si>
  <si>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</si>
  <si>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</si>
  <si>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</si>
  <si>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</si>
  <si>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</si>
  <si>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</si>
  <si>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</si>
  <si>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</si>
  <si>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</si>
  <si>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</si>
  <si>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</si>
  <si>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</si>
  <si>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</si>
  <si>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</si>
  <si>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</si>
  <si>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</si>
  <si>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</si>
  <si>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</si>
  <si>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</si>
  <si>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</si>
  <si>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</si>
  <si>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</si>
  <si>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</si>
  <si>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</si>
  <si>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</si>
  <si>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</si>
  <si>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</si>
  <si>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</si>
  <si>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</si>
  <si>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</si>
  <si>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</si>
  <si>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</si>
  <si>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</si>
  <si>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</si>
  <si>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</si>
  <si>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</si>
  <si>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</si>
  <si>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</si>
  <si>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</si>
  <si>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</si>
  <si>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</si>
  <si>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</si>
  <si>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</si>
  <si>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</si>
  <si>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</si>
  <si>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</si>
  <si>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</si>
  <si>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</si>
  <si>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</si>
  <si>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</si>
  <si>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</si>
  <si>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</si>
  <si>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</si>
  <si>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</si>
  <si>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</si>
  <si>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</si>
  <si>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</si>
  <si>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</si>
  <si>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</si>
  <si>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</si>
  <si>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</si>
  <si>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</si>
  <si>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</si>
  <si>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</si>
  <si>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</si>
  <si>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</si>
  <si>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</si>
  <si>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</si>
  <si>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</si>
  <si>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</si>
  <si>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</si>
  <si>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Программа поддержки и развития малого предпринимательства  Миасского городского округа на 2011-2015гг.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</si>
  <si>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</si>
  <si>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</si>
  <si>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</si>
  <si>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</si>
  <si>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</si>
  <si>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</si>
  <si>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</si>
  <si>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</si>
  <si>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</si>
  <si>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Муниципальная целевая программа "Снос аварийного жилищного фонда в 2012 году"</t>
  </si>
  <si>
    <t>795 00 73</t>
  </si>
  <si>
    <t>Мероприятия по поддержке и развитию культуры, искусства, кинематографии, средств массовой информации и архивного дела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</si>
  <si>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</si>
  <si>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</si>
  <si>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</si>
  <si>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</si>
  <si>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</si>
  <si>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</si>
  <si>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</si>
  <si>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</si>
  <si>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795 00 75</t>
  </si>
  <si>
    <t>351 82 00</t>
  </si>
  <si>
    <t>351 82 10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</si>
  <si>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</si>
  <si>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</si>
  <si>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Реализация переданных государственных полномочий в области охраны труда</t>
  </si>
  <si>
    <t>002 04 99</t>
  </si>
  <si>
    <t>Муниципальная целевая программа "Пожарная безопасность Миасского городского округа на 2011-2013 годы"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</si>
  <si>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</si>
  <si>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</si>
  <si>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</si>
  <si>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</si>
  <si>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441 82 23</t>
  </si>
  <si>
    <t>420 82 20</t>
  </si>
  <si>
    <t>421 82 20</t>
  </si>
  <si>
    <t>Федеральная целевая программа «Жилище» на 2011-2015 годы»</t>
  </si>
  <si>
    <t>100 88 00</t>
  </si>
  <si>
    <t>100 88 20</t>
  </si>
  <si>
    <t>Федеральные целевые программы</t>
  </si>
  <si>
    <t>100 00 00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</si>
  <si>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</si>
  <si>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795 00 37</t>
  </si>
  <si>
    <t>Целевая программа "Миасс - безопасный город" на 2010-2015 годы</t>
  </si>
  <si>
    <t>315 06 00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</si>
  <si>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</si>
  <si>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</si>
  <si>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</si>
  <si>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Субсидии бюджетным и автономным учреждениям на финансовое обеспечение муниципального задания на иные цели</t>
  </si>
  <si>
    <t>Субсидии бюджетным и автономным учреждениям на капитальный ремонт зданий  и сооружений</t>
  </si>
  <si>
    <t>351 82 21</t>
  </si>
  <si>
    <t>Школы - детские сады, школы начальные, неполные средние и средние</t>
  </si>
  <si>
    <t>421 82 21</t>
  </si>
  <si>
    <t>Субсидии бюджетным и автономным учреждениям  на капитальный ремонт зданий и сооружений</t>
  </si>
  <si>
    <t>351 82 20</t>
  </si>
  <si>
    <t>Другие субсидии бюджетным и автономным учреждениям на иные цели</t>
  </si>
  <si>
    <t>795 00 76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</si>
  <si>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</si>
  <si>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522 42 00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</si>
  <si>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</si>
  <si>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</si>
  <si>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</si>
  <si>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</si>
  <si>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</si>
  <si>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</si>
  <si>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</si>
  <si>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</si>
  <si>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</si>
  <si>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</si>
  <si>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</si>
  <si>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</si>
  <si>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</si>
  <si>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</si>
  <si>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</si>
  <si>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</si>
  <si>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</si>
  <si>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</si>
  <si>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</si>
  <si>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</si>
  <si>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</si>
  <si>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</si>
  <si>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</si>
  <si>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</si>
  <si>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</si>
  <si>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</si>
  <si>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</si>
  <si>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</si>
  <si>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</si>
  <si>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</si>
  <si>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</si>
  <si>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</si>
  <si>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</si>
  <si>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</si>
  <si>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</si>
  <si>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</si>
  <si>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</si>
  <si>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</si>
  <si>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</si>
  <si>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</si>
  <si>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</si>
  <si>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</si>
  <si>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</si>
  <si>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</si>
  <si>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</si>
  <si>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</si>
  <si>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</si>
  <si>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</si>
  <si>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</si>
  <si>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</si>
  <si>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</si>
  <si>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</si>
  <si>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</si>
  <si>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</si>
  <si>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</si>
  <si>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</si>
  <si>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</si>
  <si>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</si>
  <si>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</si>
  <si>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</si>
  <si>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</si>
  <si>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</si>
  <si>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</si>
  <si>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</si>
  <si>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</si>
  <si>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</si>
  <si>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</si>
  <si>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</si>
  <si>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</si>
  <si>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</si>
  <si>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</si>
  <si>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</si>
  <si>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</si>
  <si>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</si>
  <si>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</si>
  <si>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</si>
  <si>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</si>
  <si>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</si>
  <si>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</si>
  <si>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</si>
  <si>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</si>
  <si>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</si>
  <si>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</si>
  <si>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</si>
  <si>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</si>
  <si>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</si>
  <si>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</si>
  <si>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</si>
  <si>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</si>
  <si>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</si>
  <si>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</si>
  <si>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</si>
  <si>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</si>
  <si>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</si>
  <si>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</si>
  <si>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</si>
  <si>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</si>
  <si>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</si>
  <si>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</si>
  <si>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</si>
  <si>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</si>
  <si>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</si>
  <si>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</si>
  <si>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</si>
  <si>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</si>
  <si>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</si>
  <si>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</si>
  <si>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</si>
  <si>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</si>
  <si>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</si>
  <si>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</si>
  <si>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</si>
  <si>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</si>
  <si>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</si>
  <si>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</si>
  <si>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</si>
  <si>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</si>
  <si>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420 82 22</t>
  </si>
  <si>
    <t>420 82 23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</si>
  <si>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</si>
  <si>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</si>
  <si>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</si>
  <si>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421 82 23</t>
  </si>
  <si>
    <t>421 99 63</t>
  </si>
  <si>
    <t>436 21 00</t>
  </si>
  <si>
    <t>Модернизация региональных систем общего образования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</si>
  <si>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</si>
  <si>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</si>
  <si>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Подпрограмма "Предоставление работникам бюджетной сферы социальных выплат на приобретение или строительство жилья"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</si>
  <si>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</si>
  <si>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</si>
  <si>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</si>
  <si>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421 82 01</t>
  </si>
  <si>
    <t>423 82 01</t>
  </si>
  <si>
    <t>431 01 39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</si>
  <si>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</si>
  <si>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</si>
  <si>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100 88 11</t>
  </si>
  <si>
    <t>Другие субсидии бюджетным и автономным учреждениям на иные цели.</t>
  </si>
  <si>
    <t>440 82 24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</si>
  <si>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</si>
  <si>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441 82 20</t>
  </si>
  <si>
    <t>470 82 24</t>
  </si>
  <si>
    <t>471 82 20</t>
  </si>
  <si>
    <t>423 82 24</t>
  </si>
  <si>
    <t>420 82 24</t>
  </si>
  <si>
    <t>421 82 24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</si>
  <si>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</si>
  <si>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</si>
  <si>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жильем граждан, уволенных с военной службы (службы), и приравненных к ним лиц</t>
  </si>
  <si>
    <t>423 82 23</t>
  </si>
  <si>
    <t>432 01 75</t>
  </si>
  <si>
    <t>432 01 76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</si>
  <si>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</si>
  <si>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</si>
  <si>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</si>
  <si>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</si>
  <si>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</si>
  <si>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</si>
  <si>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</si>
  <si>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</si>
  <si>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</si>
  <si>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</si>
  <si>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</si>
  <si>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</si>
  <si>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</si>
  <si>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</si>
  <si>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</si>
  <si>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Физкультурно-оздоровительная работа и спортивные мероприятия</t>
  </si>
  <si>
    <t>512 00 00</t>
  </si>
  <si>
    <t>512 97 00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</si>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</sst>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Narrow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5" fillId="0" borderId="14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49" fontId="6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4" fillId="0" borderId="21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0" fontId="0" fillId="24" borderId="0" xfId="0" applyFill="1" applyAlignment="1">
      <alignment/>
    </xf>
    <xf numFmtId="49" fontId="4" fillId="0" borderId="21" xfId="0" applyNumberFormat="1" applyFont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4" xfId="0" applyFont="1" applyBorder="1" applyAlignment="1">
      <alignment wrapText="1"/>
    </xf>
    <xf numFmtId="49" fontId="4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21" xfId="0" applyNumberFormat="1" applyFont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49" fontId="9" fillId="0" borderId="22" xfId="0" applyNumberFormat="1" applyFont="1" applyBorder="1" applyAlignment="1">
      <alignment horizontal="center" vertical="top" wrapText="1"/>
    </xf>
    <xf numFmtId="49" fontId="6" fillId="24" borderId="21" xfId="0" applyNumberFormat="1" applyFont="1" applyFill="1" applyBorder="1" applyAlignment="1">
      <alignment/>
    </xf>
    <xf numFmtId="49" fontId="4" fillId="24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/>
    </xf>
    <xf numFmtId="49" fontId="6" fillId="24" borderId="22" xfId="0" applyNumberFormat="1" applyFont="1" applyFill="1" applyBorder="1" applyAlignment="1">
      <alignment horizontal="center"/>
    </xf>
    <xf numFmtId="49" fontId="4" fillId="0" borderId="25" xfId="0" applyNumberFormat="1" applyFont="1" applyBorder="1" applyAlignment="1">
      <alignment/>
    </xf>
    <xf numFmtId="49" fontId="10" fillId="0" borderId="2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9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top" wrapText="1"/>
    </xf>
    <xf numFmtId="164" fontId="12" fillId="0" borderId="23" xfId="0" applyNumberFormat="1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justify" vertical="top" wrapText="1"/>
    </xf>
    <xf numFmtId="49" fontId="13" fillId="0" borderId="21" xfId="0" applyNumberFormat="1" applyFont="1" applyBorder="1" applyAlignment="1">
      <alignment horizontal="justify" vertical="top" wrapText="1"/>
    </xf>
    <xf numFmtId="49" fontId="9" fillId="0" borderId="21" xfId="0" applyNumberFormat="1" applyFont="1" applyBorder="1" applyAlignment="1">
      <alignment/>
    </xf>
    <xf numFmtId="49" fontId="9" fillId="0" borderId="2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4" fillId="24" borderId="21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49" fontId="10" fillId="0" borderId="21" xfId="0" applyNumberFormat="1" applyFont="1" applyBorder="1" applyAlignment="1">
      <alignment/>
    </xf>
    <xf numFmtId="49" fontId="10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6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165" fontId="7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wrapText="1"/>
    </xf>
    <xf numFmtId="49" fontId="14" fillId="24" borderId="21" xfId="0" applyNumberFormat="1" applyFont="1" applyFill="1" applyBorder="1" applyAlignment="1">
      <alignment/>
    </xf>
    <xf numFmtId="0" fontId="14" fillId="24" borderId="0" xfId="0" applyFont="1" applyFill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4" borderId="0" xfId="0" applyFont="1" applyFill="1" applyAlignment="1">
      <alignment/>
    </xf>
    <xf numFmtId="49" fontId="10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4" fillId="0" borderId="21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49" fontId="4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5" fillId="0" borderId="40" xfId="0" applyNumberFormat="1" applyFont="1" applyBorder="1" applyAlignment="1">
      <alignment vertical="justify"/>
    </xf>
    <xf numFmtId="0" fontId="5" fillId="0" borderId="41" xfId="0" applyFont="1" applyBorder="1" applyAlignment="1">
      <alignment vertical="justify"/>
    </xf>
    <xf numFmtId="0" fontId="5" fillId="0" borderId="42" xfId="0" applyFont="1" applyBorder="1" applyAlignment="1">
      <alignment vertical="justify"/>
    </xf>
    <xf numFmtId="49" fontId="6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164" fontId="3" fillId="0" borderId="4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7" fillId="24" borderId="2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4" fillId="24" borderId="21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>
      <alignment horizontal="left"/>
    </xf>
    <xf numFmtId="49" fontId="9" fillId="0" borderId="22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49" fontId="0" fillId="0" borderId="46" xfId="0" applyNumberFormat="1" applyBorder="1" applyAlignment="1">
      <alignment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6" fillId="0" borderId="0" xfId="56" applyNumberFormat="1" applyFont="1" applyAlignment="1">
      <alignment horizontal="left"/>
      <protection/>
    </xf>
    <xf numFmtId="0" fontId="16" fillId="0" borderId="0" xfId="56" applyFont="1">
      <alignment/>
      <protection/>
    </xf>
    <xf numFmtId="0" fontId="0" fillId="0" borderId="0" xfId="0" applyFont="1" applyAlignment="1">
      <alignment horizontal="right"/>
    </xf>
    <xf numFmtId="0" fontId="12" fillId="0" borderId="0" xfId="56" applyFont="1" applyAlignment="1">
      <alignment/>
      <protection/>
    </xf>
    <xf numFmtId="0" fontId="1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20" fillId="0" borderId="0" xfId="56" applyFont="1" applyAlignment="1">
      <alignment horizontal="center" vertical="center" wrapText="1"/>
      <protection/>
    </xf>
    <xf numFmtId="49" fontId="18" fillId="0" borderId="21" xfId="56" applyNumberFormat="1" applyFont="1" applyBorder="1" applyAlignment="1">
      <alignment horizontal="left" vertical="center" wrapText="1"/>
      <protection/>
    </xf>
    <xf numFmtId="0" fontId="21" fillId="0" borderId="21" xfId="0" applyFont="1" applyBorder="1" applyAlignment="1">
      <alignment vertical="center" wrapText="1"/>
    </xf>
    <xf numFmtId="164" fontId="18" fillId="0" borderId="21" xfId="56" applyNumberFormat="1" applyFont="1" applyBorder="1" applyAlignment="1">
      <alignment vertical="center" wrapText="1"/>
      <protection/>
    </xf>
    <xf numFmtId="0" fontId="18" fillId="0" borderId="0" xfId="56" applyFont="1">
      <alignment/>
      <protection/>
    </xf>
    <xf numFmtId="49" fontId="9" fillId="0" borderId="21" xfId="56" applyNumberFormat="1" applyFont="1" applyBorder="1" applyAlignment="1">
      <alignment horizontal="left" vertical="center" wrapText="1"/>
      <protection/>
    </xf>
    <xf numFmtId="0" fontId="7" fillId="0" borderId="21" xfId="55" applyFont="1" applyBorder="1" applyAlignment="1">
      <alignment vertical="justify"/>
      <protection/>
    </xf>
    <xf numFmtId="164" fontId="22" fillId="0" borderId="21" xfId="56" applyNumberFormat="1" applyFont="1" applyBorder="1" applyAlignment="1">
      <alignment vertical="center" wrapText="1"/>
      <protection/>
    </xf>
    <xf numFmtId="0" fontId="12" fillId="0" borderId="21" xfId="0" applyFont="1" applyFill="1" applyBorder="1" applyAlignment="1">
      <alignment vertical="center" wrapText="1"/>
    </xf>
    <xf numFmtId="164" fontId="9" fillId="0" borderId="21" xfId="56" applyNumberFormat="1" applyFont="1" applyBorder="1" applyAlignment="1">
      <alignment vertical="center" wrapText="1"/>
      <protection/>
    </xf>
    <xf numFmtId="0" fontId="12" fillId="0" borderId="25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left" vertical="justify" wrapText="1"/>
    </xf>
    <xf numFmtId="0" fontId="12" fillId="0" borderId="25" xfId="0" applyFont="1" applyBorder="1" applyAlignment="1">
      <alignment horizontal="left" vertical="justify" wrapText="1" readingOrder="1"/>
    </xf>
    <xf numFmtId="0" fontId="9" fillId="0" borderId="0" xfId="56" applyFont="1">
      <alignment/>
      <protection/>
    </xf>
    <xf numFmtId="0" fontId="12" fillId="0" borderId="48" xfId="0" applyFont="1" applyBorder="1" applyAlignment="1">
      <alignment horizontal="left" vertical="justify" wrapText="1"/>
    </xf>
    <xf numFmtId="0" fontId="12" fillId="0" borderId="21" xfId="0" applyFont="1" applyBorder="1" applyAlignment="1">
      <alignment vertical="center" wrapText="1"/>
    </xf>
    <xf numFmtId="49" fontId="18" fillId="0" borderId="21" xfId="56" applyNumberFormat="1" applyFont="1" applyBorder="1" applyAlignment="1">
      <alignment horizontal="left" vertical="center"/>
      <protection/>
    </xf>
    <xf numFmtId="49" fontId="21" fillId="0" borderId="21" xfId="0" applyNumberFormat="1" applyFont="1" applyBorder="1" applyAlignment="1">
      <alignment horizontal="left" vertical="justify"/>
    </xf>
    <xf numFmtId="164" fontId="18" fillId="0" borderId="21" xfId="56" applyNumberFormat="1" applyFont="1" applyBorder="1" applyAlignment="1">
      <alignment vertical="center"/>
      <protection/>
    </xf>
    <xf numFmtId="49" fontId="9" fillId="0" borderId="21" xfId="56" applyNumberFormat="1" applyFont="1" applyBorder="1" applyAlignment="1">
      <alignment horizontal="left" vertical="center"/>
      <protection/>
    </xf>
    <xf numFmtId="0" fontId="12" fillId="0" borderId="21" xfId="0" applyFont="1" applyBorder="1" applyAlignment="1">
      <alignment vertical="justify"/>
    </xf>
    <xf numFmtId="164" fontId="9" fillId="0" borderId="21" xfId="56" applyNumberFormat="1" applyFont="1" applyBorder="1" applyAlignment="1">
      <alignment vertical="center"/>
      <protection/>
    </xf>
    <xf numFmtId="0" fontId="12" fillId="0" borderId="21" xfId="0" applyNumberFormat="1" applyFont="1" applyBorder="1" applyAlignment="1">
      <alignment vertical="justify"/>
    </xf>
    <xf numFmtId="0" fontId="12" fillId="0" borderId="21" xfId="0" applyFont="1" applyFill="1" applyBorder="1" applyAlignment="1">
      <alignment vertical="center" wrapText="1"/>
    </xf>
    <xf numFmtId="49" fontId="9" fillId="0" borderId="0" xfId="56" applyNumberFormat="1" applyFont="1" applyAlignment="1">
      <alignment horizontal="left"/>
      <protection/>
    </xf>
    <xf numFmtId="0" fontId="9" fillId="0" borderId="0" xfId="56" applyFont="1" applyAlignment="1">
      <alignment/>
      <protection/>
    </xf>
    <xf numFmtId="49" fontId="4" fillId="0" borderId="21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49" xfId="0" applyFont="1" applyBorder="1" applyAlignment="1">
      <alignment wrapText="1"/>
    </xf>
    <xf numFmtId="49" fontId="9" fillId="0" borderId="24" xfId="0" applyNumberFormat="1" applyFont="1" applyBorder="1" applyAlignment="1">
      <alignment horizontal="left" wrapText="1"/>
    </xf>
    <xf numFmtId="0" fontId="4" fillId="24" borderId="24" xfId="0" applyFont="1" applyFill="1" applyBorder="1" applyAlignment="1">
      <alignment wrapText="1"/>
    </xf>
    <xf numFmtId="0" fontId="0" fillId="0" borderId="40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4" fillId="0" borderId="40" xfId="0" applyFont="1" applyBorder="1" applyAlignment="1">
      <alignment wrapText="1"/>
    </xf>
    <xf numFmtId="0" fontId="9" fillId="0" borderId="24" xfId="0" applyNumberFormat="1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4" fillId="0" borderId="24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9" fontId="9" fillId="0" borderId="24" xfId="0" applyNumberFormat="1" applyFont="1" applyBorder="1" applyAlignment="1">
      <alignment horizontal="left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9" fillId="24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4" fillId="0" borderId="24" xfId="0" applyNumberFormat="1" applyFont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43" fontId="0" fillId="0" borderId="0" xfId="64" applyFont="1" applyAlignment="1">
      <alignment horizontal="center"/>
    </xf>
    <xf numFmtId="43" fontId="0" fillId="0" borderId="0" xfId="0" applyNumberFormat="1" applyAlignment="1">
      <alignment horizontal="center"/>
    </xf>
    <xf numFmtId="0" fontId="11" fillId="0" borderId="24" xfId="0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/>
    </xf>
    <xf numFmtId="49" fontId="9" fillId="0" borderId="21" xfId="0" applyNumberFormat="1" applyFont="1" applyFill="1" applyBorder="1" applyAlignment="1">
      <alignment horizontal="justify" vertical="top" wrapText="1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45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3" fillId="0" borderId="0" xfId="56" applyNumberFormat="1" applyFont="1" applyFill="1" applyAlignment="1">
      <alignment horizontal="left"/>
      <protection/>
    </xf>
    <xf numFmtId="49" fontId="9" fillId="0" borderId="24" xfId="0" applyNumberFormat="1" applyFont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9" fillId="0" borderId="53" xfId="0" applyNumberFormat="1" applyFont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49" fontId="9" fillId="0" borderId="40" xfId="0" applyNumberFormat="1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49" fontId="4" fillId="24" borderId="22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64" fontId="0" fillId="0" borderId="0" xfId="0" applyNumberFormat="1" applyFill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9" fillId="0" borderId="5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4" fillId="24" borderId="24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49" fontId="0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24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9" fillId="24" borderId="24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9" fontId="4" fillId="0" borderId="21" xfId="0" applyNumberFormat="1" applyFont="1" applyFill="1" applyBorder="1" applyAlignment="1">
      <alignment/>
    </xf>
    <xf numFmtId="49" fontId="9" fillId="0" borderId="2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54">
      <alignment/>
      <protection/>
    </xf>
    <xf numFmtId="0" fontId="0" fillId="0" borderId="0" xfId="0" applyFont="1" applyFill="1" applyAlignment="1">
      <alignment horizontal="right"/>
    </xf>
    <xf numFmtId="0" fontId="0" fillId="0" borderId="0" xfId="54" applyFont="1">
      <alignment/>
      <protection/>
    </xf>
    <xf numFmtId="0" fontId="0" fillId="0" borderId="0" xfId="0" applyFont="1" applyBorder="1" applyAlignment="1">
      <alignment/>
    </xf>
    <xf numFmtId="0" fontId="7" fillId="0" borderId="0" xfId="54" applyFont="1">
      <alignment/>
      <protection/>
    </xf>
    <xf numFmtId="0" fontId="3" fillId="0" borderId="0" xfId="54" applyFont="1">
      <alignment/>
      <protection/>
    </xf>
    <xf numFmtId="0" fontId="7" fillId="0" borderId="10" xfId="54" applyFont="1" applyBorder="1">
      <alignment/>
      <protection/>
    </xf>
    <xf numFmtId="0" fontId="7" fillId="0" borderId="28" xfId="54" applyFont="1" applyBorder="1" applyAlignment="1">
      <alignment horizontal="center" vertical="justify"/>
      <protection/>
    </xf>
    <xf numFmtId="0" fontId="7" fillId="0" borderId="37" xfId="54" applyFont="1" applyBorder="1" applyAlignment="1">
      <alignment horizontal="left" wrapText="1"/>
      <protection/>
    </xf>
    <xf numFmtId="164" fontId="7" fillId="0" borderId="44" xfId="54" applyNumberFormat="1" applyFont="1" applyBorder="1" applyAlignment="1">
      <alignment horizontal="center" vertical="center"/>
      <protection/>
    </xf>
    <xf numFmtId="0" fontId="7" fillId="0" borderId="55" xfId="54" applyFont="1" applyBorder="1" applyAlignment="1">
      <alignment horizontal="center"/>
      <protection/>
    </xf>
    <xf numFmtId="164" fontId="7" fillId="0" borderId="23" xfId="54" applyNumberFormat="1" applyFont="1" applyBorder="1" applyAlignment="1">
      <alignment horizontal="center" vertical="center"/>
      <protection/>
    </xf>
    <xf numFmtId="0" fontId="7" fillId="0" borderId="56" xfId="54" applyFont="1" applyBorder="1" applyAlignment="1">
      <alignment horizontal="center"/>
      <protection/>
    </xf>
    <xf numFmtId="0" fontId="7" fillId="0" borderId="28" xfId="54" applyFont="1" applyBorder="1" applyAlignment="1">
      <alignment horizontal="left" wrapText="1"/>
      <protection/>
    </xf>
    <xf numFmtId="164" fontId="7" fillId="0" borderId="28" xfId="54" applyNumberFormat="1" applyFont="1" applyBorder="1" applyAlignment="1">
      <alignment horizontal="center" vertical="center"/>
      <protection/>
    </xf>
    <xf numFmtId="0" fontId="7" fillId="0" borderId="57" xfId="54" applyFont="1" applyBorder="1" applyAlignment="1">
      <alignment wrapText="1"/>
      <protection/>
    </xf>
    <xf numFmtId="0" fontId="7" fillId="0" borderId="58" xfId="54" applyFont="1" applyBorder="1" applyAlignment="1">
      <alignment horizontal="center"/>
      <protection/>
    </xf>
    <xf numFmtId="164" fontId="7" fillId="0" borderId="27" xfId="54" applyNumberFormat="1" applyFont="1" applyBorder="1" applyAlignment="1">
      <alignment horizontal="center" vertical="center"/>
      <protection/>
    </xf>
    <xf numFmtId="0" fontId="7" fillId="0" borderId="28" xfId="54" applyFont="1" applyBorder="1">
      <alignment/>
      <protection/>
    </xf>
    <xf numFmtId="0" fontId="7" fillId="0" borderId="57" xfId="54" applyFont="1" applyBorder="1" applyAlignment="1">
      <alignment horizontal="center"/>
      <protection/>
    </xf>
    <xf numFmtId="164" fontId="7" fillId="0" borderId="36" xfId="5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2" fillId="0" borderId="0" xfId="56" applyFont="1" applyAlignment="1">
      <alignment wrapText="1"/>
      <protection/>
    </xf>
    <xf numFmtId="0" fontId="7" fillId="0" borderId="21" xfId="55" applyFont="1" applyBorder="1" applyAlignment="1">
      <alignment vertical="justify" wrapText="1"/>
      <protection/>
    </xf>
    <xf numFmtId="0" fontId="12" fillId="0" borderId="25" xfId="0" applyFont="1" applyFill="1" applyBorder="1" applyAlignment="1">
      <alignment vertical="center" wrapText="1"/>
    </xf>
    <xf numFmtId="49" fontId="21" fillId="0" borderId="21" xfId="0" applyNumberFormat="1" applyFont="1" applyBorder="1" applyAlignment="1">
      <alignment horizontal="left" vertical="justify" wrapText="1"/>
    </xf>
    <xf numFmtId="0" fontId="12" fillId="0" borderId="21" xfId="0" applyFont="1" applyBorder="1" applyAlignment="1">
      <alignment vertical="justify" wrapText="1"/>
    </xf>
    <xf numFmtId="0" fontId="12" fillId="0" borderId="21" xfId="0" applyNumberFormat="1" applyFont="1" applyBorder="1" applyAlignment="1">
      <alignment vertical="justify" wrapText="1"/>
    </xf>
    <xf numFmtId="49" fontId="18" fillId="0" borderId="24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18" fillId="0" borderId="0" xfId="56" applyNumberFormat="1" applyFont="1">
      <alignment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Alignment="1">
      <alignment horizontal="right" vertical="center" wrapText="1"/>
      <protection/>
    </xf>
    <xf numFmtId="0" fontId="44" fillId="0" borderId="0" xfId="53" applyFont="1" applyFill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horizontal="right" vertical="center"/>
      <protection/>
    </xf>
    <xf numFmtId="0" fontId="45" fillId="0" borderId="0" xfId="53" applyFont="1" applyFill="1" applyAlignment="1">
      <alignment horizontal="right" vertical="center" wrapText="1"/>
      <protection/>
    </xf>
    <xf numFmtId="0" fontId="1" fillId="0" borderId="21" xfId="53" applyFont="1" applyFill="1" applyBorder="1" applyAlignment="1">
      <alignment horizontal="center" vertical="center" wrapText="1"/>
      <protection/>
    </xf>
    <xf numFmtId="0" fontId="45" fillId="0" borderId="21" xfId="53" applyFont="1" applyFill="1" applyBorder="1" applyAlignment="1">
      <alignment horizontal="left" vertical="center" wrapText="1"/>
      <protection/>
    </xf>
    <xf numFmtId="49" fontId="1" fillId="0" borderId="22" xfId="53" applyNumberFormat="1" applyFont="1" applyFill="1" applyBorder="1" applyAlignment="1">
      <alignment horizontal="center" vertical="center" wrapText="1"/>
      <protection/>
    </xf>
    <xf numFmtId="49" fontId="1" fillId="0" borderId="21" xfId="53" applyNumberFormat="1" applyFont="1" applyFill="1" applyBorder="1" applyAlignment="1">
      <alignment horizontal="center" vertical="center" wrapText="1"/>
      <protection/>
    </xf>
    <xf numFmtId="0" fontId="1" fillId="0" borderId="21" xfId="53" applyFont="1" applyFill="1" applyBorder="1" applyAlignment="1">
      <alignment vertical="center" wrapText="1"/>
      <protection/>
    </xf>
    <xf numFmtId="0" fontId="1" fillId="0" borderId="21" xfId="53" applyFont="1" applyFill="1" applyBorder="1" applyAlignment="1">
      <alignment horizontal="left" vertical="center" wrapText="1"/>
      <protection/>
    </xf>
    <xf numFmtId="0" fontId="45" fillId="0" borderId="21" xfId="53" applyFont="1" applyFill="1" applyBorder="1" applyAlignment="1">
      <alignment vertical="center" wrapText="1"/>
      <protection/>
    </xf>
    <xf numFmtId="0" fontId="45" fillId="24" borderId="21" xfId="53" applyFont="1" applyFill="1" applyBorder="1" applyAlignment="1">
      <alignment horizontal="left" vertical="center" wrapText="1"/>
      <protection/>
    </xf>
    <xf numFmtId="0" fontId="1" fillId="24" borderId="0" xfId="53" applyFont="1" applyFill="1">
      <alignment/>
      <protection/>
    </xf>
    <xf numFmtId="49" fontId="1" fillId="24" borderId="22" xfId="53" applyNumberFormat="1" applyFont="1" applyFill="1" applyBorder="1" applyAlignment="1">
      <alignment horizontal="center" vertical="center" wrapText="1"/>
      <protection/>
    </xf>
    <xf numFmtId="49" fontId="1" fillId="24" borderId="21" xfId="53" applyNumberFormat="1" applyFont="1" applyFill="1" applyBorder="1" applyAlignment="1">
      <alignment horizontal="center" vertical="center" wrapText="1"/>
      <protection/>
    </xf>
    <xf numFmtId="0" fontId="1" fillId="24" borderId="21" xfId="53" applyFont="1" applyFill="1" applyBorder="1" applyAlignment="1">
      <alignment horizontal="left" vertical="center" wrapText="1"/>
      <protection/>
    </xf>
    <xf numFmtId="0" fontId="45" fillId="0" borderId="0" xfId="53" applyFont="1" applyFill="1">
      <alignment/>
      <protection/>
    </xf>
    <xf numFmtId="49" fontId="1" fillId="25" borderId="22" xfId="53" applyNumberFormat="1" applyFont="1" applyFill="1" applyBorder="1" applyAlignment="1">
      <alignment horizontal="center" vertical="center" wrapText="1"/>
      <protection/>
    </xf>
    <xf numFmtId="49" fontId="1" fillId="25" borderId="21" xfId="53" applyNumberFormat="1" applyFont="1" applyFill="1" applyBorder="1" applyAlignment="1">
      <alignment horizontal="center" vertical="center" wrapText="1"/>
      <protection/>
    </xf>
    <xf numFmtId="0" fontId="1" fillId="25" borderId="21" xfId="53" applyFont="1" applyFill="1" applyBorder="1" applyAlignment="1">
      <alignment vertical="center" wrapText="1"/>
      <protection/>
    </xf>
    <xf numFmtId="0" fontId="1" fillId="25" borderId="0" xfId="53" applyFont="1" applyFill="1">
      <alignment/>
      <protection/>
    </xf>
    <xf numFmtId="49" fontId="0" fillId="0" borderId="21" xfId="53" applyNumberFormat="1" applyFont="1" applyFill="1" applyBorder="1" applyAlignment="1">
      <alignment horizontal="center" vertical="center" wrapText="1"/>
      <protection/>
    </xf>
    <xf numFmtId="49" fontId="1" fillId="0" borderId="21" xfId="53" applyNumberFormat="1" applyFont="1" applyFill="1" applyBorder="1" applyAlignment="1">
      <alignment horizontal="left" vertical="center" wrapText="1"/>
      <protection/>
    </xf>
    <xf numFmtId="0" fontId="45" fillId="0" borderId="0" xfId="53" applyFont="1" applyFill="1" applyBorder="1" applyAlignment="1">
      <alignment vertical="center" wrapText="1"/>
      <protection/>
    </xf>
    <xf numFmtId="0" fontId="1" fillId="0" borderId="21" xfId="53" applyFont="1" applyFill="1" applyBorder="1" applyAlignment="1">
      <alignment wrapText="1"/>
      <protection/>
    </xf>
    <xf numFmtId="0" fontId="1" fillId="0" borderId="21" xfId="53" applyNumberFormat="1" applyFont="1" applyFill="1" applyBorder="1" applyAlignment="1">
      <alignment vertical="center" wrapText="1"/>
      <protection/>
    </xf>
    <xf numFmtId="0" fontId="47" fillId="0" borderId="0" xfId="53" applyFont="1" applyFill="1">
      <alignment/>
      <protection/>
    </xf>
    <xf numFmtId="0" fontId="1" fillId="24" borderId="21" xfId="53" applyFont="1" applyFill="1" applyBorder="1" applyAlignment="1">
      <alignment horizontal="center" vertical="center" wrapText="1"/>
      <protection/>
    </xf>
    <xf numFmtId="0" fontId="1" fillId="24" borderId="21" xfId="53" applyFont="1" applyFill="1" applyBorder="1" applyAlignment="1">
      <alignment vertical="center" wrapText="1"/>
      <protection/>
    </xf>
    <xf numFmtId="0" fontId="45" fillId="24" borderId="0" xfId="53" applyFont="1" applyFill="1">
      <alignment/>
      <protection/>
    </xf>
    <xf numFmtId="0" fontId="1" fillId="0" borderId="21" xfId="53" applyFont="1" applyFill="1" applyBorder="1" applyAlignment="1">
      <alignment vertical="center"/>
      <protection/>
    </xf>
    <xf numFmtId="0" fontId="1" fillId="0" borderId="22" xfId="53" applyFont="1" applyFill="1" applyBorder="1" applyAlignment="1">
      <alignment horizontal="center" vertical="center" wrapText="1"/>
      <protection/>
    </xf>
    <xf numFmtId="49" fontId="45" fillId="0" borderId="21" xfId="53" applyNumberFormat="1" applyFont="1" applyFill="1" applyBorder="1" applyAlignment="1">
      <alignment horizontal="left" vertical="center" wrapText="1"/>
      <protection/>
    </xf>
    <xf numFmtId="0" fontId="1" fillId="24" borderId="22" xfId="53" applyFont="1" applyFill="1" applyBorder="1" applyAlignment="1">
      <alignment horizontal="center" vertical="center" wrapText="1"/>
      <protection/>
    </xf>
    <xf numFmtId="49" fontId="0" fillId="24" borderId="21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3" fontId="0" fillId="0" borderId="0" xfId="64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1" fillId="0" borderId="0" xfId="53" applyFont="1" applyFill="1" applyAlignment="1">
      <alignment horizontal="left" wrapText="1"/>
      <protection/>
    </xf>
    <xf numFmtId="0" fontId="18" fillId="0" borderId="26" xfId="56" applyFont="1" applyBorder="1" applyAlignment="1">
      <alignment horizontal="center" vertical="center" wrapText="1"/>
      <protection/>
    </xf>
    <xf numFmtId="0" fontId="18" fillId="0" borderId="41" xfId="56" applyFont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21" xfId="53" applyFont="1" applyFill="1" applyBorder="1" applyAlignment="1">
      <alignment horizontal="center" vertical="center" wrapText="1"/>
      <protection/>
    </xf>
    <xf numFmtId="49" fontId="45" fillId="0" borderId="22" xfId="53" applyNumberFormat="1" applyFont="1" applyFill="1" applyBorder="1" applyAlignment="1">
      <alignment horizontal="left" vertical="center" wrapText="1"/>
      <protection/>
    </xf>
    <xf numFmtId="49" fontId="45" fillId="0" borderId="25" xfId="53" applyNumberFormat="1" applyFont="1" applyFill="1" applyBorder="1" applyAlignment="1">
      <alignment horizontal="left" vertical="center" wrapText="1"/>
      <protection/>
    </xf>
    <xf numFmtId="49" fontId="45" fillId="24" borderId="22" xfId="53" applyNumberFormat="1" applyFont="1" applyFill="1" applyBorder="1" applyAlignment="1">
      <alignment horizontal="left" vertical="center" wrapText="1"/>
      <protection/>
    </xf>
    <xf numFmtId="49" fontId="45" fillId="24" borderId="25" xfId="53" applyNumberFormat="1" applyFont="1" applyFill="1" applyBorder="1" applyAlignment="1">
      <alignment horizontal="left" vertical="center" wrapText="1"/>
      <protection/>
    </xf>
    <xf numFmtId="0" fontId="45" fillId="0" borderId="22" xfId="53" applyFont="1" applyFill="1" applyBorder="1" applyAlignment="1">
      <alignment horizontal="left" vertical="center" wrapText="1"/>
      <protection/>
    </xf>
    <xf numFmtId="0" fontId="45" fillId="0" borderId="25" xfId="53" applyFont="1" applyFill="1" applyBorder="1" applyAlignment="1">
      <alignment horizontal="left" vertical="center" wrapText="1"/>
      <protection/>
    </xf>
    <xf numFmtId="0" fontId="1" fillId="0" borderId="22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left" vertical="center" wrapText="1"/>
      <protection/>
    </xf>
    <xf numFmtId="0" fontId="46" fillId="0" borderId="0" xfId="53" applyFont="1" applyFill="1" applyAlignment="1">
      <alignment horizontal="left" vertical="center" wrapText="1"/>
      <protection/>
    </xf>
    <xf numFmtId="0" fontId="1" fillId="0" borderId="0" xfId="0" applyFont="1" applyFill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8" fillId="0" borderId="21" xfId="56" applyFont="1" applyBorder="1" applyAlignment="1">
      <alignment horizontal="center" vertical="center" wrapText="1"/>
      <protection/>
    </xf>
    <xf numFmtId="0" fontId="17" fillId="0" borderId="0" xfId="56" applyFont="1" applyAlignment="1">
      <alignment horizontal="center" vertical="justify" wrapText="1"/>
      <protection/>
    </xf>
    <xf numFmtId="0" fontId="17" fillId="0" borderId="0" xfId="56" applyFont="1" applyAlignment="1">
      <alignment horizontal="center" vertical="justify"/>
      <protection/>
    </xf>
    <xf numFmtId="0" fontId="18" fillId="0" borderId="18" xfId="56" applyFont="1" applyBorder="1" applyAlignment="1">
      <alignment horizontal="center" vertical="center" wrapText="1"/>
      <protection/>
    </xf>
    <xf numFmtId="49" fontId="19" fillId="0" borderId="21" xfId="56" applyNumberFormat="1" applyFont="1" applyBorder="1" applyAlignment="1">
      <alignment horizontal="center" vertical="center" wrapText="1"/>
      <protection/>
    </xf>
    <xf numFmtId="0" fontId="1" fillId="0" borderId="21" xfId="53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vertical="center"/>
      <protection/>
    </xf>
    <xf numFmtId="0" fontId="1" fillId="0" borderId="21" xfId="53" applyFont="1" applyFill="1" applyBorder="1" applyAlignment="1">
      <alignment vertical="center" wrapText="1"/>
      <protection/>
    </xf>
    <xf numFmtId="0" fontId="1" fillId="0" borderId="0" xfId="53" applyFont="1" applyFill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на 2008 год 1" xfId="54"/>
    <cellStyle name="Обычный_Источники" xfId="55"/>
    <cellStyle name="Обычный_Приложение №1+№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%20&#1091;&#1090;&#1086;&#1095;&#1085;&#1077;&#1085;&#1080;&#1102;%202012%20&#1075;&#1086;&#1076;%20(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жидаемое"/>
      <sheetName val="Перечень ГАД"/>
      <sheetName val="функцион.2012"/>
      <sheetName val="ведомствен.2012"/>
      <sheetName val="Источники 2012"/>
      <sheetName val="Прогр.заимств."/>
      <sheetName val="прогр.заимств.2013-2014"/>
      <sheetName val="источники 2013-2014"/>
    </sheetNames>
    <sheetDataSet>
      <sheetData sheetId="3">
        <row r="12">
          <cell r="G12">
            <v>19476.3</v>
          </cell>
        </row>
        <row r="16">
          <cell r="G16">
            <v>1588.1</v>
          </cell>
        </row>
        <row r="20">
          <cell r="G20">
            <v>17155.2</v>
          </cell>
        </row>
        <row r="26">
          <cell r="G26">
            <v>733</v>
          </cell>
        </row>
        <row r="38">
          <cell r="G38">
            <v>5289.200000000001</v>
          </cell>
        </row>
        <row r="42">
          <cell r="G42">
            <v>3782.8</v>
          </cell>
        </row>
        <row r="44">
          <cell r="G44">
            <v>1506.4</v>
          </cell>
        </row>
        <row r="46">
          <cell r="G46">
            <v>360573.6</v>
          </cell>
        </row>
        <row r="49">
          <cell r="G49">
            <v>34252.6</v>
          </cell>
        </row>
        <row r="54">
          <cell r="G54">
            <v>58663.2</v>
          </cell>
        </row>
        <row r="58">
          <cell r="G58">
            <v>77080.7</v>
          </cell>
        </row>
        <row r="60">
          <cell r="G60">
            <v>40000</v>
          </cell>
        </row>
        <row r="64">
          <cell r="G64">
            <v>55800</v>
          </cell>
        </row>
        <row r="66">
          <cell r="G66">
            <v>6459.3</v>
          </cell>
        </row>
        <row r="67">
          <cell r="G67">
            <v>88317.8</v>
          </cell>
        </row>
        <row r="78">
          <cell r="G78">
            <v>200879.6</v>
          </cell>
        </row>
        <row r="83">
          <cell r="G83">
            <v>24367</v>
          </cell>
        </row>
        <row r="90">
          <cell r="G90">
            <v>9870.7</v>
          </cell>
        </row>
        <row r="124">
          <cell r="G124">
            <v>66.1</v>
          </cell>
        </row>
        <row r="129">
          <cell r="G129">
            <v>40</v>
          </cell>
        </row>
        <row r="145">
          <cell r="G145">
            <v>4023.9</v>
          </cell>
        </row>
        <row r="148">
          <cell r="G148">
            <v>14946</v>
          </cell>
        </row>
        <row r="151">
          <cell r="G151">
            <v>88.3</v>
          </cell>
        </row>
        <row r="154">
          <cell r="G154">
            <v>12786.4</v>
          </cell>
        </row>
        <row r="161">
          <cell r="G161">
            <v>27559.8</v>
          </cell>
        </row>
        <row r="162">
          <cell r="G162">
            <v>21120.6</v>
          </cell>
        </row>
        <row r="172">
          <cell r="G172">
            <v>38922.8</v>
          </cell>
        </row>
        <row r="182">
          <cell r="G182">
            <v>2970</v>
          </cell>
        </row>
        <row r="184">
          <cell r="G184">
            <v>26719.5</v>
          </cell>
        </row>
        <row r="194">
          <cell r="G194">
            <v>940.3</v>
          </cell>
        </row>
        <row r="198">
          <cell r="G198">
            <v>16458.2</v>
          </cell>
        </row>
        <row r="227">
          <cell r="G227">
            <v>82309.19999999998</v>
          </cell>
        </row>
        <row r="231">
          <cell r="G231">
            <v>71641.9</v>
          </cell>
        </row>
        <row r="233">
          <cell r="G233">
            <v>1319.8</v>
          </cell>
        </row>
        <row r="236">
          <cell r="G236">
            <v>89.4</v>
          </cell>
        </row>
        <row r="238">
          <cell r="G238">
            <v>170.1</v>
          </cell>
        </row>
        <row r="241">
          <cell r="G241">
            <v>340.7</v>
          </cell>
        </row>
        <row r="243">
          <cell r="G243">
            <v>706.9</v>
          </cell>
        </row>
        <row r="248">
          <cell r="G248">
            <v>224.8</v>
          </cell>
        </row>
        <row r="251">
          <cell r="G251">
            <v>36.4</v>
          </cell>
        </row>
        <row r="259">
          <cell r="G259">
            <v>411.2</v>
          </cell>
        </row>
        <row r="279">
          <cell r="G279">
            <v>4917.9</v>
          </cell>
        </row>
        <row r="288">
          <cell r="G288">
            <v>2318.1</v>
          </cell>
        </row>
        <row r="291">
          <cell r="G291">
            <v>32</v>
          </cell>
        </row>
        <row r="293">
          <cell r="G293">
            <v>45</v>
          </cell>
        </row>
        <row r="295">
          <cell r="G295">
            <v>15</v>
          </cell>
        </row>
        <row r="297">
          <cell r="G297">
            <v>40</v>
          </cell>
        </row>
        <row r="302">
          <cell r="G302">
            <v>25573.999999999996</v>
          </cell>
        </row>
        <row r="306">
          <cell r="G306">
            <v>5047.3</v>
          </cell>
        </row>
        <row r="313">
          <cell r="G313">
            <v>1932.8</v>
          </cell>
        </row>
        <row r="315">
          <cell r="G315">
            <v>4000</v>
          </cell>
        </row>
        <row r="318">
          <cell r="G318">
            <v>188.4</v>
          </cell>
        </row>
        <row r="321">
          <cell r="G321">
            <v>12468.4</v>
          </cell>
        </row>
        <row r="331">
          <cell r="G331">
            <v>1800</v>
          </cell>
        </row>
        <row r="333">
          <cell r="G333">
            <v>137.1</v>
          </cell>
        </row>
        <row r="340">
          <cell r="G340">
            <v>19971.6</v>
          </cell>
        </row>
        <row r="358">
          <cell r="G358">
            <v>4235.9</v>
          </cell>
        </row>
        <row r="361">
          <cell r="G361">
            <v>4011</v>
          </cell>
        </row>
        <row r="365">
          <cell r="G365">
            <v>800</v>
          </cell>
        </row>
        <row r="368">
          <cell r="G368">
            <v>1762.7</v>
          </cell>
        </row>
        <row r="370">
          <cell r="G370">
            <v>2185</v>
          </cell>
        </row>
        <row r="373">
          <cell r="G373">
            <v>699</v>
          </cell>
        </row>
        <row r="375">
          <cell r="G375">
            <v>6278</v>
          </cell>
        </row>
        <row r="378">
          <cell r="G378">
            <v>216456.90000000002</v>
          </cell>
        </row>
        <row r="385">
          <cell r="G385">
            <v>53900.3</v>
          </cell>
        </row>
        <row r="397">
          <cell r="G397">
            <v>26088.8</v>
          </cell>
        </row>
        <row r="491">
          <cell r="G491">
            <v>47.8</v>
          </cell>
        </row>
        <row r="494">
          <cell r="G494">
            <v>96500</v>
          </cell>
        </row>
        <row r="506">
          <cell r="G506">
            <v>9308.9</v>
          </cell>
        </row>
        <row r="517">
          <cell r="G517">
            <v>3145.5</v>
          </cell>
        </row>
        <row r="520">
          <cell r="G520">
            <v>7193.6</v>
          </cell>
        </row>
        <row r="521">
          <cell r="G521">
            <v>1072.5</v>
          </cell>
        </row>
        <row r="523">
          <cell r="G523">
            <v>3131.6</v>
          </cell>
        </row>
        <row r="527">
          <cell r="G527">
            <v>8550.2</v>
          </cell>
        </row>
        <row r="530">
          <cell r="G530">
            <v>2670</v>
          </cell>
        </row>
        <row r="532">
          <cell r="G532">
            <v>4847.7</v>
          </cell>
        </row>
        <row r="533">
          <cell r="G533">
            <v>6702.2</v>
          </cell>
        </row>
        <row r="537">
          <cell r="G537">
            <v>4682.2</v>
          </cell>
        </row>
        <row r="547">
          <cell r="G547">
            <v>420</v>
          </cell>
        </row>
        <row r="549">
          <cell r="G549">
            <v>1600</v>
          </cell>
        </row>
        <row r="553">
          <cell r="G553">
            <v>468.4</v>
          </cell>
        </row>
        <row r="558">
          <cell r="G558">
            <v>368.4</v>
          </cell>
        </row>
        <row r="560">
          <cell r="G560">
            <v>368.4</v>
          </cell>
        </row>
        <row r="570">
          <cell r="G570">
            <v>100</v>
          </cell>
        </row>
        <row r="646">
          <cell r="G646">
            <v>1504.9</v>
          </cell>
        </row>
        <row r="647">
          <cell r="G647">
            <v>115</v>
          </cell>
        </row>
        <row r="653">
          <cell r="G653">
            <v>115</v>
          </cell>
        </row>
        <row r="655">
          <cell r="G655">
            <v>20604.5</v>
          </cell>
        </row>
        <row r="659">
          <cell r="G659">
            <v>5265.1</v>
          </cell>
        </row>
        <row r="661">
          <cell r="G661">
            <v>15339.4</v>
          </cell>
        </row>
        <row r="689">
          <cell r="G689">
            <v>3783.9000000000005</v>
          </cell>
        </row>
        <row r="692">
          <cell r="G692">
            <v>250.3</v>
          </cell>
        </row>
        <row r="696">
          <cell r="G696">
            <v>2.3</v>
          </cell>
        </row>
        <row r="700">
          <cell r="G700">
            <v>218.1</v>
          </cell>
        </row>
        <row r="704">
          <cell r="G704">
            <v>6.9</v>
          </cell>
        </row>
        <row r="708">
          <cell r="G708">
            <v>23</v>
          </cell>
        </row>
        <row r="709">
          <cell r="G709">
            <v>78.2</v>
          </cell>
        </row>
        <row r="713">
          <cell r="G713">
            <v>78.2</v>
          </cell>
        </row>
        <row r="714">
          <cell r="G714">
            <v>6057.4</v>
          </cell>
        </row>
        <row r="717">
          <cell r="G717">
            <v>3190.8</v>
          </cell>
        </row>
        <row r="719">
          <cell r="G719">
            <v>2866.6</v>
          </cell>
        </row>
        <row r="720">
          <cell r="G720">
            <v>6.9</v>
          </cell>
        </row>
        <row r="724">
          <cell r="G724">
            <v>6.9</v>
          </cell>
        </row>
        <row r="725">
          <cell r="G725">
            <v>27.6</v>
          </cell>
        </row>
        <row r="729">
          <cell r="G729">
            <v>27.6</v>
          </cell>
        </row>
        <row r="730">
          <cell r="G730">
            <v>63217.200000000004</v>
          </cell>
        </row>
        <row r="731">
          <cell r="G731">
            <v>5427.9</v>
          </cell>
        </row>
        <row r="734">
          <cell r="G734">
            <v>5427.9</v>
          </cell>
        </row>
        <row r="738">
          <cell r="G738">
            <v>4294.5</v>
          </cell>
        </row>
        <row r="741">
          <cell r="G741">
            <v>1351.8</v>
          </cell>
        </row>
        <row r="744">
          <cell r="G744">
            <v>349.4</v>
          </cell>
        </row>
        <row r="746">
          <cell r="G746">
            <v>38.5</v>
          </cell>
        </row>
        <row r="748">
          <cell r="G748">
            <v>51064.8</v>
          </cell>
        </row>
        <row r="751">
          <cell r="G751">
            <v>250.6</v>
          </cell>
        </row>
        <row r="755">
          <cell r="G755">
            <v>16.1</v>
          </cell>
        </row>
        <row r="758">
          <cell r="G758">
            <v>122.4</v>
          </cell>
        </row>
        <row r="762">
          <cell r="G762">
            <v>301.2</v>
          </cell>
        </row>
        <row r="773">
          <cell r="G773">
            <v>432.2</v>
          </cell>
        </row>
        <row r="776">
          <cell r="G776">
            <v>55.2</v>
          </cell>
        </row>
        <row r="779">
          <cell r="G779">
            <v>287.4</v>
          </cell>
        </row>
        <row r="783">
          <cell r="G783">
            <v>41.4</v>
          </cell>
        </row>
        <row r="788">
          <cell r="G788">
            <v>2678.3</v>
          </cell>
        </row>
        <row r="792">
          <cell r="G792">
            <v>2848.5</v>
          </cell>
        </row>
        <row r="795">
          <cell r="G795">
            <v>370.1</v>
          </cell>
        </row>
        <row r="798">
          <cell r="G798">
            <v>34.5</v>
          </cell>
        </row>
        <row r="802">
          <cell r="G802">
            <v>597.7</v>
          </cell>
        </row>
        <row r="806">
          <cell r="G806">
            <v>66.7</v>
          </cell>
        </row>
        <row r="811">
          <cell r="G811">
            <v>3199.4</v>
          </cell>
        </row>
        <row r="815">
          <cell r="G815">
            <v>50</v>
          </cell>
        </row>
        <row r="820">
          <cell r="G820">
            <v>1977.4</v>
          </cell>
        </row>
        <row r="822">
          <cell r="G822">
            <v>34432.1</v>
          </cell>
        </row>
        <row r="826">
          <cell r="G826">
            <v>300</v>
          </cell>
        </row>
        <row r="835">
          <cell r="G835">
            <v>873.3</v>
          </cell>
        </row>
        <row r="836">
          <cell r="G836">
            <v>12.5</v>
          </cell>
        </row>
        <row r="838">
          <cell r="G838">
            <v>179.6</v>
          </cell>
        </row>
        <row r="840">
          <cell r="G840">
            <v>153</v>
          </cell>
        </row>
        <row r="842">
          <cell r="G842">
            <v>1994.3</v>
          </cell>
        </row>
        <row r="844">
          <cell r="G844">
            <v>10693.4</v>
          </cell>
        </row>
        <row r="846">
          <cell r="G846">
            <v>56105</v>
          </cell>
        </row>
        <row r="847">
          <cell r="G847">
            <v>14453.4</v>
          </cell>
        </row>
        <row r="849">
          <cell r="G849">
            <v>4523.1</v>
          </cell>
        </row>
        <row r="852">
          <cell r="G852">
            <v>52573.9</v>
          </cell>
        </row>
        <row r="853">
          <cell r="G853">
            <v>398.2</v>
          </cell>
        </row>
        <row r="854">
          <cell r="G854">
            <v>4705.1</v>
          </cell>
        </row>
        <row r="857">
          <cell r="G857">
            <v>5271.4</v>
          </cell>
        </row>
        <row r="858">
          <cell r="G858">
            <v>19.8</v>
          </cell>
        </row>
        <row r="863">
          <cell r="G863">
            <v>12819.8</v>
          </cell>
        </row>
        <row r="865">
          <cell r="G865">
            <v>6110.6</v>
          </cell>
        </row>
        <row r="868">
          <cell r="G868">
            <v>115.7</v>
          </cell>
        </row>
        <row r="870">
          <cell r="G870">
            <v>134246.9</v>
          </cell>
        </row>
        <row r="871">
          <cell r="G871">
            <v>489.3</v>
          </cell>
        </row>
        <row r="873">
          <cell r="G873">
            <v>83492.9</v>
          </cell>
        </row>
        <row r="876">
          <cell r="G876">
            <v>50197</v>
          </cell>
        </row>
        <row r="878">
          <cell r="G878">
            <v>19493</v>
          </cell>
        </row>
        <row r="880">
          <cell r="G880">
            <v>18167</v>
          </cell>
        </row>
        <row r="882">
          <cell r="G882">
            <v>8964.7</v>
          </cell>
        </row>
        <row r="890">
          <cell r="G890">
            <v>122109.8</v>
          </cell>
        </row>
        <row r="891">
          <cell r="G891">
            <v>822.8</v>
          </cell>
        </row>
        <row r="892">
          <cell r="G892">
            <v>1172</v>
          </cell>
        </row>
        <row r="895">
          <cell r="G895">
            <v>845</v>
          </cell>
        </row>
        <row r="897">
          <cell r="G897">
            <v>303.8</v>
          </cell>
        </row>
        <row r="901">
          <cell r="G901">
            <v>8505.5</v>
          </cell>
        </row>
        <row r="902">
          <cell r="G902">
            <v>44.7</v>
          </cell>
        </row>
        <row r="905">
          <cell r="G905">
            <v>1952.1</v>
          </cell>
        </row>
        <row r="908">
          <cell r="G908">
            <v>4206.5</v>
          </cell>
        </row>
        <row r="909">
          <cell r="G909">
            <v>7200</v>
          </cell>
        </row>
        <row r="918">
          <cell r="G918">
            <v>3820.3</v>
          </cell>
        </row>
        <row r="920">
          <cell r="G920">
            <v>2323.2</v>
          </cell>
        </row>
        <row r="926">
          <cell r="G926">
            <v>27808</v>
          </cell>
        </row>
        <row r="930">
          <cell r="G930">
            <v>3121.5</v>
          </cell>
        </row>
        <row r="934">
          <cell r="G934">
            <v>4023.2</v>
          </cell>
        </row>
        <row r="938">
          <cell r="G938">
            <v>16483.8</v>
          </cell>
        </row>
        <row r="940">
          <cell r="G940">
            <v>3473.8</v>
          </cell>
        </row>
        <row r="941">
          <cell r="G941">
            <v>1200</v>
          </cell>
        </row>
        <row r="946">
          <cell r="G946">
            <v>2.3</v>
          </cell>
        </row>
        <row r="947">
          <cell r="G947">
            <v>1016.7</v>
          </cell>
        </row>
        <row r="948">
          <cell r="G948">
            <v>151</v>
          </cell>
        </row>
        <row r="950">
          <cell r="G950">
            <v>30741.1</v>
          </cell>
        </row>
        <row r="953">
          <cell r="G953">
            <v>27443.5</v>
          </cell>
        </row>
        <row r="958">
          <cell r="G958">
            <v>2519.1</v>
          </cell>
        </row>
        <row r="961">
          <cell r="G961">
            <v>778.5</v>
          </cell>
        </row>
        <row r="962">
          <cell r="G962">
            <v>330</v>
          </cell>
        </row>
        <row r="966">
          <cell r="G966">
            <v>330</v>
          </cell>
        </row>
        <row r="970">
          <cell r="G970">
            <v>6799.700000000001</v>
          </cell>
        </row>
        <row r="980">
          <cell r="G980">
            <v>2969.3</v>
          </cell>
        </row>
        <row r="988">
          <cell r="G988">
            <v>3830.4</v>
          </cell>
        </row>
        <row r="989">
          <cell r="G989">
            <v>25136.1</v>
          </cell>
        </row>
        <row r="1000">
          <cell r="G1000">
            <v>2193.6</v>
          </cell>
        </row>
        <row r="1007">
          <cell r="G1007">
            <v>17728.9</v>
          </cell>
        </row>
        <row r="1010">
          <cell r="G1010">
            <v>5213.6</v>
          </cell>
        </row>
        <row r="1016">
          <cell r="G1016">
            <v>1425.6</v>
          </cell>
        </row>
        <row r="1018">
          <cell r="G1018">
            <v>4436.9</v>
          </cell>
        </row>
        <row r="1021">
          <cell r="G1021">
            <v>3020.4</v>
          </cell>
        </row>
        <row r="1026">
          <cell r="G1026">
            <v>5738.2</v>
          </cell>
        </row>
        <row r="1033">
          <cell r="G1033">
            <v>3514.4</v>
          </cell>
        </row>
        <row r="1038">
          <cell r="G1038">
            <v>13908</v>
          </cell>
        </row>
        <row r="1054">
          <cell r="G1054">
            <v>52536.1</v>
          </cell>
        </row>
        <row r="1058">
          <cell r="G1058">
            <v>316</v>
          </cell>
        </row>
        <row r="1062">
          <cell r="G1062">
            <v>47076.7</v>
          </cell>
        </row>
        <row r="1065">
          <cell r="G1065">
            <v>40</v>
          </cell>
        </row>
        <row r="1067">
          <cell r="G1067">
            <v>60</v>
          </cell>
        </row>
        <row r="1070">
          <cell r="G1070">
            <v>230</v>
          </cell>
        </row>
        <row r="1074">
          <cell r="G1074">
            <v>35</v>
          </cell>
        </row>
        <row r="1080">
          <cell r="G1080">
            <v>445.9</v>
          </cell>
        </row>
        <row r="1084">
          <cell r="G1084">
            <v>1899.7</v>
          </cell>
        </row>
        <row r="1088">
          <cell r="G1088">
            <v>537.1</v>
          </cell>
        </row>
        <row r="1091">
          <cell r="G1091">
            <v>177</v>
          </cell>
        </row>
        <row r="1096">
          <cell r="G1096">
            <v>50.5</v>
          </cell>
        </row>
        <row r="1097">
          <cell r="G1097">
            <v>69.9</v>
          </cell>
        </row>
        <row r="1101">
          <cell r="G1101">
            <v>204.5</v>
          </cell>
        </row>
        <row r="1105">
          <cell r="G1105">
            <v>1393.8</v>
          </cell>
        </row>
        <row r="1117">
          <cell r="G1117">
            <v>3010</v>
          </cell>
        </row>
        <row r="1118">
          <cell r="G1118">
            <v>160</v>
          </cell>
        </row>
        <row r="1120">
          <cell r="G1120">
            <v>2503.6</v>
          </cell>
        </row>
        <row r="1124">
          <cell r="G1124">
            <v>363.5</v>
          </cell>
        </row>
        <row r="1128">
          <cell r="G1128">
            <v>35</v>
          </cell>
        </row>
        <row r="1131">
          <cell r="G1131">
            <v>3620.5</v>
          </cell>
        </row>
        <row r="1165">
          <cell r="G1165">
            <v>1262233.7999999998</v>
          </cell>
        </row>
        <row r="1166">
          <cell r="G1166">
            <v>486060</v>
          </cell>
        </row>
        <row r="1169">
          <cell r="G1169">
            <v>1210.2</v>
          </cell>
        </row>
        <row r="1170">
          <cell r="G1170">
            <v>4605.6</v>
          </cell>
        </row>
        <row r="1173">
          <cell r="G1173">
            <v>12</v>
          </cell>
        </row>
        <row r="1174">
          <cell r="G1174">
            <v>342</v>
          </cell>
        </row>
        <row r="1178">
          <cell r="G1178">
            <v>486.6</v>
          </cell>
        </row>
        <row r="1180">
          <cell r="G1180">
            <v>390533.7</v>
          </cell>
        </row>
        <row r="1183">
          <cell r="G1183">
            <v>420</v>
          </cell>
        </row>
        <row r="1185">
          <cell r="G1185">
            <v>371.5</v>
          </cell>
        </row>
        <row r="1187">
          <cell r="G1187">
            <v>2221.7</v>
          </cell>
        </row>
        <row r="1189">
          <cell r="G1189">
            <v>2151.5</v>
          </cell>
        </row>
        <row r="1191">
          <cell r="G1191">
            <v>54233.4</v>
          </cell>
        </row>
        <row r="1193">
          <cell r="G1193">
            <v>176.3</v>
          </cell>
        </row>
        <row r="1195">
          <cell r="G1195">
            <v>8.4</v>
          </cell>
        </row>
        <row r="1196">
          <cell r="G1196">
            <v>53</v>
          </cell>
        </row>
        <row r="1198">
          <cell r="G1198">
            <v>385.2</v>
          </cell>
        </row>
        <row r="1215">
          <cell r="G1215">
            <v>1722.1</v>
          </cell>
        </row>
        <row r="1216">
          <cell r="G1216">
            <v>10248.1</v>
          </cell>
        </row>
        <row r="1218">
          <cell r="G1218">
            <v>14</v>
          </cell>
        </row>
        <row r="1219">
          <cell r="G1219">
            <v>97</v>
          </cell>
        </row>
        <row r="1222">
          <cell r="G1222">
            <v>196.1</v>
          </cell>
        </row>
        <row r="1223">
          <cell r="G1223">
            <v>2782</v>
          </cell>
        </row>
        <row r="1225">
          <cell r="G1225">
            <v>1796</v>
          </cell>
        </row>
        <row r="1226">
          <cell r="G1226">
            <v>3574</v>
          </cell>
        </row>
        <row r="1227">
          <cell r="G1227">
            <v>8419.6</v>
          </cell>
        </row>
        <row r="1231">
          <cell r="G1231">
            <v>2078.1</v>
          </cell>
        </row>
        <row r="1232">
          <cell r="G1232">
            <v>1008</v>
          </cell>
        </row>
        <row r="1236">
          <cell r="G1236">
            <v>2000</v>
          </cell>
        </row>
        <row r="1240">
          <cell r="G1240">
            <v>397.7</v>
          </cell>
        </row>
        <row r="1242">
          <cell r="G1242">
            <v>52760.9</v>
          </cell>
        </row>
        <row r="1245">
          <cell r="G1245">
            <v>296.5</v>
          </cell>
        </row>
        <row r="1247">
          <cell r="G1247">
            <v>115</v>
          </cell>
        </row>
        <row r="1249">
          <cell r="G1249">
            <v>523.8</v>
          </cell>
        </row>
        <row r="1251">
          <cell r="G1251">
            <v>4384.1</v>
          </cell>
        </row>
        <row r="1253">
          <cell r="G1253">
            <v>341.5</v>
          </cell>
        </row>
        <row r="1255">
          <cell r="G1255">
            <v>192730.3</v>
          </cell>
        </row>
        <row r="1256">
          <cell r="G1256">
            <v>1893.6</v>
          </cell>
        </row>
        <row r="1258">
          <cell r="G1258">
            <v>58576.9</v>
          </cell>
        </row>
        <row r="1260">
          <cell r="G1260">
            <v>482.4</v>
          </cell>
        </row>
        <row r="1266">
          <cell r="G1266">
            <v>5466.6</v>
          </cell>
        </row>
        <row r="1269">
          <cell r="G1269">
            <v>70.2</v>
          </cell>
        </row>
        <row r="1270">
          <cell r="G1270">
            <v>504.2</v>
          </cell>
        </row>
        <row r="1275">
          <cell r="G1275">
            <v>231262.5</v>
          </cell>
        </row>
        <row r="1280">
          <cell r="G1280">
            <v>126.1</v>
          </cell>
        </row>
        <row r="1282">
          <cell r="G1282">
            <v>29678</v>
          </cell>
        </row>
        <row r="1288">
          <cell r="G1288">
            <v>200</v>
          </cell>
        </row>
        <row r="1297">
          <cell r="G1297">
            <v>34.2</v>
          </cell>
        </row>
        <row r="1299">
          <cell r="G1299">
            <v>33.2</v>
          </cell>
        </row>
        <row r="1301">
          <cell r="G1301">
            <v>31752.2</v>
          </cell>
        </row>
        <row r="1307">
          <cell r="G1307">
            <v>27261.8</v>
          </cell>
        </row>
        <row r="1308">
          <cell r="G1308">
            <v>22486.2</v>
          </cell>
        </row>
        <row r="1311">
          <cell r="G1311">
            <v>6440.7</v>
          </cell>
        </row>
        <row r="1312">
          <cell r="G1312">
            <v>4977.2</v>
          </cell>
        </row>
        <row r="1314">
          <cell r="G1314">
            <v>548.9</v>
          </cell>
        </row>
        <row r="1315">
          <cell r="G1315">
            <v>451.9</v>
          </cell>
        </row>
        <row r="1318">
          <cell r="G1318">
            <v>96.5</v>
          </cell>
        </row>
        <row r="1319">
          <cell r="G1319">
            <v>95.1</v>
          </cell>
        </row>
        <row r="1337">
          <cell r="G1337">
            <v>1636.4</v>
          </cell>
        </row>
        <row r="1338">
          <cell r="G1338">
            <v>1426.5</v>
          </cell>
        </row>
        <row r="1340">
          <cell r="G1340">
            <v>3633.7</v>
          </cell>
        </row>
        <row r="1341">
          <cell r="G1341">
            <v>3633.7</v>
          </cell>
        </row>
        <row r="1343">
          <cell r="G1343">
            <v>24579</v>
          </cell>
        </row>
        <row r="1348">
          <cell r="G1348">
            <v>35</v>
          </cell>
        </row>
        <row r="1353">
          <cell r="G1353">
            <v>4475.9</v>
          </cell>
        </row>
        <row r="1356">
          <cell r="G1356">
            <v>34305.6</v>
          </cell>
        </row>
        <row r="1358">
          <cell r="G1358">
            <v>119.1</v>
          </cell>
        </row>
        <row r="1373">
          <cell r="G1373">
            <v>113.4</v>
          </cell>
        </row>
        <row r="1378">
          <cell r="G1378">
            <v>35.9</v>
          </cell>
        </row>
        <row r="1384">
          <cell r="G1384">
            <v>3316.7</v>
          </cell>
        </row>
        <row r="1385">
          <cell r="G1385">
            <v>6168.1</v>
          </cell>
        </row>
        <row r="1387">
          <cell r="G1387">
            <v>4442.6</v>
          </cell>
        </row>
        <row r="1388">
          <cell r="G1388">
            <v>6260.9</v>
          </cell>
        </row>
        <row r="1390">
          <cell r="G1390">
            <v>1877.2</v>
          </cell>
        </row>
        <row r="1391">
          <cell r="G1391">
            <v>1039.8</v>
          </cell>
        </row>
        <row r="1396">
          <cell r="G1396">
            <v>5041.4</v>
          </cell>
        </row>
        <row r="1401">
          <cell r="G1401">
            <v>23521.6</v>
          </cell>
        </row>
        <row r="1403">
          <cell r="G1403">
            <v>33144.8</v>
          </cell>
        </row>
        <row r="1407">
          <cell r="G1407">
            <v>248.4</v>
          </cell>
        </row>
        <row r="1411">
          <cell r="G1411">
            <v>31882.3</v>
          </cell>
        </row>
        <row r="1414">
          <cell r="G1414">
            <v>498.3</v>
          </cell>
        </row>
        <row r="1416">
          <cell r="G1416">
            <v>50.6</v>
          </cell>
        </row>
        <row r="1418">
          <cell r="G1418">
            <v>40.4</v>
          </cell>
        </row>
        <row r="1421">
          <cell r="G1421">
            <v>107.2</v>
          </cell>
        </row>
        <row r="1430">
          <cell r="G1430">
            <v>115</v>
          </cell>
        </row>
        <row r="1431">
          <cell r="G1431">
            <v>85</v>
          </cell>
        </row>
        <row r="1434">
          <cell r="G1434">
            <v>117.6</v>
          </cell>
        </row>
        <row r="1439">
          <cell r="G1439">
            <v>267.1</v>
          </cell>
        </row>
        <row r="1440">
          <cell r="G1440">
            <v>243.4</v>
          </cell>
        </row>
        <row r="1443">
          <cell r="G1443">
            <v>389.5</v>
          </cell>
        </row>
        <row r="1446">
          <cell r="G1446">
            <v>16302.7</v>
          </cell>
        </row>
        <row r="1449">
          <cell r="G1449">
            <v>667.5</v>
          </cell>
        </row>
        <row r="1451">
          <cell r="G1451">
            <v>160</v>
          </cell>
        </row>
        <row r="1453">
          <cell r="G1453">
            <v>310.2</v>
          </cell>
        </row>
        <row r="1455">
          <cell r="G1455">
            <v>12033</v>
          </cell>
        </row>
        <row r="1462">
          <cell r="G1462">
            <v>3306</v>
          </cell>
        </row>
        <row r="1467">
          <cell r="G1467">
            <v>303.7</v>
          </cell>
        </row>
        <row r="1469">
          <cell r="G1469">
            <v>50</v>
          </cell>
        </row>
        <row r="1472">
          <cell r="G1472">
            <v>21081.3</v>
          </cell>
        </row>
        <row r="1477">
          <cell r="G1477">
            <v>2068.7</v>
          </cell>
        </row>
        <row r="1484">
          <cell r="G1484">
            <v>328</v>
          </cell>
        </row>
        <row r="1485">
          <cell r="G1485">
            <v>126</v>
          </cell>
        </row>
        <row r="1489">
          <cell r="G1489">
            <v>41.4</v>
          </cell>
        </row>
        <row r="1492">
          <cell r="G1492">
            <v>19.4</v>
          </cell>
        </row>
        <row r="1495">
          <cell r="G1495">
            <v>5657.3</v>
          </cell>
        </row>
        <row r="1497">
          <cell r="G1497">
            <v>0</v>
          </cell>
        </row>
        <row r="1500">
          <cell r="G1500">
            <v>2470</v>
          </cell>
        </row>
        <row r="1501">
          <cell r="G1501">
            <v>1523.4</v>
          </cell>
        </row>
        <row r="1503">
          <cell r="G1503">
            <v>3190.4</v>
          </cell>
        </row>
        <row r="1504">
          <cell r="G1504">
            <v>696</v>
          </cell>
        </row>
        <row r="1518">
          <cell r="G1518">
            <v>265.1</v>
          </cell>
        </row>
        <row r="1523">
          <cell r="G1523">
            <v>3136.3</v>
          </cell>
        </row>
        <row r="1525">
          <cell r="G1525">
            <v>158.2</v>
          </cell>
        </row>
        <row r="1527">
          <cell r="G1527">
            <v>85</v>
          </cell>
        </row>
        <row r="1529">
          <cell r="G1529">
            <v>2860.3</v>
          </cell>
        </row>
        <row r="1531">
          <cell r="G1531">
            <v>9581.1</v>
          </cell>
        </row>
        <row r="1538">
          <cell r="G1538">
            <v>334.5</v>
          </cell>
        </row>
        <row r="1543">
          <cell r="G1543">
            <v>880.9</v>
          </cell>
        </row>
        <row r="1545">
          <cell r="G1545">
            <v>111.4</v>
          </cell>
        </row>
        <row r="1547">
          <cell r="G1547">
            <v>510.5</v>
          </cell>
        </row>
        <row r="1549">
          <cell r="G1549">
            <v>1977.2</v>
          </cell>
        </row>
        <row r="1553">
          <cell r="G1553">
            <v>10048.5</v>
          </cell>
        </row>
        <row r="1561">
          <cell r="G1561">
            <v>951.4</v>
          </cell>
        </row>
        <row r="1563">
          <cell r="G1563">
            <v>46</v>
          </cell>
        </row>
        <row r="1565">
          <cell r="G1565">
            <v>42.8</v>
          </cell>
        </row>
        <row r="1568">
          <cell r="G1568">
            <v>7283.5</v>
          </cell>
        </row>
        <row r="1573">
          <cell r="G1573">
            <v>21.2</v>
          </cell>
        </row>
        <row r="1575">
          <cell r="G1575">
            <v>2237.5</v>
          </cell>
        </row>
        <row r="1578">
          <cell r="G1578">
            <v>566</v>
          </cell>
        </row>
        <row r="1589">
          <cell r="G1589">
            <v>66440.3</v>
          </cell>
        </row>
        <row r="1593">
          <cell r="G1593">
            <v>9039.3</v>
          </cell>
        </row>
        <row r="1598">
          <cell r="G1598">
            <v>118967</v>
          </cell>
        </row>
        <row r="1601">
          <cell r="G1601">
            <v>11342.1</v>
          </cell>
        </row>
        <row r="1614">
          <cell r="G1614">
            <v>50093.1</v>
          </cell>
        </row>
        <row r="1616">
          <cell r="G1616">
            <v>4661.2</v>
          </cell>
        </row>
        <row r="1618">
          <cell r="G1618">
            <v>308.2</v>
          </cell>
        </row>
        <row r="1620">
          <cell r="G1620">
            <v>4770.2</v>
          </cell>
        </row>
        <row r="1625">
          <cell r="G1625">
            <v>3636531.1999999993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0"/>
  <sheetViews>
    <sheetView zoomScalePageLayoutView="0" workbookViewId="0" topLeftCell="A1">
      <selection activeCell="D1" sqref="D1:D16384"/>
    </sheetView>
  </sheetViews>
  <sheetFormatPr defaultColWidth="9.00390625" defaultRowHeight="12.75"/>
  <cols>
    <col min="1" max="1" width="9.75390625" style="338" customWidth="1"/>
    <col min="2" max="2" width="21.125" style="338" customWidth="1"/>
    <col min="3" max="3" width="73.125" style="375" customWidth="1"/>
    <col min="4" max="4" width="11.875" style="341" customWidth="1"/>
    <col min="5" max="16384" width="9.125" style="341" customWidth="1"/>
  </cols>
  <sheetData>
    <row r="1" ht="12.75">
      <c r="C1" s="339" t="s">
        <v>222</v>
      </c>
    </row>
    <row r="2" ht="12.75">
      <c r="C2" s="339" t="s">
        <v>751</v>
      </c>
    </row>
    <row r="3" ht="12.75">
      <c r="C3" s="339" t="s">
        <v>752</v>
      </c>
    </row>
    <row r="4" ht="12.75">
      <c r="C4" s="342" t="s">
        <v>223</v>
      </c>
    </row>
    <row r="5" spans="1:3" ht="49.5" customHeight="1">
      <c r="A5" s="387" t="s">
        <v>753</v>
      </c>
      <c r="B5" s="387"/>
      <c r="C5" s="387"/>
    </row>
    <row r="6" spans="1:3" ht="12.75">
      <c r="A6" s="388"/>
      <c r="B6" s="388"/>
      <c r="C6" s="343"/>
    </row>
    <row r="7" spans="1:3" ht="27" customHeight="1">
      <c r="A7" s="389" t="s">
        <v>754</v>
      </c>
      <c r="B7" s="389"/>
      <c r="C7" s="389" t="s">
        <v>755</v>
      </c>
    </row>
    <row r="8" spans="1:3" ht="54" customHeight="1">
      <c r="A8" s="344" t="s">
        <v>756</v>
      </c>
      <c r="B8" s="344" t="s">
        <v>757</v>
      </c>
      <c r="C8" s="389"/>
    </row>
    <row r="9" spans="1:3" ht="24" customHeight="1">
      <c r="A9" s="390" t="s">
        <v>758</v>
      </c>
      <c r="B9" s="391"/>
      <c r="C9" s="345" t="s">
        <v>759</v>
      </c>
    </row>
    <row r="10" spans="1:3" ht="30" customHeight="1">
      <c r="A10" s="346" t="s">
        <v>758</v>
      </c>
      <c r="B10" s="347" t="s">
        <v>760</v>
      </c>
      <c r="C10" s="348" t="s">
        <v>761</v>
      </c>
    </row>
    <row r="11" spans="1:3" ht="24" customHeight="1">
      <c r="A11" s="390" t="s">
        <v>762</v>
      </c>
      <c r="B11" s="391"/>
      <c r="C11" s="345" t="s">
        <v>763</v>
      </c>
    </row>
    <row r="12" spans="1:3" ht="30.75" customHeight="1">
      <c r="A12" s="346" t="s">
        <v>762</v>
      </c>
      <c r="B12" s="347" t="s">
        <v>764</v>
      </c>
      <c r="C12" s="348" t="s">
        <v>765</v>
      </c>
    </row>
    <row r="13" spans="1:3" ht="35.25" customHeight="1">
      <c r="A13" s="390" t="s">
        <v>766</v>
      </c>
      <c r="B13" s="391"/>
      <c r="C13" s="345" t="s">
        <v>767</v>
      </c>
    </row>
    <row r="14" spans="1:3" ht="24.75" customHeight="1">
      <c r="A14" s="346" t="s">
        <v>766</v>
      </c>
      <c r="B14" s="347" t="s">
        <v>768</v>
      </c>
      <c r="C14" s="349" t="s">
        <v>769</v>
      </c>
    </row>
    <row r="15" spans="1:3" ht="24.75" customHeight="1">
      <c r="A15" s="346" t="s">
        <v>766</v>
      </c>
      <c r="B15" s="347" t="s">
        <v>770</v>
      </c>
      <c r="C15" s="349" t="s">
        <v>0</v>
      </c>
    </row>
    <row r="16" spans="1:3" ht="24" customHeight="1">
      <c r="A16" s="346" t="s">
        <v>766</v>
      </c>
      <c r="B16" s="347" t="s">
        <v>1</v>
      </c>
      <c r="C16" s="349" t="s">
        <v>2</v>
      </c>
    </row>
    <row r="17" spans="1:3" ht="27.75" customHeight="1">
      <c r="A17" s="346" t="s">
        <v>766</v>
      </c>
      <c r="B17" s="347" t="s">
        <v>3</v>
      </c>
      <c r="C17" s="349" t="s">
        <v>4</v>
      </c>
    </row>
    <row r="18" spans="1:3" ht="27.75" customHeight="1">
      <c r="A18" s="346" t="s">
        <v>766</v>
      </c>
      <c r="B18" s="347" t="s">
        <v>5</v>
      </c>
      <c r="C18" s="349" t="s">
        <v>6</v>
      </c>
    </row>
    <row r="19" spans="1:3" ht="29.25" customHeight="1">
      <c r="A19" s="390" t="s">
        <v>7</v>
      </c>
      <c r="B19" s="391"/>
      <c r="C19" s="345" t="s">
        <v>8</v>
      </c>
    </row>
    <row r="20" spans="1:3" ht="24" customHeight="1">
      <c r="A20" s="346" t="s">
        <v>7</v>
      </c>
      <c r="B20" s="347" t="s">
        <v>764</v>
      </c>
      <c r="C20" s="348" t="s">
        <v>765</v>
      </c>
    </row>
    <row r="21" spans="1:3" ht="24" customHeight="1">
      <c r="A21" s="390" t="s">
        <v>9</v>
      </c>
      <c r="B21" s="391"/>
      <c r="C21" s="350" t="s">
        <v>10</v>
      </c>
    </row>
    <row r="22" spans="1:3" ht="24" customHeight="1">
      <c r="A22" s="346" t="s">
        <v>9</v>
      </c>
      <c r="B22" s="347" t="s">
        <v>764</v>
      </c>
      <c r="C22" s="348" t="s">
        <v>765</v>
      </c>
    </row>
    <row r="23" spans="1:3" s="352" customFormat="1" ht="33.75" customHeight="1">
      <c r="A23" s="392" t="s">
        <v>11</v>
      </c>
      <c r="B23" s="393"/>
      <c r="C23" s="351" t="s">
        <v>12</v>
      </c>
    </row>
    <row r="24" spans="1:3" s="352" customFormat="1" ht="28.5" customHeight="1">
      <c r="A24" s="353" t="s">
        <v>11</v>
      </c>
      <c r="B24" s="354" t="s">
        <v>13</v>
      </c>
      <c r="C24" s="355" t="s">
        <v>14</v>
      </c>
    </row>
    <row r="25" spans="1:3" ht="24" customHeight="1">
      <c r="A25" s="390" t="s">
        <v>15</v>
      </c>
      <c r="B25" s="391"/>
      <c r="C25" s="345" t="s">
        <v>16</v>
      </c>
    </row>
    <row r="26" spans="1:3" ht="30" customHeight="1">
      <c r="A26" s="346" t="s">
        <v>15</v>
      </c>
      <c r="B26" s="347" t="s">
        <v>760</v>
      </c>
      <c r="C26" s="348" t="s">
        <v>761</v>
      </c>
    </row>
    <row r="27" spans="1:3" ht="41.25" customHeight="1">
      <c r="A27" s="346" t="s">
        <v>15</v>
      </c>
      <c r="B27" s="347" t="s">
        <v>17</v>
      </c>
      <c r="C27" s="349" t="s">
        <v>18</v>
      </c>
    </row>
    <row r="28" spans="1:3" ht="29.25" customHeight="1">
      <c r="A28" s="346" t="s">
        <v>15</v>
      </c>
      <c r="B28" s="347" t="s">
        <v>764</v>
      </c>
      <c r="C28" s="348" t="s">
        <v>765</v>
      </c>
    </row>
    <row r="29" spans="1:3" s="356" customFormat="1" ht="57" customHeight="1">
      <c r="A29" s="394">
        <v>188</v>
      </c>
      <c r="B29" s="395"/>
      <c r="C29" s="350" t="s">
        <v>19</v>
      </c>
    </row>
    <row r="30" spans="1:3" s="360" customFormat="1" ht="29.25" customHeight="1" hidden="1">
      <c r="A30" s="357" t="s">
        <v>303</v>
      </c>
      <c r="B30" s="358" t="s">
        <v>764</v>
      </c>
      <c r="C30" s="359" t="s">
        <v>765</v>
      </c>
    </row>
    <row r="31" spans="1:3" s="356" customFormat="1" ht="24" customHeight="1">
      <c r="A31" s="394">
        <v>283</v>
      </c>
      <c r="B31" s="395"/>
      <c r="C31" s="350" t="s">
        <v>1209</v>
      </c>
    </row>
    <row r="32" spans="1:3" ht="42" customHeight="1" hidden="1">
      <c r="A32" s="344">
        <v>283</v>
      </c>
      <c r="B32" s="347" t="s">
        <v>20</v>
      </c>
      <c r="C32" s="348" t="s">
        <v>21</v>
      </c>
    </row>
    <row r="33" spans="1:3" ht="42" customHeight="1" hidden="1">
      <c r="A33" s="344">
        <v>283</v>
      </c>
      <c r="B33" s="347" t="s">
        <v>22</v>
      </c>
      <c r="C33" s="348" t="s">
        <v>23</v>
      </c>
    </row>
    <row r="34" spans="1:3" ht="40.5" customHeight="1" hidden="1">
      <c r="A34" s="344">
        <v>283</v>
      </c>
      <c r="B34" s="347" t="s">
        <v>5</v>
      </c>
      <c r="C34" s="348" t="s">
        <v>24</v>
      </c>
    </row>
    <row r="35" spans="1:3" ht="59.25" customHeight="1">
      <c r="A35" s="344">
        <v>283</v>
      </c>
      <c r="B35" s="347" t="s">
        <v>25</v>
      </c>
      <c r="C35" s="348" t="s">
        <v>26</v>
      </c>
    </row>
    <row r="36" spans="1:3" ht="30.75" customHeight="1">
      <c r="A36" s="344">
        <v>283</v>
      </c>
      <c r="B36" s="361" t="s">
        <v>27</v>
      </c>
      <c r="C36" s="362" t="s">
        <v>28</v>
      </c>
    </row>
    <row r="37" spans="1:3" ht="27.75" customHeight="1">
      <c r="A37" s="344">
        <v>283</v>
      </c>
      <c r="B37" s="361" t="s">
        <v>29</v>
      </c>
      <c r="C37" s="362" t="s">
        <v>30</v>
      </c>
    </row>
    <row r="38" spans="1:4" ht="54.75" customHeight="1">
      <c r="A38" s="344">
        <v>283</v>
      </c>
      <c r="B38" s="347" t="s">
        <v>31</v>
      </c>
      <c r="C38" s="348" t="s">
        <v>32</v>
      </c>
      <c r="D38" s="363"/>
    </row>
    <row r="39" spans="1:4" ht="69" customHeight="1">
      <c r="A39" s="344">
        <v>283</v>
      </c>
      <c r="B39" s="347" t="s">
        <v>33</v>
      </c>
      <c r="C39" s="348" t="s">
        <v>34</v>
      </c>
      <c r="D39" s="363"/>
    </row>
    <row r="40" spans="1:3" ht="44.25" customHeight="1">
      <c r="A40" s="344">
        <v>283</v>
      </c>
      <c r="B40" s="347" t="s">
        <v>35</v>
      </c>
      <c r="C40" s="348" t="s">
        <v>36</v>
      </c>
    </row>
    <row r="41" spans="1:3" ht="44.25" customHeight="1">
      <c r="A41" s="344">
        <v>283</v>
      </c>
      <c r="B41" s="347" t="s">
        <v>37</v>
      </c>
      <c r="C41" s="348" t="s">
        <v>38</v>
      </c>
    </row>
    <row r="42" spans="1:3" ht="27.75" customHeight="1">
      <c r="A42" s="344">
        <v>283</v>
      </c>
      <c r="B42" s="347" t="s">
        <v>39</v>
      </c>
      <c r="C42" s="348" t="s">
        <v>40</v>
      </c>
    </row>
    <row r="43" spans="1:3" ht="40.5" customHeight="1">
      <c r="A43" s="344">
        <v>283</v>
      </c>
      <c r="B43" s="347" t="s">
        <v>41</v>
      </c>
      <c r="C43" s="348" t="s">
        <v>42</v>
      </c>
    </row>
    <row r="44" spans="1:3" s="356" customFormat="1" ht="42" customHeight="1">
      <c r="A44" s="394">
        <v>284</v>
      </c>
      <c r="B44" s="395"/>
      <c r="C44" s="345" t="s">
        <v>43</v>
      </c>
    </row>
    <row r="45" spans="1:3" ht="25.5">
      <c r="A45" s="344">
        <v>284</v>
      </c>
      <c r="B45" s="347" t="s">
        <v>44</v>
      </c>
      <c r="C45" s="348" t="s">
        <v>45</v>
      </c>
    </row>
    <row r="46" spans="1:3" ht="25.5">
      <c r="A46" s="344">
        <v>284</v>
      </c>
      <c r="B46" s="347" t="s">
        <v>46</v>
      </c>
      <c r="C46" s="348" t="s">
        <v>47</v>
      </c>
    </row>
    <row r="47" spans="1:3" ht="24.75" customHeight="1">
      <c r="A47" s="344">
        <v>284</v>
      </c>
      <c r="B47" s="347" t="s">
        <v>48</v>
      </c>
      <c r="C47" s="364" t="s">
        <v>49</v>
      </c>
    </row>
    <row r="48" spans="1:3" ht="30" customHeight="1">
      <c r="A48" s="344">
        <v>284</v>
      </c>
      <c r="B48" s="347" t="s">
        <v>50</v>
      </c>
      <c r="C48" s="348" t="s">
        <v>51</v>
      </c>
    </row>
    <row r="49" spans="1:3" ht="64.5" customHeight="1">
      <c r="A49" s="344">
        <v>284</v>
      </c>
      <c r="B49" s="347" t="s">
        <v>52</v>
      </c>
      <c r="C49" s="348" t="s">
        <v>53</v>
      </c>
    </row>
    <row r="50" spans="1:3" s="356" customFormat="1" ht="30.75" customHeight="1">
      <c r="A50" s="390" t="s">
        <v>298</v>
      </c>
      <c r="B50" s="391"/>
      <c r="C50" s="345" t="s">
        <v>54</v>
      </c>
    </row>
    <row r="51" spans="1:3" ht="27" customHeight="1">
      <c r="A51" s="344">
        <v>285</v>
      </c>
      <c r="B51" s="347" t="s">
        <v>55</v>
      </c>
      <c r="C51" s="348" t="s">
        <v>56</v>
      </c>
    </row>
    <row r="52" spans="1:3" ht="42" customHeight="1">
      <c r="A52" s="344">
        <v>285</v>
      </c>
      <c r="B52" s="347" t="s">
        <v>57</v>
      </c>
      <c r="C52" s="348" t="s">
        <v>58</v>
      </c>
    </row>
    <row r="53" spans="1:3" ht="42.75" customHeight="1">
      <c r="A53" s="344">
        <v>285</v>
      </c>
      <c r="B53" s="347" t="s">
        <v>59</v>
      </c>
      <c r="C53" s="348" t="s">
        <v>60</v>
      </c>
    </row>
    <row r="54" spans="1:3" ht="39.75" customHeight="1">
      <c r="A54" s="344">
        <v>285</v>
      </c>
      <c r="B54" s="347" t="s">
        <v>61</v>
      </c>
      <c r="C54" s="348" t="s">
        <v>62</v>
      </c>
    </row>
    <row r="55" spans="1:3" ht="30.75" customHeight="1">
      <c r="A55" s="344">
        <v>285</v>
      </c>
      <c r="B55" s="347" t="s">
        <v>63</v>
      </c>
      <c r="C55" s="348" t="s">
        <v>64</v>
      </c>
    </row>
    <row r="56" spans="1:3" ht="43.5" customHeight="1">
      <c r="A56" s="344">
        <v>285</v>
      </c>
      <c r="B56" s="347" t="s">
        <v>65</v>
      </c>
      <c r="C56" s="348" t="s">
        <v>66</v>
      </c>
    </row>
    <row r="57" spans="1:3" ht="32.25" customHeight="1">
      <c r="A57" s="394">
        <v>286</v>
      </c>
      <c r="B57" s="395"/>
      <c r="C57" s="350" t="s">
        <v>67</v>
      </c>
    </row>
    <row r="58" spans="1:3" ht="25.5">
      <c r="A58" s="344">
        <v>286</v>
      </c>
      <c r="B58" s="347" t="s">
        <v>68</v>
      </c>
      <c r="C58" s="348" t="s">
        <v>69</v>
      </c>
    </row>
    <row r="59" spans="1:3" ht="41.25" customHeight="1">
      <c r="A59" s="344">
        <v>286</v>
      </c>
      <c r="B59" s="347" t="s">
        <v>70</v>
      </c>
      <c r="C59" s="348" t="s">
        <v>71</v>
      </c>
    </row>
    <row r="60" spans="1:3" ht="28.5" customHeight="1">
      <c r="A60" s="344">
        <v>286</v>
      </c>
      <c r="B60" s="347" t="s">
        <v>72</v>
      </c>
      <c r="C60" s="348" t="s">
        <v>73</v>
      </c>
    </row>
    <row r="61" spans="1:3" ht="54" customHeight="1">
      <c r="A61" s="344">
        <v>286</v>
      </c>
      <c r="B61" s="347" t="s">
        <v>74</v>
      </c>
      <c r="C61" s="365" t="s">
        <v>75</v>
      </c>
    </row>
    <row r="62" spans="1:3" ht="52.5" customHeight="1">
      <c r="A62" s="344">
        <v>286</v>
      </c>
      <c r="B62" s="347" t="s">
        <v>76</v>
      </c>
      <c r="C62" s="365" t="s">
        <v>77</v>
      </c>
    </row>
    <row r="63" spans="1:3" ht="80.25" customHeight="1">
      <c r="A63" s="344">
        <v>286</v>
      </c>
      <c r="B63" s="347" t="s">
        <v>78</v>
      </c>
      <c r="C63" s="365" t="s">
        <v>79</v>
      </c>
    </row>
    <row r="64" spans="1:3" ht="52.5" customHeight="1">
      <c r="A64" s="344">
        <v>286</v>
      </c>
      <c r="B64" s="347" t="s">
        <v>80</v>
      </c>
      <c r="C64" s="365" t="s">
        <v>81</v>
      </c>
    </row>
    <row r="65" spans="1:3" ht="38.25">
      <c r="A65" s="344">
        <v>286</v>
      </c>
      <c r="B65" s="347" t="s">
        <v>82</v>
      </c>
      <c r="C65" s="348" t="s">
        <v>83</v>
      </c>
    </row>
    <row r="66" spans="1:3" ht="51">
      <c r="A66" s="344">
        <v>286</v>
      </c>
      <c r="B66" s="347" t="s">
        <v>84</v>
      </c>
      <c r="C66" s="348" t="s">
        <v>85</v>
      </c>
    </row>
    <row r="67" spans="1:3" ht="54.75" customHeight="1">
      <c r="A67" s="344">
        <v>286</v>
      </c>
      <c r="B67" s="347" t="s">
        <v>86</v>
      </c>
      <c r="C67" s="348" t="s">
        <v>87</v>
      </c>
    </row>
    <row r="68" spans="1:3" ht="21" customHeight="1">
      <c r="A68" s="344">
        <v>286</v>
      </c>
      <c r="B68" s="347" t="s">
        <v>88</v>
      </c>
      <c r="C68" s="348" t="s">
        <v>89</v>
      </c>
    </row>
    <row r="69" spans="1:3" s="366" customFormat="1" ht="63.75">
      <c r="A69" s="344">
        <v>286</v>
      </c>
      <c r="B69" s="347" t="s">
        <v>90</v>
      </c>
      <c r="C69" s="365" t="s">
        <v>91</v>
      </c>
    </row>
    <row r="70" spans="1:3" ht="67.5" customHeight="1">
      <c r="A70" s="344">
        <v>286</v>
      </c>
      <c r="B70" s="347" t="s">
        <v>92</v>
      </c>
      <c r="C70" s="365" t="s">
        <v>93</v>
      </c>
    </row>
    <row r="71" spans="1:3" ht="27.75" customHeight="1">
      <c r="A71" s="344">
        <v>286</v>
      </c>
      <c r="B71" s="347" t="s">
        <v>94</v>
      </c>
      <c r="C71" s="348" t="s">
        <v>95</v>
      </c>
    </row>
    <row r="72" spans="1:3" ht="32.25" customHeight="1">
      <c r="A72" s="344">
        <v>286</v>
      </c>
      <c r="B72" s="347" t="s">
        <v>96</v>
      </c>
      <c r="C72" s="348" t="s">
        <v>97</v>
      </c>
    </row>
    <row r="73" spans="1:3" ht="42" customHeight="1">
      <c r="A73" s="344">
        <v>286</v>
      </c>
      <c r="B73" s="347" t="s">
        <v>98</v>
      </c>
      <c r="C73" s="348" t="s">
        <v>99</v>
      </c>
    </row>
    <row r="74" spans="1:3" ht="59.25" customHeight="1">
      <c r="A74" s="344">
        <v>286</v>
      </c>
      <c r="B74" s="347" t="s">
        <v>100</v>
      </c>
      <c r="C74" s="348" t="s">
        <v>101</v>
      </c>
    </row>
    <row r="75" spans="1:3" ht="76.5" customHeight="1">
      <c r="A75" s="344">
        <v>286</v>
      </c>
      <c r="B75" s="347" t="s">
        <v>102</v>
      </c>
      <c r="C75" s="348" t="s">
        <v>103</v>
      </c>
    </row>
    <row r="76" spans="1:3" ht="21" customHeight="1">
      <c r="A76" s="344">
        <v>286</v>
      </c>
      <c r="B76" s="361" t="s">
        <v>104</v>
      </c>
      <c r="C76" s="362" t="s">
        <v>105</v>
      </c>
    </row>
    <row r="77" spans="1:3" ht="34.5" customHeight="1">
      <c r="A77" s="344">
        <v>286</v>
      </c>
      <c r="B77" s="361" t="s">
        <v>106</v>
      </c>
      <c r="C77" s="362" t="s">
        <v>107</v>
      </c>
    </row>
    <row r="78" spans="1:3" ht="27.75" customHeight="1">
      <c r="A78" s="344">
        <v>286</v>
      </c>
      <c r="B78" s="361" t="s">
        <v>29</v>
      </c>
      <c r="C78" s="362" t="s">
        <v>30</v>
      </c>
    </row>
    <row r="79" spans="1:4" ht="69" customHeight="1">
      <c r="A79" s="344">
        <v>286</v>
      </c>
      <c r="B79" s="347" t="s">
        <v>31</v>
      </c>
      <c r="C79" s="348" t="s">
        <v>32</v>
      </c>
      <c r="D79" s="363"/>
    </row>
    <row r="80" spans="1:4" ht="69" customHeight="1">
      <c r="A80" s="344">
        <v>286</v>
      </c>
      <c r="B80" s="347" t="s">
        <v>33</v>
      </c>
      <c r="C80" s="348" t="s">
        <v>34</v>
      </c>
      <c r="D80" s="363"/>
    </row>
    <row r="81" spans="1:3" ht="44.25" customHeight="1">
      <c r="A81" s="344">
        <v>286</v>
      </c>
      <c r="B81" s="347" t="s">
        <v>35</v>
      </c>
      <c r="C81" s="348" t="s">
        <v>36</v>
      </c>
    </row>
    <row r="82" spans="1:3" ht="44.25" customHeight="1">
      <c r="A82" s="344">
        <v>286</v>
      </c>
      <c r="B82" s="347" t="s">
        <v>37</v>
      </c>
      <c r="C82" s="348" t="s">
        <v>38</v>
      </c>
    </row>
    <row r="83" spans="1:3" ht="37.5" customHeight="1">
      <c r="A83" s="344">
        <v>286</v>
      </c>
      <c r="B83" s="361" t="s">
        <v>108</v>
      </c>
      <c r="C83" s="348" t="s">
        <v>109</v>
      </c>
    </row>
    <row r="84" spans="1:3" ht="52.5" customHeight="1">
      <c r="A84" s="344">
        <v>286</v>
      </c>
      <c r="B84" s="347" t="s">
        <v>110</v>
      </c>
      <c r="C84" s="348" t="s">
        <v>111</v>
      </c>
    </row>
    <row r="85" spans="1:3" ht="41.25" customHeight="1">
      <c r="A85" s="344">
        <v>286</v>
      </c>
      <c r="B85" s="347" t="s">
        <v>112</v>
      </c>
      <c r="C85" s="348" t="s">
        <v>113</v>
      </c>
    </row>
    <row r="86" spans="1:3" ht="35.25" customHeight="1">
      <c r="A86" s="394">
        <v>287</v>
      </c>
      <c r="B86" s="395"/>
      <c r="C86" s="350" t="s">
        <v>114</v>
      </c>
    </row>
    <row r="87" spans="1:3" s="356" customFormat="1" ht="31.5" customHeight="1">
      <c r="A87" s="394">
        <v>288</v>
      </c>
      <c r="B87" s="395"/>
      <c r="C87" s="350" t="s">
        <v>115</v>
      </c>
    </row>
    <row r="88" spans="1:3" s="356" customFormat="1" ht="51.75" customHeight="1">
      <c r="A88" s="344">
        <v>288</v>
      </c>
      <c r="B88" s="347" t="s">
        <v>116</v>
      </c>
      <c r="C88" s="348" t="s">
        <v>117</v>
      </c>
    </row>
    <row r="89" spans="1:3" s="369" customFormat="1" ht="33.75" customHeight="1">
      <c r="A89" s="367">
        <v>288</v>
      </c>
      <c r="B89" s="354" t="s">
        <v>118</v>
      </c>
      <c r="C89" s="368" t="s">
        <v>119</v>
      </c>
    </row>
    <row r="90" spans="1:3" ht="29.25" customHeight="1">
      <c r="A90" s="344">
        <v>288</v>
      </c>
      <c r="B90" s="347" t="s">
        <v>120</v>
      </c>
      <c r="C90" s="348" t="s">
        <v>121</v>
      </c>
    </row>
    <row r="91" spans="1:3" ht="53.25" customHeight="1">
      <c r="A91" s="344">
        <v>288</v>
      </c>
      <c r="B91" s="347" t="s">
        <v>122</v>
      </c>
      <c r="C91" s="348" t="s">
        <v>123</v>
      </c>
    </row>
    <row r="92" spans="1:3" s="356" customFormat="1" ht="33" customHeight="1">
      <c r="A92" s="394">
        <v>289</v>
      </c>
      <c r="B92" s="395"/>
      <c r="C92" s="350" t="s">
        <v>124</v>
      </c>
    </row>
    <row r="93" spans="1:3" ht="28.5" customHeight="1">
      <c r="A93" s="344">
        <v>289</v>
      </c>
      <c r="B93" s="370" t="s">
        <v>125</v>
      </c>
      <c r="C93" s="348" t="s">
        <v>126</v>
      </c>
    </row>
    <row r="94" spans="1:3" s="411" customFormat="1" ht="58.5" customHeight="1">
      <c r="A94" s="408">
        <v>289</v>
      </c>
      <c r="B94" s="409" t="s">
        <v>127</v>
      </c>
      <c r="C94" s="410" t="s">
        <v>128</v>
      </c>
    </row>
    <row r="95" spans="1:3" s="356" customFormat="1" ht="30.75" customHeight="1">
      <c r="A95" s="390" t="s">
        <v>312</v>
      </c>
      <c r="B95" s="391"/>
      <c r="C95" s="350" t="s">
        <v>129</v>
      </c>
    </row>
    <row r="96" spans="1:3" ht="41.25" customHeight="1">
      <c r="A96" s="344">
        <v>290</v>
      </c>
      <c r="B96" s="347" t="s">
        <v>130</v>
      </c>
      <c r="C96" s="348" t="s">
        <v>131</v>
      </c>
    </row>
    <row r="97" spans="1:3" ht="59.25" customHeight="1">
      <c r="A97" s="344">
        <v>290</v>
      </c>
      <c r="B97" s="347" t="s">
        <v>132</v>
      </c>
      <c r="C97" s="348" t="s">
        <v>133</v>
      </c>
    </row>
    <row r="98" spans="1:3" s="352" customFormat="1" ht="32.25" customHeight="1">
      <c r="A98" s="367">
        <v>290</v>
      </c>
      <c r="B98" s="354" t="s">
        <v>134</v>
      </c>
      <c r="C98" s="368" t="s">
        <v>135</v>
      </c>
    </row>
    <row r="99" spans="1:3" s="356" customFormat="1" ht="20.25" customHeight="1">
      <c r="A99" s="394">
        <v>291</v>
      </c>
      <c r="B99" s="395"/>
      <c r="C99" s="350" t="s">
        <v>136</v>
      </c>
    </row>
    <row r="100" spans="1:3" s="356" customFormat="1" ht="23.25" customHeight="1">
      <c r="A100" s="394">
        <v>292</v>
      </c>
      <c r="B100" s="395"/>
      <c r="C100" s="345" t="s">
        <v>137</v>
      </c>
    </row>
    <row r="101" spans="1:4" s="356" customFormat="1" ht="30" customHeight="1">
      <c r="A101" s="394">
        <v>293</v>
      </c>
      <c r="B101" s="395"/>
      <c r="C101" s="345" t="s">
        <v>138</v>
      </c>
      <c r="D101" s="384"/>
    </row>
    <row r="102" spans="1:3" ht="63.75">
      <c r="A102" s="344">
        <v>293</v>
      </c>
      <c r="B102" s="347" t="s">
        <v>139</v>
      </c>
      <c r="C102" s="348" t="s">
        <v>140</v>
      </c>
    </row>
    <row r="103" spans="1:3" ht="43.5" customHeight="1">
      <c r="A103" s="344">
        <v>293</v>
      </c>
      <c r="B103" s="361" t="s">
        <v>141</v>
      </c>
      <c r="C103" s="348" t="s">
        <v>142</v>
      </c>
    </row>
    <row r="104" spans="1:3" ht="27.75" customHeight="1">
      <c r="A104" s="344">
        <v>293</v>
      </c>
      <c r="B104" s="361" t="s">
        <v>29</v>
      </c>
      <c r="C104" s="362" t="s">
        <v>30</v>
      </c>
    </row>
    <row r="105" spans="1:3" ht="64.5" customHeight="1">
      <c r="A105" s="344">
        <v>293</v>
      </c>
      <c r="B105" s="347" t="s">
        <v>143</v>
      </c>
      <c r="C105" s="348" t="s">
        <v>144</v>
      </c>
    </row>
    <row r="106" spans="1:3" ht="32.25" customHeight="1">
      <c r="A106" s="344">
        <v>293</v>
      </c>
      <c r="B106" s="347" t="s">
        <v>145</v>
      </c>
      <c r="C106" s="348" t="s">
        <v>146</v>
      </c>
    </row>
    <row r="107" spans="1:3" ht="51">
      <c r="A107" s="396"/>
      <c r="B107" s="397"/>
      <c r="C107" s="372" t="s">
        <v>147</v>
      </c>
    </row>
    <row r="108" spans="1:3" ht="51">
      <c r="A108" s="344"/>
      <c r="B108" s="347" t="s">
        <v>80</v>
      </c>
      <c r="C108" s="365" t="s">
        <v>81</v>
      </c>
    </row>
    <row r="109" spans="1:3" ht="25.5">
      <c r="A109" s="371"/>
      <c r="B109" s="347" t="s">
        <v>148</v>
      </c>
      <c r="C109" s="362" t="s">
        <v>149</v>
      </c>
    </row>
    <row r="110" spans="1:3" ht="38.25">
      <c r="A110" s="371"/>
      <c r="B110" s="347" t="s">
        <v>150</v>
      </c>
      <c r="C110" s="362" t="s">
        <v>151</v>
      </c>
    </row>
    <row r="111" spans="1:3" ht="25.5">
      <c r="A111" s="371"/>
      <c r="B111" s="347" t="s">
        <v>152</v>
      </c>
      <c r="C111" s="362" t="s">
        <v>153</v>
      </c>
    </row>
    <row r="112" spans="1:3" ht="38.25">
      <c r="A112" s="371"/>
      <c r="B112" s="347" t="s">
        <v>154</v>
      </c>
      <c r="C112" s="362" t="s">
        <v>155</v>
      </c>
    </row>
    <row r="113" spans="1:3" ht="25.5">
      <c r="A113" s="371"/>
      <c r="B113" s="347" t="s">
        <v>156</v>
      </c>
      <c r="C113" s="362" t="s">
        <v>157</v>
      </c>
    </row>
    <row r="114" spans="1:3" ht="23.25" customHeight="1">
      <c r="A114" s="371"/>
      <c r="B114" s="347" t="s">
        <v>158</v>
      </c>
      <c r="C114" s="348" t="s">
        <v>159</v>
      </c>
    </row>
    <row r="115" spans="1:3" ht="52.5" customHeight="1">
      <c r="A115" s="371"/>
      <c r="B115" s="347" t="s">
        <v>160</v>
      </c>
      <c r="C115" s="365" t="s">
        <v>161</v>
      </c>
    </row>
    <row r="116" spans="1:3" ht="60" customHeight="1">
      <c r="A116" s="371"/>
      <c r="B116" s="347" t="s">
        <v>162</v>
      </c>
      <c r="C116" s="365" t="s">
        <v>163</v>
      </c>
    </row>
    <row r="117" spans="1:3" ht="40.5" customHeight="1">
      <c r="A117" s="344"/>
      <c r="B117" s="347" t="s">
        <v>164</v>
      </c>
      <c r="C117" s="348" t="s">
        <v>165</v>
      </c>
    </row>
    <row r="118" spans="1:3" ht="42.75" customHeight="1">
      <c r="A118" s="344"/>
      <c r="B118" s="347" t="s">
        <v>166</v>
      </c>
      <c r="C118" s="348" t="s">
        <v>167</v>
      </c>
    </row>
    <row r="119" spans="1:3" ht="33.75" customHeight="1">
      <c r="A119" s="371"/>
      <c r="B119" s="347" t="s">
        <v>94</v>
      </c>
      <c r="C119" s="348" t="s">
        <v>95</v>
      </c>
    </row>
    <row r="120" spans="1:3" ht="28.5" customHeight="1">
      <c r="A120" s="344"/>
      <c r="B120" s="347" t="s">
        <v>168</v>
      </c>
      <c r="C120" s="348" t="s">
        <v>169</v>
      </c>
    </row>
    <row r="121" spans="1:3" ht="29.25" customHeight="1">
      <c r="A121" s="344"/>
      <c r="B121" s="347" t="s">
        <v>170</v>
      </c>
      <c r="C121" s="348" t="s">
        <v>171</v>
      </c>
    </row>
    <row r="122" spans="1:3" ht="64.5" customHeight="1">
      <c r="A122" s="371"/>
      <c r="B122" s="347" t="s">
        <v>172</v>
      </c>
      <c r="C122" s="348" t="s">
        <v>173</v>
      </c>
    </row>
    <row r="123" spans="1:3" ht="38.25">
      <c r="A123" s="371"/>
      <c r="B123" s="347" t="s">
        <v>174</v>
      </c>
      <c r="C123" s="348" t="s">
        <v>175</v>
      </c>
    </row>
    <row r="124" spans="1:3" ht="38.25">
      <c r="A124" s="371"/>
      <c r="B124" s="347" t="s">
        <v>176</v>
      </c>
      <c r="C124" s="348" t="s">
        <v>177</v>
      </c>
    </row>
    <row r="125" spans="1:3" ht="25.5">
      <c r="A125" s="371"/>
      <c r="B125" s="347" t="s">
        <v>764</v>
      </c>
      <c r="C125" s="348" t="s">
        <v>765</v>
      </c>
    </row>
    <row r="126" spans="1:3" ht="23.25" customHeight="1">
      <c r="A126" s="371"/>
      <c r="B126" s="347" t="s">
        <v>178</v>
      </c>
      <c r="C126" s="348" t="s">
        <v>179</v>
      </c>
    </row>
    <row r="127" spans="1:3" ht="48.75" customHeight="1">
      <c r="A127" s="371"/>
      <c r="B127" s="347" t="s">
        <v>180</v>
      </c>
      <c r="C127" s="348" t="s">
        <v>181</v>
      </c>
    </row>
    <row r="128" spans="1:3" ht="23.25" customHeight="1">
      <c r="A128" s="371"/>
      <c r="B128" s="347" t="s">
        <v>182</v>
      </c>
      <c r="C128" s="348" t="s">
        <v>183</v>
      </c>
    </row>
    <row r="129" spans="1:3" ht="23.25" customHeight="1">
      <c r="A129" s="371"/>
      <c r="B129" s="347" t="s">
        <v>184</v>
      </c>
      <c r="C129" s="348" t="s">
        <v>185</v>
      </c>
    </row>
    <row r="130" spans="1:3" ht="33.75" customHeight="1">
      <c r="A130" s="371"/>
      <c r="B130" s="361" t="s">
        <v>106</v>
      </c>
      <c r="C130" s="362" t="s">
        <v>107</v>
      </c>
    </row>
    <row r="131" spans="1:3" ht="39" customHeight="1">
      <c r="A131" s="344"/>
      <c r="B131" s="361" t="s">
        <v>186</v>
      </c>
      <c r="C131" s="348" t="s">
        <v>187</v>
      </c>
    </row>
    <row r="132" spans="1:3" s="352" customFormat="1" ht="39" customHeight="1">
      <c r="A132" s="373"/>
      <c r="B132" s="374" t="s">
        <v>188</v>
      </c>
      <c r="C132" s="368" t="s">
        <v>189</v>
      </c>
    </row>
    <row r="133" spans="1:3" ht="23.25" customHeight="1">
      <c r="A133" s="371"/>
      <c r="B133" s="347" t="s">
        <v>190</v>
      </c>
      <c r="C133" s="348" t="s">
        <v>191</v>
      </c>
    </row>
    <row r="134" spans="1:3" ht="31.5" customHeight="1">
      <c r="A134" s="371"/>
      <c r="B134" s="347" t="s">
        <v>192</v>
      </c>
      <c r="C134" s="348" t="s">
        <v>193</v>
      </c>
    </row>
    <row r="135" spans="1:3" ht="23.25" customHeight="1">
      <c r="A135" s="371"/>
      <c r="B135" s="347" t="s">
        <v>194</v>
      </c>
      <c r="C135" s="348" t="s">
        <v>195</v>
      </c>
    </row>
    <row r="136" spans="1:3" ht="23.25" customHeight="1">
      <c r="A136" s="371"/>
      <c r="B136" s="347" t="s">
        <v>196</v>
      </c>
      <c r="C136" s="348" t="s">
        <v>197</v>
      </c>
    </row>
    <row r="137" spans="1:3" s="352" customFormat="1" ht="36.75" customHeight="1">
      <c r="A137" s="373"/>
      <c r="B137" s="354" t="s">
        <v>134</v>
      </c>
      <c r="C137" s="368" t="s">
        <v>135</v>
      </c>
    </row>
    <row r="138" spans="1:3" ht="32.25" customHeight="1">
      <c r="A138" s="371"/>
      <c r="B138" s="347" t="s">
        <v>198</v>
      </c>
      <c r="C138" s="348" t="s">
        <v>199</v>
      </c>
    </row>
    <row r="139" spans="1:3" ht="42" customHeight="1">
      <c r="A139" s="371"/>
      <c r="B139" s="347" t="s">
        <v>200</v>
      </c>
      <c r="C139" s="348" t="s">
        <v>201</v>
      </c>
    </row>
    <row r="140" spans="1:3" ht="42" customHeight="1">
      <c r="A140" s="371"/>
      <c r="B140" s="347" t="s">
        <v>202</v>
      </c>
      <c r="C140" s="348" t="s">
        <v>203</v>
      </c>
    </row>
    <row r="141" spans="1:3" ht="42" customHeight="1">
      <c r="A141" s="371"/>
      <c r="B141" s="347" t="s">
        <v>204</v>
      </c>
      <c r="C141" s="348" t="s">
        <v>205</v>
      </c>
    </row>
    <row r="142" spans="1:3" ht="42" customHeight="1">
      <c r="A142" s="371"/>
      <c r="B142" s="347" t="s">
        <v>206</v>
      </c>
      <c r="C142" s="348" t="s">
        <v>207</v>
      </c>
    </row>
    <row r="143" spans="1:3" ht="42" customHeight="1">
      <c r="A143" s="371"/>
      <c r="B143" s="347" t="s">
        <v>208</v>
      </c>
      <c r="C143" s="348" t="s">
        <v>209</v>
      </c>
    </row>
    <row r="144" spans="1:3" ht="23.25" customHeight="1">
      <c r="A144" s="371"/>
      <c r="B144" s="347" t="s">
        <v>210</v>
      </c>
      <c r="C144" s="348" t="s">
        <v>211</v>
      </c>
    </row>
    <row r="145" spans="1:3" ht="28.5" customHeight="1">
      <c r="A145" s="371"/>
      <c r="B145" s="347" t="s">
        <v>212</v>
      </c>
      <c r="C145" s="348" t="s">
        <v>213</v>
      </c>
    </row>
    <row r="146" spans="1:3" ht="28.5" customHeight="1">
      <c r="A146" s="371"/>
      <c r="B146" s="347" t="s">
        <v>214</v>
      </c>
      <c r="C146" s="348" t="s">
        <v>215</v>
      </c>
    </row>
    <row r="147" spans="1:3" ht="28.5" customHeight="1">
      <c r="A147" s="371"/>
      <c r="B147" s="347" t="s">
        <v>216</v>
      </c>
      <c r="C147" s="348" t="s">
        <v>217</v>
      </c>
    </row>
    <row r="148" spans="1:3" ht="31.5" customHeight="1">
      <c r="A148" s="371"/>
      <c r="B148" s="347" t="s">
        <v>218</v>
      </c>
      <c r="C148" s="348" t="s">
        <v>219</v>
      </c>
    </row>
    <row r="149" spans="1:3" ht="25.5" customHeight="1">
      <c r="A149" s="398" t="s">
        <v>220</v>
      </c>
      <c r="B149" s="398"/>
      <c r="C149" s="398"/>
    </row>
    <row r="150" spans="1:4" s="340" customFormat="1" ht="81.75" customHeight="1">
      <c r="A150" s="399" t="s">
        <v>221</v>
      </c>
      <c r="B150" s="398"/>
      <c r="C150" s="398"/>
      <c r="D150" s="341"/>
    </row>
  </sheetData>
  <sheetProtection/>
  <mergeCells count="26">
    <mergeCell ref="A107:B107"/>
    <mergeCell ref="A149:C149"/>
    <mergeCell ref="A150:C150"/>
    <mergeCell ref="A92:B92"/>
    <mergeCell ref="A95:B95"/>
    <mergeCell ref="A99:B99"/>
    <mergeCell ref="A100:B100"/>
    <mergeCell ref="A101:B101"/>
    <mergeCell ref="A31:B31"/>
    <mergeCell ref="A44:B44"/>
    <mergeCell ref="A50:B50"/>
    <mergeCell ref="A57:B57"/>
    <mergeCell ref="A86:B86"/>
    <mergeCell ref="A87:B87"/>
    <mergeCell ref="A21:B21"/>
    <mergeCell ref="A23:B23"/>
    <mergeCell ref="A25:B25"/>
    <mergeCell ref="A29:B29"/>
    <mergeCell ref="A9:B9"/>
    <mergeCell ref="A11:B11"/>
    <mergeCell ref="A13:B13"/>
    <mergeCell ref="A19:B19"/>
    <mergeCell ref="A5:C5"/>
    <mergeCell ref="A6:B6"/>
    <mergeCell ref="A7:B7"/>
    <mergeCell ref="C7:C8"/>
  </mergeCells>
  <printOptions/>
  <pageMargins left="1.1023622047244095" right="0.5118110236220472" top="0.5511811023622047" bottom="0.15748031496062992" header="0.31496062992125984" footer="0.31496062992125984"/>
  <pageSetup fitToHeight="1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7"/>
  <sheetViews>
    <sheetView zoomScalePageLayoutView="0" workbookViewId="0" topLeftCell="A1">
      <selection activeCell="D1208" sqref="D1208"/>
    </sheetView>
  </sheetViews>
  <sheetFormatPr defaultColWidth="9.125" defaultRowHeight="12.75"/>
  <cols>
    <col min="1" max="1" width="63.25390625" style="209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3.25390625" style="376" customWidth="1"/>
    <col min="8" max="8" width="6.125" style="376" hidden="1" customWidth="1"/>
    <col min="9" max="9" width="8.875" style="376" hidden="1" customWidth="1"/>
    <col min="10" max="10" width="12.375" style="160" hidden="1" customWidth="1"/>
    <col min="11" max="11" width="11.375" style="0" hidden="1" customWidth="1"/>
    <col min="12" max="12" width="11.25390625" style="0" hidden="1" customWidth="1"/>
    <col min="13" max="13" width="11.375" style="0" hidden="1" customWidth="1"/>
    <col min="14" max="14" width="5.625" style="0" customWidth="1"/>
    <col min="15" max="15" width="9.125" style="0" hidden="1" customWidth="1"/>
  </cols>
  <sheetData>
    <row r="1" spans="6:7" ht="12.75">
      <c r="F1" s="36" t="s">
        <v>750</v>
      </c>
      <c r="G1" s="303"/>
    </row>
    <row r="2" spans="6:7" ht="12.75">
      <c r="F2" s="2" t="s">
        <v>315</v>
      </c>
      <c r="G2" s="303"/>
    </row>
    <row r="3" spans="6:7" ht="12" customHeight="1">
      <c r="F3" s="2" t="s">
        <v>316</v>
      </c>
      <c r="G3" s="303"/>
    </row>
    <row r="4" spans="6:7" ht="12.75" customHeight="1">
      <c r="F4" s="2" t="s">
        <v>317</v>
      </c>
      <c r="G4" s="303"/>
    </row>
    <row r="5" spans="6:9" ht="15" customHeight="1">
      <c r="F5" s="400" t="s">
        <v>223</v>
      </c>
      <c r="G5" s="400"/>
      <c r="H5" s="3"/>
      <c r="I5" s="3"/>
    </row>
    <row r="6" spans="2:6" ht="20.25" customHeight="1">
      <c r="B6" s="4" t="s">
        <v>601</v>
      </c>
      <c r="F6" s="2"/>
    </row>
    <row r="7" spans="2:6" ht="12.75">
      <c r="B7" s="4" t="s">
        <v>318</v>
      </c>
      <c r="F7" s="5"/>
    </row>
    <row r="8" spans="2:6" ht="12.75">
      <c r="B8" s="4" t="s">
        <v>319</v>
      </c>
      <c r="F8" s="5"/>
    </row>
    <row r="9" ht="12.75">
      <c r="B9" s="6" t="s">
        <v>320</v>
      </c>
    </row>
    <row r="10" spans="2:9" ht="15.75" customHeight="1" thickBot="1">
      <c r="B10" s="7"/>
      <c r="G10" s="3"/>
      <c r="H10" s="3"/>
      <c r="I10" s="3"/>
    </row>
    <row r="11" spans="1:9" ht="15" thickBot="1">
      <c r="A11" s="210" t="s">
        <v>321</v>
      </c>
      <c r="B11" s="8" t="s">
        <v>322</v>
      </c>
      <c r="C11" s="9"/>
      <c r="D11" s="10"/>
      <c r="E11" s="10"/>
      <c r="F11" s="10"/>
      <c r="G11" s="11" t="s">
        <v>323</v>
      </c>
      <c r="H11" s="11" t="s">
        <v>324</v>
      </c>
      <c r="I11" s="11" t="s">
        <v>325</v>
      </c>
    </row>
    <row r="12" spans="1:9" ht="39.75" customHeight="1" thickBot="1">
      <c r="A12" s="211"/>
      <c r="B12" s="12" t="s">
        <v>326</v>
      </c>
      <c r="C12" s="13" t="s">
        <v>327</v>
      </c>
      <c r="D12" s="13" t="s">
        <v>328</v>
      </c>
      <c r="E12" s="13" t="s">
        <v>329</v>
      </c>
      <c r="F12" s="14" t="s">
        <v>659</v>
      </c>
      <c r="G12" s="15" t="s">
        <v>407</v>
      </c>
      <c r="H12" s="15" t="s">
        <v>660</v>
      </c>
      <c r="I12" s="15" t="s">
        <v>661</v>
      </c>
    </row>
    <row r="13" spans="1:12" s="20" customFormat="1" ht="15.75">
      <c r="A13" s="285" t="s">
        <v>662</v>
      </c>
      <c r="B13" s="16"/>
      <c r="C13" s="17" t="s">
        <v>663</v>
      </c>
      <c r="D13" s="17"/>
      <c r="E13" s="17"/>
      <c r="F13" s="18"/>
      <c r="G13" s="19">
        <f>SUM(G14+G18+G51+G72+G75+G93+G97+G89+G83)</f>
        <v>158670.6</v>
      </c>
      <c r="H13" s="19">
        <f>SUM(H14+H18+H51+H72+H75+H93+H97+H89+H83)</f>
        <v>90646.20000000001</v>
      </c>
      <c r="I13" s="19">
        <f>SUM(H13/G13*100)</f>
        <v>57.12854177144349</v>
      </c>
      <c r="K13" s="244">
        <f>SUM(J14:J138)</f>
        <v>158670.6</v>
      </c>
      <c r="L13" s="20">
        <f>SUM('[1]ведомствен.2012'!G12+'[1]ведомствен.2012'!G38+'[1]ведомствен.2012'!G227+'[1]ведомствен.2012'!G655+'[1]ведомствен.2012'!G692+'[1]ведомствен.2012'!G950)</f>
        <v>158670.59999999998</v>
      </c>
    </row>
    <row r="14" spans="1:11" ht="28.5">
      <c r="A14" s="223" t="s">
        <v>664</v>
      </c>
      <c r="B14" s="21"/>
      <c r="C14" s="22" t="s">
        <v>663</v>
      </c>
      <c r="D14" s="22" t="s">
        <v>665</v>
      </c>
      <c r="E14" s="22"/>
      <c r="F14" s="23"/>
      <c r="G14" s="24">
        <f>SUM(G15)</f>
        <v>1588.1</v>
      </c>
      <c r="H14" s="24">
        <f>SUM(H15)</f>
        <v>983.5</v>
      </c>
      <c r="I14" s="24">
        <f>SUM(H14/G14*100)</f>
        <v>61.9293495371828</v>
      </c>
      <c r="J14"/>
      <c r="K14" s="208">
        <f>SUM(G13-K13)</f>
        <v>0</v>
      </c>
    </row>
    <row r="15" spans="1:10" ht="41.25" customHeight="1">
      <c r="A15" s="223" t="s">
        <v>1006</v>
      </c>
      <c r="B15" s="21"/>
      <c r="C15" s="22" t="s">
        <v>663</v>
      </c>
      <c r="D15" s="22" t="s">
        <v>665</v>
      </c>
      <c r="E15" s="22" t="s">
        <v>1007</v>
      </c>
      <c r="F15" s="23"/>
      <c r="G15" s="24">
        <f>SUM(G17:G17)</f>
        <v>1588.1</v>
      </c>
      <c r="H15" s="24">
        <f>SUM(H17:H17)</f>
        <v>983.5</v>
      </c>
      <c r="I15" s="24">
        <f aca="true" t="shared" si="0" ref="I15:I81">SUM(H15/G15*100)</f>
        <v>61.9293495371828</v>
      </c>
      <c r="J15"/>
    </row>
    <row r="16" spans="1:10" ht="16.5" customHeight="1">
      <c r="A16" s="223" t="s">
        <v>1008</v>
      </c>
      <c r="B16" s="21"/>
      <c r="C16" s="22" t="s">
        <v>663</v>
      </c>
      <c r="D16" s="22" t="s">
        <v>665</v>
      </c>
      <c r="E16" s="22" t="s">
        <v>1009</v>
      </c>
      <c r="F16" s="23"/>
      <c r="G16" s="24">
        <f>SUM(G17)</f>
        <v>1588.1</v>
      </c>
      <c r="H16" s="24">
        <f>SUM(H17)</f>
        <v>983.5</v>
      </c>
      <c r="I16" s="24">
        <f t="shared" si="0"/>
        <v>61.9293495371828</v>
      </c>
      <c r="J16"/>
    </row>
    <row r="17" spans="1:10" ht="19.5" customHeight="1">
      <c r="A17" s="223" t="s">
        <v>1010</v>
      </c>
      <c r="B17" s="21"/>
      <c r="C17" s="22" t="s">
        <v>663</v>
      </c>
      <c r="D17" s="22" t="s">
        <v>665</v>
      </c>
      <c r="E17" s="22" t="s">
        <v>1009</v>
      </c>
      <c r="F17" s="23" t="s">
        <v>1011</v>
      </c>
      <c r="G17" s="24">
        <v>1588.1</v>
      </c>
      <c r="H17" s="24">
        <v>983.5</v>
      </c>
      <c r="I17" s="24">
        <f t="shared" si="0"/>
        <v>61.9293495371828</v>
      </c>
      <c r="J17" s="160">
        <f>SUM('[1]ведомствен.2012'!G16)</f>
        <v>1588.1</v>
      </c>
    </row>
    <row r="18" spans="1:10" ht="44.25" customHeight="1">
      <c r="A18" s="223" t="s">
        <v>1012</v>
      </c>
      <c r="B18" s="21"/>
      <c r="C18" s="22" t="s">
        <v>663</v>
      </c>
      <c r="D18" s="22" t="s">
        <v>1013</v>
      </c>
      <c r="E18" s="22"/>
      <c r="F18" s="23"/>
      <c r="G18" s="24">
        <f>SUM(G19)</f>
        <v>17157.5</v>
      </c>
      <c r="H18" s="24">
        <f>SUM(H19)</f>
        <v>8231.8</v>
      </c>
      <c r="I18" s="24">
        <f t="shared" si="0"/>
        <v>47.977852251202094</v>
      </c>
      <c r="J18"/>
    </row>
    <row r="19" spans="1:10" ht="42.75" customHeight="1">
      <c r="A19" s="223" t="s">
        <v>1006</v>
      </c>
      <c r="B19" s="21"/>
      <c r="C19" s="22" t="s">
        <v>663</v>
      </c>
      <c r="D19" s="22" t="s">
        <v>1013</v>
      </c>
      <c r="E19" s="22" t="s">
        <v>1007</v>
      </c>
      <c r="F19" s="26"/>
      <c r="G19" s="24">
        <f>SUM(G20+G22)</f>
        <v>17157.5</v>
      </c>
      <c r="H19" s="24">
        <f>SUM(H20+H22)</f>
        <v>8231.8</v>
      </c>
      <c r="I19" s="24">
        <f t="shared" si="0"/>
        <v>47.977852251202094</v>
      </c>
      <c r="J19"/>
    </row>
    <row r="20" spans="1:10" ht="15">
      <c r="A20" s="223" t="s">
        <v>1014</v>
      </c>
      <c r="B20" s="21"/>
      <c r="C20" s="22" t="s">
        <v>1015</v>
      </c>
      <c r="D20" s="22" t="s">
        <v>1013</v>
      </c>
      <c r="E20" s="22" t="s">
        <v>1016</v>
      </c>
      <c r="F20" s="26"/>
      <c r="G20" s="24">
        <f>SUM(G21)</f>
        <v>17157.5</v>
      </c>
      <c r="H20" s="24">
        <f>SUM(H21)</f>
        <v>8068.7</v>
      </c>
      <c r="I20" s="24">
        <f t="shared" si="0"/>
        <v>47.02724755937637</v>
      </c>
      <c r="J20"/>
    </row>
    <row r="21" spans="1:10" ht="18" customHeight="1">
      <c r="A21" s="223" t="s">
        <v>1010</v>
      </c>
      <c r="B21" s="21"/>
      <c r="C21" s="22" t="s">
        <v>663</v>
      </c>
      <c r="D21" s="22" t="s">
        <v>1013</v>
      </c>
      <c r="E21" s="22" t="s">
        <v>1016</v>
      </c>
      <c r="F21" s="23" t="s">
        <v>1011</v>
      </c>
      <c r="G21" s="24">
        <v>17157.5</v>
      </c>
      <c r="H21" s="24">
        <v>8068.7</v>
      </c>
      <c r="I21" s="24">
        <f t="shared" si="0"/>
        <v>47.02724755937637</v>
      </c>
      <c r="J21" s="160">
        <f>SUM('[1]ведомствен.2012'!G20)+'[1]ведомствен.2012'!G696</f>
        <v>17157.5</v>
      </c>
    </row>
    <row r="22" spans="1:10" ht="28.5" customHeight="1" hidden="1">
      <c r="A22" s="223" t="s">
        <v>1017</v>
      </c>
      <c r="B22" s="21"/>
      <c r="C22" s="22" t="s">
        <v>1015</v>
      </c>
      <c r="D22" s="22" t="s">
        <v>1013</v>
      </c>
      <c r="E22" s="22" t="s">
        <v>1018</v>
      </c>
      <c r="F22" s="23"/>
      <c r="G22" s="24">
        <f>SUM(G23)</f>
        <v>0</v>
      </c>
      <c r="H22" s="24">
        <f>SUM(H23)</f>
        <v>163.10000000000002</v>
      </c>
      <c r="I22" s="24" t="e">
        <f t="shared" si="0"/>
        <v>#DIV/0!</v>
      </c>
      <c r="J22"/>
    </row>
    <row r="23" spans="1:10" ht="21.75" customHeight="1" hidden="1">
      <c r="A23" s="223" t="s">
        <v>1010</v>
      </c>
      <c r="B23" s="21"/>
      <c r="C23" s="22" t="s">
        <v>1015</v>
      </c>
      <c r="D23" s="22" t="s">
        <v>1013</v>
      </c>
      <c r="E23" s="22" t="s">
        <v>1018</v>
      </c>
      <c r="F23" s="23" t="s">
        <v>1011</v>
      </c>
      <c r="G23" s="24"/>
      <c r="H23" s="24">
        <f>913.5-750.4</f>
        <v>163.10000000000002</v>
      </c>
      <c r="I23" s="24" t="e">
        <f t="shared" si="0"/>
        <v>#DIV/0!</v>
      </c>
      <c r="J23"/>
    </row>
    <row r="24" spans="1:10" ht="15" customHeight="1" hidden="1">
      <c r="A24" s="223" t="s">
        <v>1019</v>
      </c>
      <c r="B24" s="21"/>
      <c r="C24" s="22" t="s">
        <v>663</v>
      </c>
      <c r="D24" s="22" t="s">
        <v>1020</v>
      </c>
      <c r="E24" s="22"/>
      <c r="F24" s="26"/>
      <c r="G24" s="24">
        <f>SUM(G25)</f>
        <v>0</v>
      </c>
      <c r="H24" s="24">
        <f>SUM(H25)</f>
        <v>0</v>
      </c>
      <c r="I24" s="24" t="e">
        <f t="shared" si="0"/>
        <v>#DIV/0!</v>
      </c>
      <c r="J24"/>
    </row>
    <row r="25" spans="1:10" ht="28.5" customHeight="1" hidden="1">
      <c r="A25" s="223" t="s">
        <v>1021</v>
      </c>
      <c r="B25" s="21"/>
      <c r="C25" s="22" t="s">
        <v>663</v>
      </c>
      <c r="D25" s="22" t="s">
        <v>1020</v>
      </c>
      <c r="E25" s="22" t="s">
        <v>1022</v>
      </c>
      <c r="F25" s="27"/>
      <c r="G25" s="24">
        <f>SUM(G26)</f>
        <v>0</v>
      </c>
      <c r="H25" s="24">
        <f>SUM(H26)</f>
        <v>0</v>
      </c>
      <c r="I25" s="24" t="e">
        <f t="shared" si="0"/>
        <v>#DIV/0!</v>
      </c>
      <c r="J25"/>
    </row>
    <row r="26" spans="1:10" ht="15" customHeight="1" hidden="1">
      <c r="A26" s="223" t="s">
        <v>1023</v>
      </c>
      <c r="B26" s="21"/>
      <c r="C26" s="22" t="s">
        <v>663</v>
      </c>
      <c r="D26" s="22" t="s">
        <v>1020</v>
      </c>
      <c r="E26" s="22" t="s">
        <v>1022</v>
      </c>
      <c r="F26" s="27" t="s">
        <v>1024</v>
      </c>
      <c r="G26" s="24"/>
      <c r="H26" s="24"/>
      <c r="I26" s="24" t="e">
        <f t="shared" si="0"/>
        <v>#DIV/0!</v>
      </c>
      <c r="J26"/>
    </row>
    <row r="27" spans="1:9" s="29" customFormat="1" ht="15" customHeight="1" hidden="1">
      <c r="A27" s="223" t="s">
        <v>1025</v>
      </c>
      <c r="B27" s="28"/>
      <c r="C27" s="22" t="s">
        <v>1026</v>
      </c>
      <c r="D27" s="22"/>
      <c r="E27" s="22"/>
      <c r="F27" s="23"/>
      <c r="G27" s="24">
        <f aca="true" t="shared" si="1" ref="G27:H29">SUM(G28)</f>
        <v>0</v>
      </c>
      <c r="H27" s="24">
        <f t="shared" si="1"/>
        <v>0</v>
      </c>
      <c r="I27" s="24" t="e">
        <f t="shared" si="0"/>
        <v>#DIV/0!</v>
      </c>
    </row>
    <row r="28" spans="1:9" s="29" customFormat="1" ht="15" customHeight="1" hidden="1">
      <c r="A28" s="223" t="s">
        <v>1027</v>
      </c>
      <c r="B28" s="28"/>
      <c r="C28" s="22" t="s">
        <v>1026</v>
      </c>
      <c r="D28" s="22" t="s">
        <v>1026</v>
      </c>
      <c r="E28" s="22"/>
      <c r="F28" s="23"/>
      <c r="G28" s="24">
        <f t="shared" si="1"/>
        <v>0</v>
      </c>
      <c r="H28" s="24">
        <f t="shared" si="1"/>
        <v>0</v>
      </c>
      <c r="I28" s="24" t="e">
        <f t="shared" si="0"/>
        <v>#DIV/0!</v>
      </c>
    </row>
    <row r="29" spans="1:9" s="29" customFormat="1" ht="28.5" customHeight="1" hidden="1">
      <c r="A29" s="223" t="s">
        <v>1028</v>
      </c>
      <c r="B29" s="28"/>
      <c r="C29" s="22" t="s">
        <v>1026</v>
      </c>
      <c r="D29" s="22" t="s">
        <v>1026</v>
      </c>
      <c r="E29" s="22" t="s">
        <v>1029</v>
      </c>
      <c r="F29" s="23"/>
      <c r="G29" s="24">
        <f t="shared" si="1"/>
        <v>0</v>
      </c>
      <c r="H29" s="24">
        <f t="shared" si="1"/>
        <v>0</v>
      </c>
      <c r="I29" s="24" t="e">
        <f t="shared" si="0"/>
        <v>#DIV/0!</v>
      </c>
    </row>
    <row r="30" spans="1:9" s="29" customFormat="1" ht="15" customHeight="1" hidden="1">
      <c r="A30" s="223" t="s">
        <v>1030</v>
      </c>
      <c r="B30" s="28"/>
      <c r="C30" s="22" t="s">
        <v>1026</v>
      </c>
      <c r="D30" s="22" t="s">
        <v>1026</v>
      </c>
      <c r="E30" s="22" t="s">
        <v>1029</v>
      </c>
      <c r="F30" s="23" t="s">
        <v>1031</v>
      </c>
      <c r="G30" s="24"/>
      <c r="H30" s="24"/>
      <c r="I30" s="24" t="e">
        <f t="shared" si="0"/>
        <v>#DIV/0!</v>
      </c>
    </row>
    <row r="31" spans="1:9" s="29" customFormat="1" ht="15" customHeight="1" hidden="1">
      <c r="A31" s="274" t="s">
        <v>1025</v>
      </c>
      <c r="B31" s="30"/>
      <c r="C31" s="31" t="s">
        <v>1026</v>
      </c>
      <c r="D31" s="22"/>
      <c r="E31" s="22"/>
      <c r="F31" s="23"/>
      <c r="G31" s="24">
        <f aca="true" t="shared" si="2" ref="G31:H33">SUM(G32)</f>
        <v>0</v>
      </c>
      <c r="H31" s="24">
        <f t="shared" si="2"/>
        <v>0</v>
      </c>
      <c r="I31" s="24" t="e">
        <f t="shared" si="0"/>
        <v>#DIV/0!</v>
      </c>
    </row>
    <row r="32" spans="1:9" s="29" customFormat="1" ht="15" customHeight="1" hidden="1">
      <c r="A32" s="223" t="s">
        <v>1027</v>
      </c>
      <c r="B32" s="28"/>
      <c r="C32" s="22" t="s">
        <v>1026</v>
      </c>
      <c r="D32" s="22" t="s">
        <v>1026</v>
      </c>
      <c r="E32" s="22"/>
      <c r="F32" s="23"/>
      <c r="G32" s="24">
        <f t="shared" si="2"/>
        <v>0</v>
      </c>
      <c r="H32" s="24">
        <f t="shared" si="2"/>
        <v>0</v>
      </c>
      <c r="I32" s="24" t="e">
        <f t="shared" si="0"/>
        <v>#DIV/0!</v>
      </c>
    </row>
    <row r="33" spans="1:9" s="29" customFormat="1" ht="28.5" customHeight="1" hidden="1">
      <c r="A33" s="223" t="s">
        <v>1028</v>
      </c>
      <c r="B33" s="28"/>
      <c r="C33" s="22" t="s">
        <v>1026</v>
      </c>
      <c r="D33" s="22" t="s">
        <v>1026</v>
      </c>
      <c r="E33" s="22" t="s">
        <v>1029</v>
      </c>
      <c r="F33" s="23"/>
      <c r="G33" s="24">
        <f t="shared" si="2"/>
        <v>0</v>
      </c>
      <c r="H33" s="24">
        <f t="shared" si="2"/>
        <v>0</v>
      </c>
      <c r="I33" s="24" t="e">
        <f t="shared" si="0"/>
        <v>#DIV/0!</v>
      </c>
    </row>
    <row r="34" spans="1:9" s="29" customFormat="1" ht="15" customHeight="1" hidden="1">
      <c r="A34" s="223" t="s">
        <v>1030</v>
      </c>
      <c r="B34" s="28"/>
      <c r="C34" s="22" t="s">
        <v>1026</v>
      </c>
      <c r="D34" s="22" t="s">
        <v>1026</v>
      </c>
      <c r="E34" s="22" t="s">
        <v>1029</v>
      </c>
      <c r="F34" s="23" t="s">
        <v>1031</v>
      </c>
      <c r="G34" s="24"/>
      <c r="H34" s="24"/>
      <c r="I34" s="24" t="e">
        <f t="shared" si="0"/>
        <v>#DIV/0!</v>
      </c>
    </row>
    <row r="35" spans="1:9" s="32" customFormat="1" ht="15" customHeight="1" hidden="1">
      <c r="A35" s="223"/>
      <c r="B35" s="28"/>
      <c r="C35" s="22"/>
      <c r="D35" s="22"/>
      <c r="E35" s="22"/>
      <c r="F35" s="23"/>
      <c r="G35" s="24"/>
      <c r="H35" s="24"/>
      <c r="I35" s="24" t="e">
        <f t="shared" si="0"/>
        <v>#DIV/0!</v>
      </c>
    </row>
    <row r="36" spans="1:10" ht="42.75" customHeight="1" hidden="1">
      <c r="A36" s="223" t="s">
        <v>1032</v>
      </c>
      <c r="B36" s="21"/>
      <c r="C36" s="22" t="s">
        <v>663</v>
      </c>
      <c r="D36" s="22" t="s">
        <v>1020</v>
      </c>
      <c r="E36" s="22" t="s">
        <v>1033</v>
      </c>
      <c r="F36" s="23"/>
      <c r="G36" s="24">
        <f>SUM(G37)</f>
        <v>0</v>
      </c>
      <c r="H36" s="24">
        <f>SUM(H37)</f>
        <v>0</v>
      </c>
      <c r="I36" s="24" t="e">
        <f t="shared" si="0"/>
        <v>#DIV/0!</v>
      </c>
      <c r="J36"/>
    </row>
    <row r="37" spans="1:10" ht="42.75" customHeight="1" hidden="1">
      <c r="A37" s="223" t="s">
        <v>1034</v>
      </c>
      <c r="B37" s="21"/>
      <c r="C37" s="22" t="s">
        <v>663</v>
      </c>
      <c r="D37" s="22" t="s">
        <v>1020</v>
      </c>
      <c r="E37" s="22" t="s">
        <v>1033</v>
      </c>
      <c r="F37" s="23" t="s">
        <v>1035</v>
      </c>
      <c r="G37" s="24"/>
      <c r="H37" s="24"/>
      <c r="I37" s="24" t="e">
        <f t="shared" si="0"/>
        <v>#DIV/0!</v>
      </c>
      <c r="J37"/>
    </row>
    <row r="38" spans="1:10" ht="14.25" customHeight="1" hidden="1">
      <c r="A38" s="223" t="s">
        <v>1036</v>
      </c>
      <c r="B38" s="21"/>
      <c r="C38" s="22" t="s">
        <v>1037</v>
      </c>
      <c r="D38" s="22"/>
      <c r="E38" s="22"/>
      <c r="F38" s="26"/>
      <c r="G38" s="24">
        <f>SUM(G42+G39)</f>
        <v>0</v>
      </c>
      <c r="H38" s="24">
        <f>SUM(H42+H39)</f>
        <v>0</v>
      </c>
      <c r="I38" s="24" t="e">
        <f t="shared" si="0"/>
        <v>#DIV/0!</v>
      </c>
      <c r="J38"/>
    </row>
    <row r="39" spans="1:10" ht="15" customHeight="1" hidden="1">
      <c r="A39" s="223" t="s">
        <v>1038</v>
      </c>
      <c r="B39" s="21"/>
      <c r="C39" s="22" t="s">
        <v>1037</v>
      </c>
      <c r="D39" s="22" t="s">
        <v>1039</v>
      </c>
      <c r="E39" s="22"/>
      <c r="F39" s="26"/>
      <c r="G39" s="24">
        <f>SUM(G40)</f>
        <v>0</v>
      </c>
      <c r="H39" s="24">
        <f>SUM(H40)</f>
        <v>0</v>
      </c>
      <c r="I39" s="24" t="e">
        <f t="shared" si="0"/>
        <v>#DIV/0!</v>
      </c>
      <c r="J39"/>
    </row>
    <row r="40" spans="1:10" ht="15" customHeight="1" hidden="1">
      <c r="A40" s="223" t="s">
        <v>1040</v>
      </c>
      <c r="B40" s="21"/>
      <c r="C40" s="22" t="s">
        <v>1037</v>
      </c>
      <c r="D40" s="22" t="s">
        <v>1039</v>
      </c>
      <c r="E40" s="22" t="s">
        <v>581</v>
      </c>
      <c r="F40" s="23"/>
      <c r="G40" s="24">
        <f>SUM(G41)</f>
        <v>0</v>
      </c>
      <c r="H40" s="24">
        <f>SUM(H41)</f>
        <v>0</v>
      </c>
      <c r="I40" s="24" t="e">
        <f t="shared" si="0"/>
        <v>#DIV/0!</v>
      </c>
      <c r="J40"/>
    </row>
    <row r="41" spans="1:10" ht="15" customHeight="1" hidden="1">
      <c r="A41" s="223" t="s">
        <v>582</v>
      </c>
      <c r="B41" s="21"/>
      <c r="C41" s="22" t="s">
        <v>1037</v>
      </c>
      <c r="D41" s="22" t="s">
        <v>1039</v>
      </c>
      <c r="E41" s="22" t="s">
        <v>581</v>
      </c>
      <c r="F41" s="23" t="s">
        <v>583</v>
      </c>
      <c r="G41" s="24"/>
      <c r="H41" s="24"/>
      <c r="I41" s="24" t="e">
        <f t="shared" si="0"/>
        <v>#DIV/0!</v>
      </c>
      <c r="J41"/>
    </row>
    <row r="42" spans="1:10" ht="14.25" customHeight="1" hidden="1">
      <c r="A42" s="220" t="s">
        <v>584</v>
      </c>
      <c r="B42" s="34"/>
      <c r="C42" s="35" t="s">
        <v>1037</v>
      </c>
      <c r="D42" s="35" t="s">
        <v>585</v>
      </c>
      <c r="E42" s="35"/>
      <c r="F42" s="26"/>
      <c r="G42" s="24">
        <f>SUM(G43+G45)</f>
        <v>0</v>
      </c>
      <c r="H42" s="24">
        <f>SUM(H43+H45)</f>
        <v>0</v>
      </c>
      <c r="I42" s="24" t="e">
        <f t="shared" si="0"/>
        <v>#DIV/0!</v>
      </c>
      <c r="J42"/>
    </row>
    <row r="43" spans="1:10" ht="28.5" customHeight="1" hidden="1">
      <c r="A43" s="223" t="s">
        <v>586</v>
      </c>
      <c r="B43" s="21"/>
      <c r="C43" s="22" t="s">
        <v>1037</v>
      </c>
      <c r="D43" s="22" t="s">
        <v>585</v>
      </c>
      <c r="E43" s="22" t="s">
        <v>587</v>
      </c>
      <c r="F43" s="26"/>
      <c r="G43" s="24">
        <f>SUM(G44)</f>
        <v>0</v>
      </c>
      <c r="H43" s="24">
        <f>SUM(H44)</f>
        <v>0</v>
      </c>
      <c r="I43" s="24" t="e">
        <f t="shared" si="0"/>
        <v>#DIV/0!</v>
      </c>
      <c r="J43"/>
    </row>
    <row r="44" spans="1:10" ht="15" customHeight="1" hidden="1">
      <c r="A44" s="223" t="s">
        <v>615</v>
      </c>
      <c r="B44" s="21"/>
      <c r="C44" s="22" t="s">
        <v>1037</v>
      </c>
      <c r="D44" s="22" t="s">
        <v>585</v>
      </c>
      <c r="E44" s="22" t="s">
        <v>587</v>
      </c>
      <c r="F44" s="26" t="s">
        <v>603</v>
      </c>
      <c r="G44" s="24"/>
      <c r="H44" s="24"/>
      <c r="I44" s="24" t="e">
        <f t="shared" si="0"/>
        <v>#DIV/0!</v>
      </c>
      <c r="J44"/>
    </row>
    <row r="45" spans="1:10" ht="15" customHeight="1" hidden="1">
      <c r="A45" s="220" t="s">
        <v>604</v>
      </c>
      <c r="B45" s="34"/>
      <c r="C45" s="35" t="s">
        <v>1037</v>
      </c>
      <c r="D45" s="35" t="s">
        <v>585</v>
      </c>
      <c r="E45" s="35" t="s">
        <v>605</v>
      </c>
      <c r="F45" s="26"/>
      <c r="G45" s="24">
        <f>SUM(G46)</f>
        <v>0</v>
      </c>
      <c r="H45" s="24">
        <f>SUM(H46)</f>
        <v>0</v>
      </c>
      <c r="I45" s="24" t="e">
        <f t="shared" si="0"/>
        <v>#DIV/0!</v>
      </c>
      <c r="J45"/>
    </row>
    <row r="46" spans="1:10" ht="15" customHeight="1" hidden="1">
      <c r="A46" s="220" t="s">
        <v>606</v>
      </c>
      <c r="B46" s="34"/>
      <c r="C46" s="35" t="s">
        <v>1037</v>
      </c>
      <c r="D46" s="35" t="s">
        <v>585</v>
      </c>
      <c r="E46" s="35" t="s">
        <v>605</v>
      </c>
      <c r="F46" s="26" t="s">
        <v>607</v>
      </c>
      <c r="G46" s="24"/>
      <c r="H46" s="24"/>
      <c r="I46" s="24" t="e">
        <f t="shared" si="0"/>
        <v>#DIV/0!</v>
      </c>
      <c r="J46"/>
    </row>
    <row r="47" spans="1:10" ht="15" customHeight="1" hidden="1">
      <c r="A47" s="274" t="s">
        <v>1025</v>
      </c>
      <c r="B47" s="30"/>
      <c r="C47" s="31" t="s">
        <v>1026</v>
      </c>
      <c r="D47" s="22"/>
      <c r="E47" s="22"/>
      <c r="F47" s="23"/>
      <c r="G47" s="24">
        <f aca="true" t="shared" si="3" ref="G47:H49">SUM(G48)</f>
        <v>0</v>
      </c>
      <c r="H47" s="24">
        <f t="shared" si="3"/>
        <v>0</v>
      </c>
      <c r="I47" s="24" t="e">
        <f t="shared" si="0"/>
        <v>#DIV/0!</v>
      </c>
      <c r="J47"/>
    </row>
    <row r="48" spans="1:10" ht="15" customHeight="1" hidden="1">
      <c r="A48" s="223" t="s">
        <v>1027</v>
      </c>
      <c r="B48" s="28"/>
      <c r="C48" s="22" t="s">
        <v>1026</v>
      </c>
      <c r="D48" s="22" t="s">
        <v>1026</v>
      </c>
      <c r="E48" s="22"/>
      <c r="F48" s="23"/>
      <c r="G48" s="24">
        <f t="shared" si="3"/>
        <v>0</v>
      </c>
      <c r="H48" s="24">
        <f t="shared" si="3"/>
        <v>0</v>
      </c>
      <c r="I48" s="24" t="e">
        <f t="shared" si="0"/>
        <v>#DIV/0!</v>
      </c>
      <c r="J48"/>
    </row>
    <row r="49" spans="1:10" ht="28.5" customHeight="1" hidden="1">
      <c r="A49" s="223" t="s">
        <v>1028</v>
      </c>
      <c r="B49" s="28"/>
      <c r="C49" s="22" t="s">
        <v>1026</v>
      </c>
      <c r="D49" s="22" t="s">
        <v>1026</v>
      </c>
      <c r="E49" s="22" t="s">
        <v>1029</v>
      </c>
      <c r="F49" s="23"/>
      <c r="G49" s="24">
        <f t="shared" si="3"/>
        <v>0</v>
      </c>
      <c r="H49" s="24">
        <f t="shared" si="3"/>
        <v>0</v>
      </c>
      <c r="I49" s="24" t="e">
        <f t="shared" si="0"/>
        <v>#DIV/0!</v>
      </c>
      <c r="J49"/>
    </row>
    <row r="50" spans="1:10" ht="3.75" customHeight="1" hidden="1">
      <c r="A50" s="223" t="s">
        <v>1030</v>
      </c>
      <c r="B50" s="28"/>
      <c r="C50" s="22" t="s">
        <v>1026</v>
      </c>
      <c r="D50" s="22" t="s">
        <v>1026</v>
      </c>
      <c r="E50" s="22" t="s">
        <v>1029</v>
      </c>
      <c r="F50" s="23" t="s">
        <v>1031</v>
      </c>
      <c r="G50" s="24"/>
      <c r="H50" s="24"/>
      <c r="I50" s="24" t="e">
        <f t="shared" si="0"/>
        <v>#DIV/0!</v>
      </c>
      <c r="J50"/>
    </row>
    <row r="51" spans="1:10" ht="44.25" customHeight="1">
      <c r="A51" s="223" t="s">
        <v>273</v>
      </c>
      <c r="B51" s="21"/>
      <c r="C51" s="22" t="s">
        <v>663</v>
      </c>
      <c r="D51" s="22" t="s">
        <v>1037</v>
      </c>
      <c r="E51" s="22"/>
      <c r="F51" s="23"/>
      <c r="G51" s="24">
        <f>SUM(G52)+G67+G65</f>
        <v>102155.2</v>
      </c>
      <c r="H51" s="24">
        <f>SUM(H52)+H67+H65</f>
        <v>52319.90000000001</v>
      </c>
      <c r="I51" s="24">
        <f t="shared" si="0"/>
        <v>51.21609081084468</v>
      </c>
      <c r="J51"/>
    </row>
    <row r="52" spans="1:10" ht="45.75" customHeight="1">
      <c r="A52" s="223" t="s">
        <v>1006</v>
      </c>
      <c r="B52" s="21"/>
      <c r="C52" s="22" t="s">
        <v>663</v>
      </c>
      <c r="D52" s="22" t="s">
        <v>1037</v>
      </c>
      <c r="E52" s="22" t="s">
        <v>1007</v>
      </c>
      <c r="F52" s="26"/>
      <c r="G52" s="24">
        <f>SUM(G53+G63)</f>
        <v>101930.4</v>
      </c>
      <c r="H52" s="24">
        <f>SUM(H53+H63)</f>
        <v>51899.200000000004</v>
      </c>
      <c r="I52" s="24">
        <f t="shared" si="0"/>
        <v>50.91631152237214</v>
      </c>
      <c r="J52"/>
    </row>
    <row r="53" spans="1:10" ht="15">
      <c r="A53" s="223" t="s">
        <v>1014</v>
      </c>
      <c r="B53" s="21"/>
      <c r="C53" s="22" t="s">
        <v>663</v>
      </c>
      <c r="D53" s="22" t="s">
        <v>1037</v>
      </c>
      <c r="E53" s="22" t="s">
        <v>1016</v>
      </c>
      <c r="F53" s="26"/>
      <c r="G53" s="24">
        <f>SUM(G54+G55+G57+G59++G61)</f>
        <v>101223.5</v>
      </c>
      <c r="H53" s="24">
        <f>SUM(H54:H54+H55+H57+H60)+H56</f>
        <v>51161.8</v>
      </c>
      <c r="I53" s="24">
        <f t="shared" si="0"/>
        <v>50.54340148285724</v>
      </c>
      <c r="J53"/>
    </row>
    <row r="54" spans="1:10" ht="15">
      <c r="A54" s="223" t="s">
        <v>1010</v>
      </c>
      <c r="B54" s="21"/>
      <c r="C54" s="22" t="s">
        <v>663</v>
      </c>
      <c r="D54" s="22" t="s">
        <v>1037</v>
      </c>
      <c r="E54" s="22" t="s">
        <v>1016</v>
      </c>
      <c r="F54" s="23" t="s">
        <v>1011</v>
      </c>
      <c r="G54" s="24">
        <v>99303.5</v>
      </c>
      <c r="H54" s="24">
        <v>50612.1</v>
      </c>
      <c r="I54" s="24">
        <f t="shared" si="0"/>
        <v>50.967085752264516</v>
      </c>
      <c r="J54" s="160">
        <f>SUM('[1]ведомствен.2012'!G231+'[1]ведомствен.2012'!G953)+'[1]ведомствен.2012'!G700</f>
        <v>99303.5</v>
      </c>
    </row>
    <row r="55" spans="1:9" ht="42.75">
      <c r="A55" s="223" t="s">
        <v>1042</v>
      </c>
      <c r="B55" s="21"/>
      <c r="C55" s="22" t="s">
        <v>663</v>
      </c>
      <c r="D55" s="22" t="s">
        <v>1037</v>
      </c>
      <c r="E55" s="22" t="s">
        <v>1043</v>
      </c>
      <c r="F55" s="23"/>
      <c r="G55" s="24">
        <f>SUM(G56)</f>
        <v>1319.8</v>
      </c>
      <c r="H55" s="24">
        <v>507.8</v>
      </c>
      <c r="I55" s="24">
        <f t="shared" si="0"/>
        <v>38.47552659493863</v>
      </c>
    </row>
    <row r="56" spans="1:10" ht="23.25" customHeight="1">
      <c r="A56" s="223" t="s">
        <v>1010</v>
      </c>
      <c r="B56" s="21"/>
      <c r="C56" s="22" t="s">
        <v>663</v>
      </c>
      <c r="D56" s="22" t="s">
        <v>1037</v>
      </c>
      <c r="E56" s="22" t="s">
        <v>1043</v>
      </c>
      <c r="F56" s="23" t="s">
        <v>1011</v>
      </c>
      <c r="G56" s="24">
        <v>1319.8</v>
      </c>
      <c r="H56" s="24"/>
      <c r="I56" s="24">
        <f t="shared" si="0"/>
        <v>0</v>
      </c>
      <c r="J56" s="160">
        <f>SUM('[1]ведомствен.2012'!G233)</f>
        <v>1319.8</v>
      </c>
    </row>
    <row r="57" spans="1:9" ht="53.25" customHeight="1">
      <c r="A57" s="223" t="s">
        <v>541</v>
      </c>
      <c r="B57" s="21"/>
      <c r="C57" s="22" t="s">
        <v>663</v>
      </c>
      <c r="D57" s="22" t="s">
        <v>1037</v>
      </c>
      <c r="E57" s="22" t="s">
        <v>542</v>
      </c>
      <c r="F57" s="23"/>
      <c r="G57" s="24">
        <f>SUM(G58)</f>
        <v>89.4</v>
      </c>
      <c r="H57" s="24">
        <v>41.9</v>
      </c>
      <c r="I57" s="24">
        <f t="shared" si="0"/>
        <v>46.86800894854586</v>
      </c>
    </row>
    <row r="58" spans="1:10" ht="20.25" customHeight="1">
      <c r="A58" s="223" t="s">
        <v>1010</v>
      </c>
      <c r="B58" s="21"/>
      <c r="C58" s="22" t="s">
        <v>663</v>
      </c>
      <c r="D58" s="22" t="s">
        <v>1037</v>
      </c>
      <c r="E58" s="22" t="s">
        <v>542</v>
      </c>
      <c r="F58" s="23" t="s">
        <v>1011</v>
      </c>
      <c r="G58" s="24">
        <v>89.4</v>
      </c>
      <c r="H58" s="24"/>
      <c r="I58" s="24">
        <f>SUM(H58/G58*100)</f>
        <v>0</v>
      </c>
      <c r="J58" s="160">
        <f>SUM('[1]ведомствен.2012'!G236)</f>
        <v>89.4</v>
      </c>
    </row>
    <row r="59" spans="1:9" ht="38.25" customHeight="1">
      <c r="A59" s="220" t="s">
        <v>901</v>
      </c>
      <c r="B59" s="34"/>
      <c r="C59" s="35" t="s">
        <v>663</v>
      </c>
      <c r="D59" s="35" t="s">
        <v>1037</v>
      </c>
      <c r="E59" s="35" t="s">
        <v>902</v>
      </c>
      <c r="F59" s="23"/>
      <c r="G59" s="24">
        <f>SUM(G60)</f>
        <v>170.1</v>
      </c>
      <c r="H59" s="24"/>
      <c r="I59" s="24"/>
    </row>
    <row r="60" spans="1:10" ht="20.25" customHeight="1">
      <c r="A60" s="223" t="s">
        <v>1010</v>
      </c>
      <c r="B60" s="34"/>
      <c r="C60" s="35" t="s">
        <v>663</v>
      </c>
      <c r="D60" s="35" t="s">
        <v>1037</v>
      </c>
      <c r="E60" s="35" t="s">
        <v>902</v>
      </c>
      <c r="F60" s="23" t="s">
        <v>1011</v>
      </c>
      <c r="G60" s="24">
        <v>170.1</v>
      </c>
      <c r="H60" s="24"/>
      <c r="I60" s="24">
        <f t="shared" si="0"/>
        <v>0</v>
      </c>
      <c r="J60" s="160">
        <f>SUM('[1]ведомствен.2012'!G238)</f>
        <v>170.1</v>
      </c>
    </row>
    <row r="61" spans="1:9" ht="34.5" customHeight="1">
      <c r="A61" s="220" t="s">
        <v>1090</v>
      </c>
      <c r="B61" s="34"/>
      <c r="C61" s="35" t="s">
        <v>663</v>
      </c>
      <c r="D61" s="35" t="s">
        <v>1037</v>
      </c>
      <c r="E61" s="35" t="s">
        <v>1091</v>
      </c>
      <c r="F61" s="26"/>
      <c r="G61" s="24">
        <f>SUM(G62)</f>
        <v>340.7</v>
      </c>
      <c r="H61" s="24"/>
      <c r="I61" s="24"/>
    </row>
    <row r="62" spans="1:10" ht="20.25" customHeight="1">
      <c r="A62" s="223" t="s">
        <v>1010</v>
      </c>
      <c r="B62" s="34"/>
      <c r="C62" s="35" t="s">
        <v>663</v>
      </c>
      <c r="D62" s="35" t="s">
        <v>1037</v>
      </c>
      <c r="E62" s="35" t="s">
        <v>1091</v>
      </c>
      <c r="F62" s="26" t="s">
        <v>1011</v>
      </c>
      <c r="G62" s="24">
        <v>340.7</v>
      </c>
      <c r="H62" s="24"/>
      <c r="I62" s="24"/>
      <c r="J62" s="160">
        <f>SUM('[1]ведомствен.2012'!G241)</f>
        <v>340.7</v>
      </c>
    </row>
    <row r="63" spans="1:10" ht="28.5">
      <c r="A63" s="223" t="s">
        <v>543</v>
      </c>
      <c r="B63" s="21"/>
      <c r="C63" s="22" t="s">
        <v>1015</v>
      </c>
      <c r="D63" s="22" t="s">
        <v>1037</v>
      </c>
      <c r="E63" s="22" t="s">
        <v>544</v>
      </c>
      <c r="F63" s="26"/>
      <c r="G63" s="24">
        <f>SUM(G64)</f>
        <v>706.9</v>
      </c>
      <c r="H63" s="24">
        <f>SUM(H64)</f>
        <v>737.4</v>
      </c>
      <c r="I63" s="24">
        <f t="shared" si="0"/>
        <v>104.3146130994483</v>
      </c>
      <c r="J63"/>
    </row>
    <row r="64" spans="1:10" ht="15" customHeight="1">
      <c r="A64" s="223" t="s">
        <v>1010</v>
      </c>
      <c r="B64" s="21"/>
      <c r="C64" s="22" t="s">
        <v>663</v>
      </c>
      <c r="D64" s="22" t="s">
        <v>1037</v>
      </c>
      <c r="E64" s="22" t="s">
        <v>544</v>
      </c>
      <c r="F64" s="23" t="s">
        <v>1011</v>
      </c>
      <c r="G64" s="24">
        <v>706.9</v>
      </c>
      <c r="H64" s="24">
        <v>737.4</v>
      </c>
      <c r="I64" s="24">
        <f t="shared" si="0"/>
        <v>104.3146130994483</v>
      </c>
      <c r="J64" s="160">
        <f>SUM('[1]ведомствен.2012'!G243)</f>
        <v>706.9</v>
      </c>
    </row>
    <row r="65" spans="1:10" ht="19.5" customHeight="1" hidden="1">
      <c r="A65" s="223" t="s">
        <v>545</v>
      </c>
      <c r="B65" s="21"/>
      <c r="C65" s="22" t="s">
        <v>663</v>
      </c>
      <c r="D65" s="22" t="s">
        <v>1037</v>
      </c>
      <c r="E65" s="22" t="s">
        <v>546</v>
      </c>
      <c r="F65" s="23"/>
      <c r="G65" s="24">
        <f>SUM(G66)</f>
        <v>0</v>
      </c>
      <c r="H65" s="24">
        <f>SUM(H66)</f>
        <v>264.8</v>
      </c>
      <c r="I65" s="24" t="e">
        <f t="shared" si="0"/>
        <v>#DIV/0!</v>
      </c>
      <c r="J65"/>
    </row>
    <row r="66" spans="1:10" ht="18.75" customHeight="1" hidden="1">
      <c r="A66" s="223" t="s">
        <v>1010</v>
      </c>
      <c r="B66" s="21"/>
      <c r="C66" s="22" t="s">
        <v>663</v>
      </c>
      <c r="D66" s="22" t="s">
        <v>1037</v>
      </c>
      <c r="E66" s="22" t="s">
        <v>546</v>
      </c>
      <c r="F66" s="23" t="s">
        <v>1011</v>
      </c>
      <c r="G66" s="24"/>
      <c r="H66" s="24">
        <v>264.8</v>
      </c>
      <c r="I66" s="24" t="e">
        <f t="shared" si="0"/>
        <v>#DIV/0!</v>
      </c>
      <c r="J66"/>
    </row>
    <row r="67" spans="1:10" ht="20.25" customHeight="1">
      <c r="A67" s="223" t="s">
        <v>1046</v>
      </c>
      <c r="B67" s="21"/>
      <c r="C67" s="22" t="s">
        <v>663</v>
      </c>
      <c r="D67" s="22" t="s">
        <v>1037</v>
      </c>
      <c r="E67" s="22" t="s">
        <v>1047</v>
      </c>
      <c r="F67" s="26"/>
      <c r="G67" s="24">
        <f>SUM(G68)</f>
        <v>224.8</v>
      </c>
      <c r="H67" s="24">
        <f>SUM(H68)</f>
        <v>155.9</v>
      </c>
      <c r="I67" s="24">
        <f t="shared" si="0"/>
        <v>69.35053380782918</v>
      </c>
      <c r="J67"/>
    </row>
    <row r="68" spans="1:10" ht="20.25" customHeight="1">
      <c r="A68" s="223" t="s">
        <v>1010</v>
      </c>
      <c r="B68" s="21"/>
      <c r="C68" s="22" t="s">
        <v>663</v>
      </c>
      <c r="D68" s="22" t="s">
        <v>1037</v>
      </c>
      <c r="E68" s="22" t="s">
        <v>1047</v>
      </c>
      <c r="F68" s="23" t="s">
        <v>1011</v>
      </c>
      <c r="G68" s="24">
        <f>SUM(G69:G70)</f>
        <v>224.8</v>
      </c>
      <c r="H68" s="24">
        <f>SUM(H69:H70)</f>
        <v>155.9</v>
      </c>
      <c r="I68" s="24">
        <f t="shared" si="0"/>
        <v>69.35053380782918</v>
      </c>
      <c r="J68"/>
    </row>
    <row r="69" spans="1:10" ht="29.25" customHeight="1">
      <c r="A69" s="223" t="s">
        <v>970</v>
      </c>
      <c r="B69" s="21"/>
      <c r="C69" s="22" t="s">
        <v>663</v>
      </c>
      <c r="D69" s="22" t="s">
        <v>1037</v>
      </c>
      <c r="E69" s="22" t="s">
        <v>1048</v>
      </c>
      <c r="F69" s="23" t="s">
        <v>1011</v>
      </c>
      <c r="G69" s="24">
        <v>224.8</v>
      </c>
      <c r="H69" s="24">
        <v>155.9</v>
      </c>
      <c r="I69" s="24">
        <f t="shared" si="0"/>
        <v>69.35053380782918</v>
      </c>
      <c r="J69" s="160">
        <f>SUM('[1]ведомствен.2012'!G248)</f>
        <v>224.8</v>
      </c>
    </row>
    <row r="70" spans="1:10" ht="20.25" customHeight="1" hidden="1">
      <c r="A70" s="223"/>
      <c r="B70" s="21"/>
      <c r="C70" s="22"/>
      <c r="D70" s="22"/>
      <c r="E70" s="22"/>
      <c r="F70" s="23"/>
      <c r="G70" s="24"/>
      <c r="H70" s="24"/>
      <c r="I70" s="24" t="e">
        <f t="shared" si="0"/>
        <v>#DIV/0!</v>
      </c>
      <c r="J70"/>
    </row>
    <row r="71" spans="1:10" ht="20.25" customHeight="1" hidden="1">
      <c r="A71" s="223"/>
      <c r="B71" s="21"/>
      <c r="C71" s="22"/>
      <c r="D71" s="22"/>
      <c r="E71" s="22"/>
      <c r="F71" s="23"/>
      <c r="G71" s="24"/>
      <c r="H71" s="24"/>
      <c r="I71" s="24" t="e">
        <f t="shared" si="0"/>
        <v>#DIV/0!</v>
      </c>
      <c r="J71"/>
    </row>
    <row r="72" spans="1:10" ht="19.5" customHeight="1">
      <c r="A72" s="223" t="s">
        <v>1049</v>
      </c>
      <c r="B72" s="21"/>
      <c r="C72" s="22" t="s">
        <v>663</v>
      </c>
      <c r="D72" s="22" t="s">
        <v>1050</v>
      </c>
      <c r="E72" s="22"/>
      <c r="F72" s="26"/>
      <c r="G72" s="24">
        <f>SUM(G73)</f>
        <v>36.4</v>
      </c>
      <c r="H72" s="24">
        <f>SUM(H73)</f>
        <v>0</v>
      </c>
      <c r="I72" s="24">
        <f t="shared" si="0"/>
        <v>0</v>
      </c>
      <c r="J72"/>
    </row>
    <row r="73" spans="1:10" ht="44.25" customHeight="1">
      <c r="A73" s="286" t="s">
        <v>250</v>
      </c>
      <c r="B73" s="21"/>
      <c r="C73" s="22" t="s">
        <v>663</v>
      </c>
      <c r="D73" s="22" t="s">
        <v>1050</v>
      </c>
      <c r="E73" s="22" t="s">
        <v>547</v>
      </c>
      <c r="F73" s="26"/>
      <c r="G73" s="24">
        <f>SUM(G74)</f>
        <v>36.4</v>
      </c>
      <c r="H73" s="24">
        <f>SUM(H74)</f>
        <v>0</v>
      </c>
      <c r="I73" s="24">
        <f t="shared" si="0"/>
        <v>0</v>
      </c>
      <c r="J73"/>
    </row>
    <row r="74" spans="1:10" ht="21.75" customHeight="1">
      <c r="A74" s="223" t="s">
        <v>1010</v>
      </c>
      <c r="B74" s="21"/>
      <c r="C74" s="22" t="s">
        <v>663</v>
      </c>
      <c r="D74" s="22" t="s">
        <v>1050</v>
      </c>
      <c r="E74" s="22" t="s">
        <v>547</v>
      </c>
      <c r="F74" s="23" t="s">
        <v>1011</v>
      </c>
      <c r="G74" s="24">
        <v>36.4</v>
      </c>
      <c r="H74" s="24">
        <f>SUM('[2]Ведомств.'!G83)</f>
        <v>0</v>
      </c>
      <c r="I74" s="24">
        <f t="shared" si="0"/>
        <v>0</v>
      </c>
      <c r="J74" s="160">
        <f>SUM('[1]ведомствен.2012'!G251)</f>
        <v>36.4</v>
      </c>
    </row>
    <row r="75" spans="1:9" s="29" customFormat="1" ht="42.75">
      <c r="A75" s="223" t="s">
        <v>548</v>
      </c>
      <c r="B75" s="21"/>
      <c r="C75" s="22" t="s">
        <v>663</v>
      </c>
      <c r="D75" s="22" t="s">
        <v>549</v>
      </c>
      <c r="E75" s="22"/>
      <c r="F75" s="23"/>
      <c r="G75" s="24">
        <f>SUM(G76)</f>
        <v>25900.6</v>
      </c>
      <c r="H75" s="24">
        <f>SUM(H76)</f>
        <v>12415.9</v>
      </c>
      <c r="I75" s="24">
        <f t="shared" si="0"/>
        <v>47.9367273345019</v>
      </c>
    </row>
    <row r="76" spans="1:9" s="29" customFormat="1" ht="46.5" customHeight="1">
      <c r="A76" s="223" t="s">
        <v>1006</v>
      </c>
      <c r="B76" s="21"/>
      <c r="C76" s="22" t="s">
        <v>663</v>
      </c>
      <c r="D76" s="22" t="s">
        <v>549</v>
      </c>
      <c r="E76" s="22" t="s">
        <v>1007</v>
      </c>
      <c r="F76" s="23"/>
      <c r="G76" s="24">
        <f>SUM(G77+G81)</f>
        <v>25900.6</v>
      </c>
      <c r="H76" s="24">
        <f>SUM(H77+H81)</f>
        <v>12415.9</v>
      </c>
      <c r="I76" s="24">
        <f t="shared" si="0"/>
        <v>47.9367273345019</v>
      </c>
    </row>
    <row r="77" spans="1:9" s="29" customFormat="1" ht="15" customHeight="1">
      <c r="A77" s="223" t="s">
        <v>1014</v>
      </c>
      <c r="B77" s="21"/>
      <c r="C77" s="22" t="s">
        <v>663</v>
      </c>
      <c r="D77" s="22" t="s">
        <v>549</v>
      </c>
      <c r="E77" s="22" t="s">
        <v>1016</v>
      </c>
      <c r="F77" s="23"/>
      <c r="G77" s="24">
        <f>SUM(G78+G79)</f>
        <v>24394.199999999997</v>
      </c>
      <c r="H77" s="24">
        <f>SUM(H78+H79)</f>
        <v>11864.3</v>
      </c>
      <c r="I77" s="24">
        <f t="shared" si="0"/>
        <v>48.63574128276394</v>
      </c>
    </row>
    <row r="78" spans="1:10" s="29" customFormat="1" ht="14.25" customHeight="1">
      <c r="A78" s="223" t="s">
        <v>1010</v>
      </c>
      <c r="B78" s="21"/>
      <c r="C78" s="22" t="s">
        <v>1015</v>
      </c>
      <c r="D78" s="22" t="s">
        <v>549</v>
      </c>
      <c r="E78" s="22" t="s">
        <v>1016</v>
      </c>
      <c r="F78" s="27" t="s">
        <v>1011</v>
      </c>
      <c r="G78" s="24">
        <v>9054.8</v>
      </c>
      <c r="H78" s="24">
        <v>2278</v>
      </c>
      <c r="I78" s="24">
        <f t="shared" si="0"/>
        <v>25.1579272871847</v>
      </c>
      <c r="J78" s="161">
        <f>SUM('[1]ведомствен.2012'!G42+'[1]ведомствен.2012'!G659)+'[1]ведомствен.2012'!G704</f>
        <v>9054.800000000001</v>
      </c>
    </row>
    <row r="79" spans="1:10" ht="28.5">
      <c r="A79" s="223" t="s">
        <v>550</v>
      </c>
      <c r="B79" s="21"/>
      <c r="C79" s="22" t="s">
        <v>1015</v>
      </c>
      <c r="D79" s="22" t="s">
        <v>549</v>
      </c>
      <c r="E79" s="22" t="s">
        <v>551</v>
      </c>
      <c r="F79" s="23"/>
      <c r="G79" s="24">
        <f>SUM(G80)</f>
        <v>15339.4</v>
      </c>
      <c r="H79" s="24">
        <f>SUM(H80)</f>
        <v>9586.3</v>
      </c>
      <c r="I79" s="24">
        <f t="shared" si="0"/>
        <v>62.49462169315618</v>
      </c>
      <c r="J79"/>
    </row>
    <row r="80" spans="1:10" s="36" customFormat="1" ht="15">
      <c r="A80" s="223" t="s">
        <v>1010</v>
      </c>
      <c r="B80" s="21"/>
      <c r="C80" s="22" t="s">
        <v>1015</v>
      </c>
      <c r="D80" s="22" t="s">
        <v>549</v>
      </c>
      <c r="E80" s="22" t="s">
        <v>551</v>
      </c>
      <c r="F80" s="27" t="s">
        <v>1011</v>
      </c>
      <c r="G80" s="24">
        <v>15339.4</v>
      </c>
      <c r="H80" s="24">
        <v>9586.3</v>
      </c>
      <c r="I80" s="24">
        <f t="shared" si="0"/>
        <v>62.49462169315618</v>
      </c>
      <c r="J80" s="161">
        <f>SUM('[1]ведомствен.2012'!G661)</f>
        <v>15339.4</v>
      </c>
    </row>
    <row r="81" spans="1:10" ht="28.5">
      <c r="A81" s="223" t="s">
        <v>552</v>
      </c>
      <c r="B81" s="21"/>
      <c r="C81" s="22" t="s">
        <v>1015</v>
      </c>
      <c r="D81" s="22" t="s">
        <v>549</v>
      </c>
      <c r="E81" s="22" t="s">
        <v>553</v>
      </c>
      <c r="F81" s="27"/>
      <c r="G81" s="24">
        <f>SUM(G82)</f>
        <v>1506.4</v>
      </c>
      <c r="H81" s="24">
        <f>SUM(H82)</f>
        <v>551.6</v>
      </c>
      <c r="I81" s="24">
        <f t="shared" si="0"/>
        <v>36.61710037174721</v>
      </c>
      <c r="J81"/>
    </row>
    <row r="82" spans="1:10" ht="14.25" customHeight="1">
      <c r="A82" s="223" t="s">
        <v>1010</v>
      </c>
      <c r="B82" s="21"/>
      <c r="C82" s="22" t="s">
        <v>1015</v>
      </c>
      <c r="D82" s="22" t="s">
        <v>549</v>
      </c>
      <c r="E82" s="22" t="s">
        <v>553</v>
      </c>
      <c r="F82" s="23" t="s">
        <v>1011</v>
      </c>
      <c r="G82" s="24">
        <v>1506.4</v>
      </c>
      <c r="H82" s="24">
        <v>551.6</v>
      </c>
      <c r="I82" s="24">
        <f aca="true" t="shared" si="4" ref="I82:I154">SUM(H82/G82*100)</f>
        <v>36.61710037174721</v>
      </c>
      <c r="J82" s="160">
        <f>SUM('[1]ведомствен.2012'!G44)</f>
        <v>1506.4</v>
      </c>
    </row>
    <row r="83" spans="1:10" ht="14.25" customHeight="1">
      <c r="A83" s="220" t="s">
        <v>554</v>
      </c>
      <c r="B83" s="34"/>
      <c r="C83" s="35" t="s">
        <v>663</v>
      </c>
      <c r="D83" s="35" t="s">
        <v>1026</v>
      </c>
      <c r="E83" s="35"/>
      <c r="F83" s="26"/>
      <c r="G83" s="24">
        <f>SUM(G84)</f>
        <v>411.2</v>
      </c>
      <c r="H83" s="24">
        <f>SUM(H84)</f>
        <v>4219.8</v>
      </c>
      <c r="I83" s="24">
        <f t="shared" si="4"/>
        <v>1026.215953307393</v>
      </c>
      <c r="J83"/>
    </row>
    <row r="84" spans="1:10" ht="14.25" customHeight="1">
      <c r="A84" s="220" t="s">
        <v>554</v>
      </c>
      <c r="B84" s="34"/>
      <c r="C84" s="35" t="s">
        <v>663</v>
      </c>
      <c r="D84" s="35" t="s">
        <v>1026</v>
      </c>
      <c r="E84" s="35" t="s">
        <v>555</v>
      </c>
      <c r="F84" s="26"/>
      <c r="G84" s="24">
        <f>SUM(G85+G87)</f>
        <v>411.2</v>
      </c>
      <c r="H84" s="24">
        <f>SUM(H85+H87)</f>
        <v>4219.8</v>
      </c>
      <c r="I84" s="24">
        <f t="shared" si="4"/>
        <v>1026.215953307393</v>
      </c>
      <c r="J84"/>
    </row>
    <row r="85" spans="1:10" ht="28.5" customHeight="1">
      <c r="A85" s="223" t="s">
        <v>556</v>
      </c>
      <c r="B85" s="34"/>
      <c r="C85" s="35" t="s">
        <v>663</v>
      </c>
      <c r="D85" s="35" t="s">
        <v>1026</v>
      </c>
      <c r="E85" s="35" t="s">
        <v>557</v>
      </c>
      <c r="F85" s="26"/>
      <c r="G85" s="24">
        <f>SUM(G86:G86)</f>
        <v>411.2</v>
      </c>
      <c r="H85" s="24">
        <f>SUM(H86:H86)</f>
        <v>2142.4</v>
      </c>
      <c r="I85" s="24">
        <f t="shared" si="4"/>
        <v>521.011673151751</v>
      </c>
      <c r="J85"/>
    </row>
    <row r="86" spans="1:10" ht="15" customHeight="1">
      <c r="A86" s="223" t="s">
        <v>1010</v>
      </c>
      <c r="B86" s="34"/>
      <c r="C86" s="35" t="s">
        <v>663</v>
      </c>
      <c r="D86" s="35" t="s">
        <v>1026</v>
      </c>
      <c r="E86" s="35" t="s">
        <v>557</v>
      </c>
      <c r="F86" s="26" t="s">
        <v>1011</v>
      </c>
      <c r="G86" s="24">
        <f>361+50.2</f>
        <v>411.2</v>
      </c>
      <c r="H86" s="24">
        <v>2142.4</v>
      </c>
      <c r="I86" s="24">
        <f t="shared" si="4"/>
        <v>521.011673151751</v>
      </c>
      <c r="J86">
        <f>SUM('[1]ведомствен.2012'!G259)</f>
        <v>411.2</v>
      </c>
    </row>
    <row r="87" spans="1:10" ht="15" hidden="1">
      <c r="A87" s="223" t="s">
        <v>558</v>
      </c>
      <c r="B87" s="34"/>
      <c r="C87" s="35" t="s">
        <v>663</v>
      </c>
      <c r="D87" s="35" t="s">
        <v>1026</v>
      </c>
      <c r="E87" s="35" t="s">
        <v>559</v>
      </c>
      <c r="F87" s="26"/>
      <c r="G87" s="24">
        <f>SUM(G88)</f>
        <v>0</v>
      </c>
      <c r="H87" s="24">
        <f>SUM(H88)</f>
        <v>2077.4</v>
      </c>
      <c r="I87" s="24" t="e">
        <f t="shared" si="4"/>
        <v>#DIV/0!</v>
      </c>
      <c r="J87"/>
    </row>
    <row r="88" spans="1:10" ht="15" hidden="1">
      <c r="A88" s="223" t="s">
        <v>1010</v>
      </c>
      <c r="B88" s="34"/>
      <c r="C88" s="35" t="s">
        <v>663</v>
      </c>
      <c r="D88" s="35" t="s">
        <v>1026</v>
      </c>
      <c r="E88" s="35" t="s">
        <v>559</v>
      </c>
      <c r="F88" s="26" t="s">
        <v>1011</v>
      </c>
      <c r="G88" s="24"/>
      <c r="H88" s="24">
        <v>2077.4</v>
      </c>
      <c r="I88" s="24" t="e">
        <f t="shared" si="4"/>
        <v>#DIV/0!</v>
      </c>
      <c r="J88"/>
    </row>
    <row r="89" spans="1:10" ht="15" hidden="1">
      <c r="A89" s="223" t="s">
        <v>560</v>
      </c>
      <c r="B89" s="21"/>
      <c r="C89" s="22" t="s">
        <v>663</v>
      </c>
      <c r="D89" s="22" t="s">
        <v>585</v>
      </c>
      <c r="E89" s="22"/>
      <c r="F89" s="27"/>
      <c r="G89" s="24">
        <f>SUM(G90)</f>
        <v>0</v>
      </c>
      <c r="H89" s="24">
        <f>SUM(H90)</f>
        <v>5048</v>
      </c>
      <c r="I89" s="24" t="e">
        <f t="shared" si="4"/>
        <v>#DIV/0!</v>
      </c>
      <c r="J89"/>
    </row>
    <row r="90" spans="1:10" ht="15" hidden="1">
      <c r="A90" s="223" t="s">
        <v>561</v>
      </c>
      <c r="B90" s="21"/>
      <c r="C90" s="22" t="s">
        <v>663</v>
      </c>
      <c r="D90" s="22" t="s">
        <v>585</v>
      </c>
      <c r="E90" s="22" t="s">
        <v>562</v>
      </c>
      <c r="F90" s="27"/>
      <c r="G90" s="24">
        <f>SUM(G92)</f>
        <v>0</v>
      </c>
      <c r="H90" s="24">
        <f>SUM(H92)</f>
        <v>5048</v>
      </c>
      <c r="I90" s="24" t="e">
        <f t="shared" si="4"/>
        <v>#DIV/0!</v>
      </c>
      <c r="J90"/>
    </row>
    <row r="91" spans="1:10" ht="15" hidden="1">
      <c r="A91" s="223" t="s">
        <v>563</v>
      </c>
      <c r="B91" s="21"/>
      <c r="C91" s="22" t="s">
        <v>663</v>
      </c>
      <c r="D91" s="22" t="s">
        <v>585</v>
      </c>
      <c r="E91" s="22" t="s">
        <v>564</v>
      </c>
      <c r="F91" s="27"/>
      <c r="G91" s="24">
        <f>SUM(G92)</f>
        <v>0</v>
      </c>
      <c r="H91" s="24">
        <f>SUM(H92)</f>
        <v>5048</v>
      </c>
      <c r="I91" s="24" t="e">
        <f t="shared" si="4"/>
        <v>#DIV/0!</v>
      </c>
      <c r="J91"/>
    </row>
    <row r="92" spans="1:10" ht="15" hidden="1">
      <c r="A92" s="223" t="s">
        <v>565</v>
      </c>
      <c r="B92" s="21"/>
      <c r="C92" s="22" t="s">
        <v>663</v>
      </c>
      <c r="D92" s="22" t="s">
        <v>585</v>
      </c>
      <c r="E92" s="22" t="s">
        <v>564</v>
      </c>
      <c r="F92" s="27" t="s">
        <v>566</v>
      </c>
      <c r="G92" s="24"/>
      <c r="H92" s="24">
        <v>5048</v>
      </c>
      <c r="I92" s="24" t="e">
        <f t="shared" si="4"/>
        <v>#DIV/0!</v>
      </c>
      <c r="J92"/>
    </row>
    <row r="93" spans="1:9" s="29" customFormat="1" ht="15" hidden="1">
      <c r="A93" s="223" t="s">
        <v>567</v>
      </c>
      <c r="B93" s="21"/>
      <c r="C93" s="22" t="s">
        <v>663</v>
      </c>
      <c r="D93" s="22" t="s">
        <v>585</v>
      </c>
      <c r="E93" s="22"/>
      <c r="F93" s="23"/>
      <c r="G93" s="24">
        <f>SUM(G94)</f>
        <v>0</v>
      </c>
      <c r="H93" s="24">
        <f>SUM(H94)</f>
        <v>0</v>
      </c>
      <c r="I93" s="24" t="e">
        <f t="shared" si="4"/>
        <v>#DIV/0!</v>
      </c>
    </row>
    <row r="94" spans="1:9" s="29" customFormat="1" ht="15" hidden="1">
      <c r="A94" s="223" t="s">
        <v>567</v>
      </c>
      <c r="B94" s="21"/>
      <c r="C94" s="22" t="s">
        <v>663</v>
      </c>
      <c r="D94" s="22" t="s">
        <v>585</v>
      </c>
      <c r="E94" s="22" t="s">
        <v>569</v>
      </c>
      <c r="F94" s="23"/>
      <c r="G94" s="24">
        <f>SUM(G96)</f>
        <v>0</v>
      </c>
      <c r="H94" s="24">
        <f>SUM(H96)</f>
        <v>0</v>
      </c>
      <c r="I94" s="24" t="e">
        <f t="shared" si="4"/>
        <v>#DIV/0!</v>
      </c>
    </row>
    <row r="95" spans="1:9" s="29" customFormat="1" ht="15" hidden="1">
      <c r="A95" s="223" t="s">
        <v>545</v>
      </c>
      <c r="B95" s="21"/>
      <c r="C95" s="22" t="s">
        <v>663</v>
      </c>
      <c r="D95" s="22" t="s">
        <v>585</v>
      </c>
      <c r="E95" s="22" t="s">
        <v>546</v>
      </c>
      <c r="F95" s="23"/>
      <c r="G95" s="24">
        <f>SUM(G96)</f>
        <v>0</v>
      </c>
      <c r="H95" s="24">
        <f>SUM(H96)</f>
        <v>0</v>
      </c>
      <c r="I95" s="24" t="e">
        <f t="shared" si="4"/>
        <v>#DIV/0!</v>
      </c>
    </row>
    <row r="96" spans="1:10" s="29" customFormat="1" ht="15.75" customHeight="1" hidden="1">
      <c r="A96" s="220" t="s">
        <v>570</v>
      </c>
      <c r="B96" s="34"/>
      <c r="C96" s="22" t="s">
        <v>663</v>
      </c>
      <c r="D96" s="22" t="s">
        <v>585</v>
      </c>
      <c r="E96" s="22" t="s">
        <v>546</v>
      </c>
      <c r="F96" s="26" t="s">
        <v>566</v>
      </c>
      <c r="G96" s="24"/>
      <c r="H96" s="24"/>
      <c r="I96" s="24" t="e">
        <f t="shared" si="4"/>
        <v>#DIV/0!</v>
      </c>
      <c r="J96" s="160">
        <f>SUM('[1]ведомствен.2012'!G668)</f>
        <v>0</v>
      </c>
    </row>
    <row r="97" spans="1:10" ht="14.25" customHeight="1">
      <c r="A97" s="223" t="s">
        <v>1019</v>
      </c>
      <c r="B97" s="21"/>
      <c r="C97" s="22" t="s">
        <v>663</v>
      </c>
      <c r="D97" s="22" t="s">
        <v>1331</v>
      </c>
      <c r="E97" s="22"/>
      <c r="F97" s="26"/>
      <c r="G97" s="24">
        <f>SUM(G98+G111+G114+G117+G120+G137+G103+G108)</f>
        <v>11421.6</v>
      </c>
      <c r="H97" s="24">
        <f>SUM(H98+H111+H114+H117+H120+H137+H103+H108)</f>
        <v>7427.299999999999</v>
      </c>
      <c r="I97" s="24">
        <f t="shared" si="4"/>
        <v>65.02854241087063</v>
      </c>
      <c r="J97"/>
    </row>
    <row r="98" spans="1:10" ht="21" customHeight="1" hidden="1">
      <c r="A98" s="223" t="s">
        <v>572</v>
      </c>
      <c r="B98" s="21"/>
      <c r="C98" s="22" t="s">
        <v>663</v>
      </c>
      <c r="D98" s="22" t="s">
        <v>1331</v>
      </c>
      <c r="E98" s="22" t="s">
        <v>573</v>
      </c>
      <c r="F98" s="23"/>
      <c r="G98" s="24">
        <f>SUM(G99+G101)</f>
        <v>0</v>
      </c>
      <c r="H98" s="24">
        <f>SUM(H99+H101)</f>
        <v>2749.5</v>
      </c>
      <c r="I98" s="24" t="e">
        <f t="shared" si="4"/>
        <v>#DIV/0!</v>
      </c>
      <c r="J98"/>
    </row>
    <row r="99" spans="1:10" ht="27.75" customHeight="1" hidden="1">
      <c r="A99" s="223" t="s">
        <v>231</v>
      </c>
      <c r="B99" s="21"/>
      <c r="C99" s="22" t="s">
        <v>663</v>
      </c>
      <c r="D99" s="22" t="s">
        <v>1331</v>
      </c>
      <c r="E99" s="22" t="s">
        <v>232</v>
      </c>
      <c r="F99" s="23"/>
      <c r="G99" s="24">
        <f>SUM(G100)</f>
        <v>0</v>
      </c>
      <c r="H99" s="24">
        <f>SUM(H100)</f>
        <v>2749.5</v>
      </c>
      <c r="I99" s="24" t="e">
        <f t="shared" si="4"/>
        <v>#DIV/0!</v>
      </c>
      <c r="J99"/>
    </row>
    <row r="100" spans="1:9" ht="18.75" customHeight="1" hidden="1">
      <c r="A100" s="223" t="s">
        <v>1010</v>
      </c>
      <c r="B100" s="21"/>
      <c r="C100" s="22" t="s">
        <v>663</v>
      </c>
      <c r="D100" s="22" t="s">
        <v>1331</v>
      </c>
      <c r="E100" s="22" t="s">
        <v>232</v>
      </c>
      <c r="F100" s="23" t="s">
        <v>1011</v>
      </c>
      <c r="G100" s="24"/>
      <c r="H100" s="24">
        <v>2749.5</v>
      </c>
      <c r="I100" s="24" t="e">
        <f t="shared" si="4"/>
        <v>#DIV/0!</v>
      </c>
    </row>
    <row r="101" spans="1:10" ht="27" customHeight="1" hidden="1">
      <c r="A101" s="223" t="s">
        <v>233</v>
      </c>
      <c r="B101" s="21"/>
      <c r="C101" s="22" t="s">
        <v>663</v>
      </c>
      <c r="D101" s="22" t="s">
        <v>1331</v>
      </c>
      <c r="E101" s="22" t="s">
        <v>234</v>
      </c>
      <c r="F101" s="23"/>
      <c r="G101" s="24">
        <f>SUM(G102)</f>
        <v>0</v>
      </c>
      <c r="H101" s="24">
        <f>SUM(H102)</f>
        <v>0</v>
      </c>
      <c r="I101" s="24" t="e">
        <f t="shared" si="4"/>
        <v>#DIV/0!</v>
      </c>
      <c r="J101"/>
    </row>
    <row r="102" spans="1:9" ht="18.75" customHeight="1" hidden="1">
      <c r="A102" s="223" t="s">
        <v>1010</v>
      </c>
      <c r="B102" s="21"/>
      <c r="C102" s="22" t="s">
        <v>663</v>
      </c>
      <c r="D102" s="22" t="s">
        <v>1331</v>
      </c>
      <c r="E102" s="22" t="s">
        <v>234</v>
      </c>
      <c r="F102" s="23" t="s">
        <v>1011</v>
      </c>
      <c r="G102" s="24"/>
      <c r="H102" s="24"/>
      <c r="I102" s="24" t="e">
        <f t="shared" si="4"/>
        <v>#DIV/0!</v>
      </c>
    </row>
    <row r="103" spans="1:10" ht="44.25" customHeight="1" hidden="1">
      <c r="A103" s="223" t="s">
        <v>1006</v>
      </c>
      <c r="B103" s="21"/>
      <c r="C103" s="22" t="s">
        <v>663</v>
      </c>
      <c r="D103" s="22" t="s">
        <v>1331</v>
      </c>
      <c r="E103" s="22" t="s">
        <v>1007</v>
      </c>
      <c r="F103" s="23"/>
      <c r="G103" s="24">
        <f>SUM(G106+G105)</f>
        <v>0</v>
      </c>
      <c r="H103" s="24">
        <f>SUM(H106+H105)</f>
        <v>836.4</v>
      </c>
      <c r="I103" s="24" t="e">
        <f t="shared" si="4"/>
        <v>#DIV/0!</v>
      </c>
      <c r="J103"/>
    </row>
    <row r="104" spans="1:10" ht="18.75" customHeight="1" hidden="1">
      <c r="A104" s="223" t="s">
        <v>1014</v>
      </c>
      <c r="B104" s="21"/>
      <c r="C104" s="22" t="s">
        <v>663</v>
      </c>
      <c r="D104" s="22" t="s">
        <v>1331</v>
      </c>
      <c r="E104" s="22" t="s">
        <v>1016</v>
      </c>
      <c r="F104" s="23"/>
      <c r="G104" s="24">
        <f>SUM(G105)</f>
        <v>0</v>
      </c>
      <c r="H104" s="24">
        <f>SUM(H105)</f>
        <v>0</v>
      </c>
      <c r="I104" s="24" t="e">
        <f t="shared" si="4"/>
        <v>#DIV/0!</v>
      </c>
      <c r="J104"/>
    </row>
    <row r="105" spans="1:10" ht="22.5" customHeight="1" hidden="1">
      <c r="A105" s="223" t="s">
        <v>1010</v>
      </c>
      <c r="B105" s="21"/>
      <c r="C105" s="22" t="s">
        <v>663</v>
      </c>
      <c r="D105" s="22" t="s">
        <v>1331</v>
      </c>
      <c r="E105" s="22" t="s">
        <v>1016</v>
      </c>
      <c r="F105" s="27" t="s">
        <v>1011</v>
      </c>
      <c r="G105" s="24"/>
      <c r="H105" s="24"/>
      <c r="I105" s="24" t="e">
        <f t="shared" si="4"/>
        <v>#DIV/0!</v>
      </c>
      <c r="J105"/>
    </row>
    <row r="106" spans="1:10" ht="18" customHeight="1" hidden="1">
      <c r="A106" s="223" t="s">
        <v>235</v>
      </c>
      <c r="B106" s="21"/>
      <c r="C106" s="22" t="s">
        <v>663</v>
      </c>
      <c r="D106" s="22" t="s">
        <v>1331</v>
      </c>
      <c r="E106" s="22" t="s">
        <v>236</v>
      </c>
      <c r="F106" s="26"/>
      <c r="G106" s="24">
        <f>SUM(G107)</f>
        <v>0</v>
      </c>
      <c r="H106" s="24">
        <f>SUM(H107)</f>
        <v>836.4</v>
      </c>
      <c r="I106" s="24" t="e">
        <f t="shared" si="4"/>
        <v>#DIV/0!</v>
      </c>
      <c r="J106"/>
    </row>
    <row r="107" spans="1:10" ht="17.25" customHeight="1" hidden="1">
      <c r="A107" s="226" t="s">
        <v>237</v>
      </c>
      <c r="B107" s="21"/>
      <c r="C107" s="22" t="s">
        <v>663</v>
      </c>
      <c r="D107" s="22" t="s">
        <v>1331</v>
      </c>
      <c r="E107" s="22" t="s">
        <v>236</v>
      </c>
      <c r="F107" s="26" t="s">
        <v>238</v>
      </c>
      <c r="G107" s="24"/>
      <c r="H107" s="24">
        <v>836.4</v>
      </c>
      <c r="I107" s="24" t="e">
        <f t="shared" si="4"/>
        <v>#DIV/0!</v>
      </c>
      <c r="J107"/>
    </row>
    <row r="108" spans="1:10" ht="21.75" customHeight="1" hidden="1">
      <c r="A108" s="223" t="s">
        <v>567</v>
      </c>
      <c r="B108" s="21"/>
      <c r="C108" s="22" t="s">
        <v>663</v>
      </c>
      <c r="D108" s="22" t="s">
        <v>1331</v>
      </c>
      <c r="E108" s="22" t="s">
        <v>569</v>
      </c>
      <c r="F108" s="23"/>
      <c r="G108" s="24">
        <f>SUM(G110)</f>
        <v>0</v>
      </c>
      <c r="H108" s="24">
        <f>SUM(H110)</f>
        <v>536.9</v>
      </c>
      <c r="I108" s="24" t="e">
        <f t="shared" si="4"/>
        <v>#DIV/0!</v>
      </c>
      <c r="J108"/>
    </row>
    <row r="109" spans="1:10" ht="22.5" customHeight="1" hidden="1">
      <c r="A109" s="223" t="s">
        <v>545</v>
      </c>
      <c r="B109" s="21"/>
      <c r="C109" s="22" t="s">
        <v>663</v>
      </c>
      <c r="D109" s="22" t="s">
        <v>1331</v>
      </c>
      <c r="E109" s="22" t="s">
        <v>546</v>
      </c>
      <c r="F109" s="23"/>
      <c r="G109" s="24">
        <f>SUM(G110)</f>
        <v>0</v>
      </c>
      <c r="H109" s="24">
        <f>SUM(H110)</f>
        <v>536.9</v>
      </c>
      <c r="I109" s="24" t="e">
        <f t="shared" si="4"/>
        <v>#DIV/0!</v>
      </c>
      <c r="J109"/>
    </row>
    <row r="110" spans="1:10" ht="25.5" customHeight="1" hidden="1">
      <c r="A110" s="223" t="s">
        <v>1010</v>
      </c>
      <c r="B110" s="21"/>
      <c r="C110" s="22" t="s">
        <v>663</v>
      </c>
      <c r="D110" s="22" t="s">
        <v>1331</v>
      </c>
      <c r="E110" s="22" t="s">
        <v>546</v>
      </c>
      <c r="F110" s="23" t="s">
        <v>1011</v>
      </c>
      <c r="G110" s="24"/>
      <c r="H110" s="24">
        <f>423.2+113.7</f>
        <v>536.9</v>
      </c>
      <c r="I110" s="24" t="e">
        <f t="shared" si="4"/>
        <v>#DIV/0!</v>
      </c>
      <c r="J110"/>
    </row>
    <row r="111" spans="1:10" ht="42.75">
      <c r="A111" s="286" t="s">
        <v>239</v>
      </c>
      <c r="B111" s="21"/>
      <c r="C111" s="22" t="s">
        <v>663</v>
      </c>
      <c r="D111" s="22" t="s">
        <v>1331</v>
      </c>
      <c r="E111" s="22" t="s">
        <v>1033</v>
      </c>
      <c r="F111" s="23"/>
      <c r="G111" s="24">
        <f>SUM(G112)</f>
        <v>2519.1</v>
      </c>
      <c r="H111" s="24">
        <f>SUM(H112)</f>
        <v>917.7</v>
      </c>
      <c r="I111" s="24">
        <f t="shared" si="4"/>
        <v>36.42967726569013</v>
      </c>
      <c r="J111"/>
    </row>
    <row r="112" spans="1:10" ht="42.75">
      <c r="A112" s="286" t="s">
        <v>1034</v>
      </c>
      <c r="B112" s="21"/>
      <c r="C112" s="22" t="s">
        <v>663</v>
      </c>
      <c r="D112" s="22" t="s">
        <v>1331</v>
      </c>
      <c r="E112" s="22" t="s">
        <v>240</v>
      </c>
      <c r="F112" s="23"/>
      <c r="G112" s="24">
        <f>SUM(G113)</f>
        <v>2519.1</v>
      </c>
      <c r="H112" s="24">
        <f>SUM(H113)</f>
        <v>917.7</v>
      </c>
      <c r="I112" s="24">
        <f t="shared" si="4"/>
        <v>36.42967726569013</v>
      </c>
      <c r="J112"/>
    </row>
    <row r="113" spans="1:10" ht="15">
      <c r="A113" s="223" t="s">
        <v>1010</v>
      </c>
      <c r="B113" s="21"/>
      <c r="C113" s="22" t="s">
        <v>663</v>
      </c>
      <c r="D113" s="22" t="s">
        <v>1331</v>
      </c>
      <c r="E113" s="22" t="s">
        <v>240</v>
      </c>
      <c r="F113" s="23" t="s">
        <v>1011</v>
      </c>
      <c r="G113" s="24">
        <v>2519.1</v>
      </c>
      <c r="H113" s="24">
        <v>917.7</v>
      </c>
      <c r="I113" s="24">
        <f t="shared" si="4"/>
        <v>36.42967726569013</v>
      </c>
      <c r="J113" s="160">
        <f>SUM('[1]ведомствен.2012'!G958)</f>
        <v>2519.1</v>
      </c>
    </row>
    <row r="114" spans="1:10" ht="28.5">
      <c r="A114" s="223" t="s">
        <v>1021</v>
      </c>
      <c r="B114" s="21"/>
      <c r="C114" s="22" t="s">
        <v>663</v>
      </c>
      <c r="D114" s="22" t="s">
        <v>1331</v>
      </c>
      <c r="E114" s="22" t="s">
        <v>1022</v>
      </c>
      <c r="F114" s="27"/>
      <c r="G114" s="24">
        <f>SUM(G115)</f>
        <v>6429.4</v>
      </c>
      <c r="H114" s="24">
        <f>SUM(H115)</f>
        <v>1069.4</v>
      </c>
      <c r="I114" s="24">
        <f t="shared" si="4"/>
        <v>16.63296730643606</v>
      </c>
      <c r="J114"/>
    </row>
    <row r="115" spans="1:10" ht="15">
      <c r="A115" s="223" t="s">
        <v>1023</v>
      </c>
      <c r="B115" s="21"/>
      <c r="C115" s="22" t="s">
        <v>663</v>
      </c>
      <c r="D115" s="22" t="s">
        <v>1331</v>
      </c>
      <c r="E115" s="22" t="s">
        <v>241</v>
      </c>
      <c r="F115" s="27"/>
      <c r="G115" s="24">
        <f>SUM(G116)</f>
        <v>6429.4</v>
      </c>
      <c r="H115" s="24">
        <f>SUM(H116)</f>
        <v>1069.4</v>
      </c>
      <c r="I115" s="24">
        <f t="shared" si="4"/>
        <v>16.63296730643606</v>
      </c>
      <c r="J115"/>
    </row>
    <row r="116" spans="1:10" ht="15.75" customHeight="1">
      <c r="A116" s="223" t="s">
        <v>1010</v>
      </c>
      <c r="B116" s="21"/>
      <c r="C116" s="22" t="s">
        <v>663</v>
      </c>
      <c r="D116" s="22" t="s">
        <v>1331</v>
      </c>
      <c r="E116" s="22" t="s">
        <v>241</v>
      </c>
      <c r="F116" s="27" t="s">
        <v>1011</v>
      </c>
      <c r="G116" s="24">
        <v>6429.4</v>
      </c>
      <c r="H116" s="24">
        <v>1069.4</v>
      </c>
      <c r="I116" s="24">
        <f t="shared" si="4"/>
        <v>16.63296730643606</v>
      </c>
      <c r="J116" s="160">
        <f>SUM('[1]ведомствен.2012'!G279+'[1]ведомствен.2012'!G26+'[1]ведомствен.2012'!G961)</f>
        <v>6429.4</v>
      </c>
    </row>
    <row r="117" spans="1:10" ht="31.5" customHeight="1" hidden="1">
      <c r="A117" s="220" t="s">
        <v>242</v>
      </c>
      <c r="B117" s="21"/>
      <c r="C117" s="22" t="s">
        <v>663</v>
      </c>
      <c r="D117" s="22" t="s">
        <v>1331</v>
      </c>
      <c r="E117" s="22" t="s">
        <v>605</v>
      </c>
      <c r="F117" s="23"/>
      <c r="G117" s="24">
        <f>SUM(G119)</f>
        <v>0</v>
      </c>
      <c r="H117" s="24">
        <f>SUM(H119)</f>
        <v>0</v>
      </c>
      <c r="I117" s="24" t="e">
        <f t="shared" si="4"/>
        <v>#DIV/0!</v>
      </c>
      <c r="J117"/>
    </row>
    <row r="118" spans="1:10" ht="31.5" customHeight="1" hidden="1">
      <c r="A118" s="220" t="s">
        <v>1051</v>
      </c>
      <c r="B118" s="21"/>
      <c r="C118" s="22" t="s">
        <v>663</v>
      </c>
      <c r="D118" s="22" t="s">
        <v>1331</v>
      </c>
      <c r="E118" s="22" t="s">
        <v>1052</v>
      </c>
      <c r="F118" s="23"/>
      <c r="G118" s="24">
        <f>SUM(G119)</f>
        <v>0</v>
      </c>
      <c r="H118" s="24">
        <f>SUM(H119)</f>
        <v>0</v>
      </c>
      <c r="I118" s="24" t="e">
        <f t="shared" si="4"/>
        <v>#DIV/0!</v>
      </c>
      <c r="J118"/>
    </row>
    <row r="119" spans="1:10" ht="18" customHeight="1" hidden="1">
      <c r="A119" s="220" t="s">
        <v>1053</v>
      </c>
      <c r="B119" s="21"/>
      <c r="C119" s="22" t="s">
        <v>663</v>
      </c>
      <c r="D119" s="22" t="s">
        <v>1331</v>
      </c>
      <c r="E119" s="22" t="s">
        <v>1052</v>
      </c>
      <c r="F119" s="23" t="s">
        <v>1054</v>
      </c>
      <c r="G119" s="24"/>
      <c r="H119" s="24"/>
      <c r="I119" s="24" t="e">
        <f t="shared" si="4"/>
        <v>#DIV/0!</v>
      </c>
      <c r="J119"/>
    </row>
    <row r="120" spans="1:10" ht="31.5" customHeight="1">
      <c r="A120" s="220" t="s">
        <v>1041</v>
      </c>
      <c r="B120" s="21"/>
      <c r="C120" s="22" t="s">
        <v>663</v>
      </c>
      <c r="D120" s="22" t="s">
        <v>1331</v>
      </c>
      <c r="E120" s="35" t="s">
        <v>1055</v>
      </c>
      <c r="F120" s="26"/>
      <c r="G120" s="24">
        <f>SUM(G123)+G121</f>
        <v>2473.1</v>
      </c>
      <c r="H120" s="24">
        <f>SUM(H123)</f>
        <v>1317.4</v>
      </c>
      <c r="I120" s="24">
        <f t="shared" si="4"/>
        <v>53.26917633739032</v>
      </c>
      <c r="J120"/>
    </row>
    <row r="121" spans="1:10" ht="31.5" customHeight="1">
      <c r="A121" s="223" t="s">
        <v>894</v>
      </c>
      <c r="B121" s="21"/>
      <c r="C121" s="22" t="s">
        <v>663</v>
      </c>
      <c r="D121" s="22" t="s">
        <v>1331</v>
      </c>
      <c r="E121" s="35" t="s">
        <v>1056</v>
      </c>
      <c r="F121" s="26"/>
      <c r="G121" s="24">
        <f>SUM(G122)</f>
        <v>23</v>
      </c>
      <c r="H121" s="24"/>
      <c r="I121" s="24"/>
      <c r="J121"/>
    </row>
    <row r="122" spans="1:10" ht="25.5" customHeight="1">
      <c r="A122" s="220" t="s">
        <v>895</v>
      </c>
      <c r="B122" s="21"/>
      <c r="C122" s="22" t="s">
        <v>663</v>
      </c>
      <c r="D122" s="22" t="s">
        <v>1331</v>
      </c>
      <c r="E122" s="35" t="s">
        <v>1056</v>
      </c>
      <c r="F122" s="26" t="s">
        <v>238</v>
      </c>
      <c r="G122" s="24">
        <v>23</v>
      </c>
      <c r="H122" s="24"/>
      <c r="I122" s="24"/>
      <c r="J122">
        <f>SUM('[1]ведомствен.2012'!G708)</f>
        <v>23</v>
      </c>
    </row>
    <row r="123" spans="1:10" ht="30.75" customHeight="1">
      <c r="A123" s="223" t="s">
        <v>811</v>
      </c>
      <c r="B123" s="21"/>
      <c r="C123" s="22" t="s">
        <v>663</v>
      </c>
      <c r="D123" s="22" t="s">
        <v>1331</v>
      </c>
      <c r="E123" s="35" t="s">
        <v>1231</v>
      </c>
      <c r="F123" s="26"/>
      <c r="G123" s="24">
        <f>SUM(G127)+G125+G128</f>
        <v>2450.1</v>
      </c>
      <c r="H123" s="24">
        <f>SUM(H127)</f>
        <v>1317.4</v>
      </c>
      <c r="I123" s="24">
        <f t="shared" si="4"/>
        <v>53.769233908820055</v>
      </c>
      <c r="J123"/>
    </row>
    <row r="124" spans="1:10" ht="72" customHeight="1" hidden="1">
      <c r="A124" s="223" t="s">
        <v>1044</v>
      </c>
      <c r="B124" s="21"/>
      <c r="C124" s="22" t="s">
        <v>663</v>
      </c>
      <c r="D124" s="22" t="s">
        <v>1331</v>
      </c>
      <c r="E124" s="22" t="s">
        <v>982</v>
      </c>
      <c r="F124" s="23"/>
      <c r="G124" s="24">
        <f>SUM(G125)</f>
        <v>0</v>
      </c>
      <c r="H124" s="24">
        <v>41.9</v>
      </c>
      <c r="I124" s="24" t="e">
        <f>SUM(H124/G124*100)</f>
        <v>#DIV/0!</v>
      </c>
      <c r="J124"/>
    </row>
    <row r="125" spans="1:10" ht="44.25" customHeight="1" hidden="1">
      <c r="A125" s="223" t="s">
        <v>813</v>
      </c>
      <c r="B125" s="21"/>
      <c r="C125" s="22" t="s">
        <v>663</v>
      </c>
      <c r="D125" s="22" t="s">
        <v>1331</v>
      </c>
      <c r="E125" s="35" t="s">
        <v>982</v>
      </c>
      <c r="F125" s="26" t="s">
        <v>1300</v>
      </c>
      <c r="G125" s="24"/>
      <c r="H125" s="24">
        <v>1317.4</v>
      </c>
      <c r="I125" s="24" t="e">
        <f>SUM(H125/G125*100)</f>
        <v>#DIV/0!</v>
      </c>
      <c r="J125">
        <f>SUM('[1]ведомствен.2012'!G286)</f>
        <v>0</v>
      </c>
    </row>
    <row r="126" spans="1:10" ht="29.25" customHeight="1">
      <c r="A126" s="223" t="s">
        <v>1232</v>
      </c>
      <c r="B126" s="21"/>
      <c r="C126" s="22" t="s">
        <v>663</v>
      </c>
      <c r="D126" s="22" t="s">
        <v>1331</v>
      </c>
      <c r="E126" s="35" t="s">
        <v>1233</v>
      </c>
      <c r="F126" s="26"/>
      <c r="G126" s="24">
        <f>SUM(G127)</f>
        <v>2318.1</v>
      </c>
      <c r="H126" s="24"/>
      <c r="I126" s="24"/>
      <c r="J126"/>
    </row>
    <row r="127" spans="1:10" ht="42" customHeight="1">
      <c r="A127" s="223" t="s">
        <v>812</v>
      </c>
      <c r="B127" s="21"/>
      <c r="C127" s="22" t="s">
        <v>663</v>
      </c>
      <c r="D127" s="22" t="s">
        <v>1331</v>
      </c>
      <c r="E127" s="35" t="s">
        <v>1233</v>
      </c>
      <c r="F127" s="26" t="s">
        <v>897</v>
      </c>
      <c r="G127" s="24">
        <v>2318.1</v>
      </c>
      <c r="H127" s="24">
        <v>1317.4</v>
      </c>
      <c r="I127" s="24">
        <f t="shared" si="4"/>
        <v>56.83102540873992</v>
      </c>
      <c r="J127">
        <f>SUM('[1]ведомствен.2012'!G288)</f>
        <v>2318.1</v>
      </c>
    </row>
    <row r="128" spans="1:10" ht="33" customHeight="1">
      <c r="A128" s="223" t="s">
        <v>1126</v>
      </c>
      <c r="B128" s="21"/>
      <c r="C128" s="22" t="s">
        <v>663</v>
      </c>
      <c r="D128" s="22" t="s">
        <v>1331</v>
      </c>
      <c r="E128" s="22" t="s">
        <v>579</v>
      </c>
      <c r="F128" s="23"/>
      <c r="G128" s="24">
        <f>SUM(G131+G133+G135)+G129</f>
        <v>132</v>
      </c>
      <c r="H128" s="24"/>
      <c r="I128" s="24"/>
      <c r="J128"/>
    </row>
    <row r="129" spans="1:10" ht="33" customHeight="1">
      <c r="A129" s="234" t="s">
        <v>729</v>
      </c>
      <c r="B129" s="21"/>
      <c r="C129" s="22" t="s">
        <v>663</v>
      </c>
      <c r="D129" s="22" t="s">
        <v>1331</v>
      </c>
      <c r="E129" s="22" t="s">
        <v>744</v>
      </c>
      <c r="F129" s="23"/>
      <c r="G129" s="24">
        <f>SUM(G130)</f>
        <v>32</v>
      </c>
      <c r="H129" s="24"/>
      <c r="I129" s="24"/>
      <c r="J129"/>
    </row>
    <row r="130" spans="1:10" ht="29.25" customHeight="1">
      <c r="A130" s="222" t="s">
        <v>1126</v>
      </c>
      <c r="B130" s="21"/>
      <c r="C130" s="22" t="s">
        <v>663</v>
      </c>
      <c r="D130" s="22" t="s">
        <v>1331</v>
      </c>
      <c r="E130" s="22" t="s">
        <v>744</v>
      </c>
      <c r="F130" s="23" t="s">
        <v>978</v>
      </c>
      <c r="G130" s="24">
        <v>32</v>
      </c>
      <c r="H130" s="24"/>
      <c r="I130" s="24"/>
      <c r="J130">
        <f>SUM('[1]ведомствен.2012'!G291)</f>
        <v>32</v>
      </c>
    </row>
    <row r="131" spans="1:10" ht="38.25" customHeight="1">
      <c r="A131" s="223" t="s">
        <v>845</v>
      </c>
      <c r="B131" s="21"/>
      <c r="C131" s="22" t="s">
        <v>663</v>
      </c>
      <c r="D131" s="22" t="s">
        <v>1331</v>
      </c>
      <c r="E131" s="22" t="s">
        <v>580</v>
      </c>
      <c r="F131" s="23"/>
      <c r="G131" s="24">
        <f>SUM(G132)</f>
        <v>45</v>
      </c>
      <c r="H131" s="24"/>
      <c r="I131" s="24"/>
      <c r="J131"/>
    </row>
    <row r="132" spans="1:10" ht="34.5" customHeight="1">
      <c r="A132" s="223" t="s">
        <v>1126</v>
      </c>
      <c r="B132" s="21"/>
      <c r="C132" s="22" t="s">
        <v>663</v>
      </c>
      <c r="D132" s="22" t="s">
        <v>1331</v>
      </c>
      <c r="E132" s="22" t="s">
        <v>580</v>
      </c>
      <c r="F132" s="23" t="s">
        <v>978</v>
      </c>
      <c r="G132" s="24">
        <v>45</v>
      </c>
      <c r="H132" s="24"/>
      <c r="I132" s="24"/>
      <c r="J132">
        <f>SUM('[1]ведомствен.2012'!G293)</f>
        <v>45</v>
      </c>
    </row>
    <row r="133" spans="1:10" ht="30.75" customHeight="1">
      <c r="A133" s="223" t="s">
        <v>578</v>
      </c>
      <c r="B133" s="21"/>
      <c r="C133" s="22" t="s">
        <v>663</v>
      </c>
      <c r="D133" s="22" t="s">
        <v>1331</v>
      </c>
      <c r="E133" s="22" t="s">
        <v>577</v>
      </c>
      <c r="F133" s="23"/>
      <c r="G133" s="24">
        <f>SUM(G134)</f>
        <v>15</v>
      </c>
      <c r="H133" s="24"/>
      <c r="I133" s="24"/>
      <c r="J133"/>
    </row>
    <row r="134" spans="1:10" ht="32.25" customHeight="1">
      <c r="A134" s="223" t="s">
        <v>1126</v>
      </c>
      <c r="B134" s="21"/>
      <c r="C134" s="22" t="s">
        <v>663</v>
      </c>
      <c r="D134" s="22" t="s">
        <v>1331</v>
      </c>
      <c r="E134" s="22" t="s">
        <v>577</v>
      </c>
      <c r="F134" s="23" t="s">
        <v>978</v>
      </c>
      <c r="G134" s="24">
        <v>15</v>
      </c>
      <c r="H134" s="24"/>
      <c r="I134" s="24"/>
      <c r="J134">
        <f>SUM('[1]ведомствен.2012'!G295)</f>
        <v>15</v>
      </c>
    </row>
    <row r="135" spans="1:10" ht="29.25" customHeight="1">
      <c r="A135" s="223" t="s">
        <v>1261</v>
      </c>
      <c r="B135" s="21"/>
      <c r="C135" s="22" t="s">
        <v>663</v>
      </c>
      <c r="D135" s="22" t="s">
        <v>1331</v>
      </c>
      <c r="E135" s="22" t="s">
        <v>1262</v>
      </c>
      <c r="F135" s="23"/>
      <c r="G135" s="24">
        <f>SUM(G136)</f>
        <v>40</v>
      </c>
      <c r="H135" s="24"/>
      <c r="I135" s="24"/>
      <c r="J135"/>
    </row>
    <row r="136" spans="1:10" ht="29.25" customHeight="1">
      <c r="A136" s="223" t="s">
        <v>1126</v>
      </c>
      <c r="B136" s="21"/>
      <c r="C136" s="22" t="s">
        <v>663</v>
      </c>
      <c r="D136" s="22" t="s">
        <v>1331</v>
      </c>
      <c r="E136" s="22" t="s">
        <v>1262</v>
      </c>
      <c r="F136" s="23" t="s">
        <v>978</v>
      </c>
      <c r="G136" s="24">
        <v>40</v>
      </c>
      <c r="H136" s="24"/>
      <c r="I136" s="24"/>
      <c r="J136">
        <f>SUM('[1]ведомствен.2012'!G297)</f>
        <v>40</v>
      </c>
    </row>
    <row r="137" spans="1:12" ht="18" customHeight="1" hidden="1">
      <c r="A137" s="223" t="s">
        <v>1046</v>
      </c>
      <c r="B137" s="21"/>
      <c r="C137" s="22" t="s">
        <v>663</v>
      </c>
      <c r="D137" s="22" t="s">
        <v>1331</v>
      </c>
      <c r="E137" s="22" t="s">
        <v>1047</v>
      </c>
      <c r="F137" s="27"/>
      <c r="G137" s="24">
        <f>SUM(G138)</f>
        <v>0</v>
      </c>
      <c r="H137" s="24">
        <f>SUM(H138)</f>
        <v>0</v>
      </c>
      <c r="I137" s="24" t="e">
        <f t="shared" si="4"/>
        <v>#DIV/0!</v>
      </c>
      <c r="J137"/>
      <c r="L137" s="208"/>
    </row>
    <row r="138" spans="1:10" ht="16.5" customHeight="1" hidden="1">
      <c r="A138" s="223" t="s">
        <v>1010</v>
      </c>
      <c r="B138" s="21"/>
      <c r="C138" s="22" t="s">
        <v>663</v>
      </c>
      <c r="D138" s="22" t="s">
        <v>1331</v>
      </c>
      <c r="E138" s="22" t="s">
        <v>1047</v>
      </c>
      <c r="F138" s="27" t="s">
        <v>1011</v>
      </c>
      <c r="G138" s="24">
        <f>SUM(G139+G140)</f>
        <v>0</v>
      </c>
      <c r="H138" s="24">
        <f>SUM(H139+H140)</f>
        <v>0</v>
      </c>
      <c r="I138" s="24" t="e">
        <f t="shared" si="4"/>
        <v>#DIV/0!</v>
      </c>
      <c r="J138"/>
    </row>
    <row r="139" spans="1:10" ht="21" customHeight="1" hidden="1">
      <c r="A139" s="223" t="s">
        <v>1057</v>
      </c>
      <c r="B139" s="21"/>
      <c r="C139" s="22" t="s">
        <v>663</v>
      </c>
      <c r="D139" s="22" t="s">
        <v>1331</v>
      </c>
      <c r="E139" s="22" t="s">
        <v>1058</v>
      </c>
      <c r="F139" s="27" t="s">
        <v>1011</v>
      </c>
      <c r="G139" s="24"/>
      <c r="H139" s="24"/>
      <c r="I139" s="24" t="e">
        <f t="shared" si="4"/>
        <v>#DIV/0!</v>
      </c>
      <c r="J139"/>
    </row>
    <row r="140" spans="1:10" ht="27.75" customHeight="1" hidden="1">
      <c r="A140" s="223" t="s">
        <v>1059</v>
      </c>
      <c r="B140" s="21"/>
      <c r="C140" s="22" t="s">
        <v>663</v>
      </c>
      <c r="D140" s="22" t="s">
        <v>571</v>
      </c>
      <c r="E140" s="22" t="s">
        <v>1060</v>
      </c>
      <c r="F140" s="27" t="s">
        <v>1011</v>
      </c>
      <c r="G140" s="24"/>
      <c r="H140" s="24"/>
      <c r="I140" s="24" t="e">
        <f t="shared" si="4"/>
        <v>#DIV/0!</v>
      </c>
      <c r="J140"/>
    </row>
    <row r="141" spans="1:12" s="20" customFormat="1" ht="30">
      <c r="A141" s="287" t="s">
        <v>1061</v>
      </c>
      <c r="B141" s="37"/>
      <c r="C141" s="38" t="s">
        <v>1013</v>
      </c>
      <c r="D141" s="38"/>
      <c r="E141" s="38"/>
      <c r="F141" s="39"/>
      <c r="G141" s="40">
        <f>SUM(G142+G169)+G192+G165</f>
        <v>25982.199999999997</v>
      </c>
      <c r="H141" s="40">
        <f>SUM(H142+H169)+H192</f>
        <v>52801.7</v>
      </c>
      <c r="I141" s="40">
        <f t="shared" si="4"/>
        <v>203.2225908506593</v>
      </c>
      <c r="K141" s="20">
        <f>SUM(J165:J191)</f>
        <v>25982.199999999997</v>
      </c>
      <c r="L141" s="20">
        <f>SUM('[1]ведомствен.2012'!G302+'[1]ведомствен.2012'!G709+'[1]ведомствен.2012'!G962)</f>
        <v>25982.199999999997</v>
      </c>
    </row>
    <row r="142" spans="1:10" ht="15" hidden="1">
      <c r="A142" s="223" t="s">
        <v>1062</v>
      </c>
      <c r="B142" s="21"/>
      <c r="C142" s="22" t="s">
        <v>1013</v>
      </c>
      <c r="D142" s="22" t="s">
        <v>665</v>
      </c>
      <c r="E142" s="22"/>
      <c r="F142" s="26"/>
      <c r="G142" s="24">
        <f>SUM(G143)</f>
        <v>0</v>
      </c>
      <c r="H142" s="24">
        <f>SUM(H143)</f>
        <v>36922.5</v>
      </c>
      <c r="I142" s="24" t="e">
        <f t="shared" si="4"/>
        <v>#DIV/0!</v>
      </c>
      <c r="J142"/>
    </row>
    <row r="143" spans="1:10" ht="15" hidden="1">
      <c r="A143" s="223" t="s">
        <v>1062</v>
      </c>
      <c r="B143" s="21"/>
      <c r="C143" s="22" t="s">
        <v>1013</v>
      </c>
      <c r="D143" s="22" t="s">
        <v>665</v>
      </c>
      <c r="E143" s="22"/>
      <c r="F143" s="23"/>
      <c r="G143" s="24">
        <f>SUM(G144+G161)</f>
        <v>0</v>
      </c>
      <c r="H143" s="24">
        <f>SUM(H144+H161)</f>
        <v>36922.5</v>
      </c>
      <c r="I143" s="24" t="e">
        <f t="shared" si="4"/>
        <v>#DIV/0!</v>
      </c>
      <c r="J143"/>
    </row>
    <row r="144" spans="1:10" ht="18.75" customHeight="1" hidden="1">
      <c r="A144" s="286" t="s">
        <v>1063</v>
      </c>
      <c r="B144" s="21"/>
      <c r="C144" s="22" t="s">
        <v>1013</v>
      </c>
      <c r="D144" s="22" t="s">
        <v>665</v>
      </c>
      <c r="E144" s="41" t="s">
        <v>251</v>
      </c>
      <c r="F144" s="23"/>
      <c r="G144" s="24">
        <f>SUM(G145+G147+G149+G151+G154+G159)</f>
        <v>0</v>
      </c>
      <c r="H144" s="24">
        <f>SUM(H145+H147+H149+H151+H154+H159)</f>
        <v>36646.8</v>
      </c>
      <c r="I144" s="24" t="e">
        <f t="shared" si="4"/>
        <v>#DIV/0!</v>
      </c>
      <c r="J144"/>
    </row>
    <row r="145" spans="1:10" ht="57" hidden="1">
      <c r="A145" s="286" t="s">
        <v>252</v>
      </c>
      <c r="B145" s="21"/>
      <c r="C145" s="22" t="s">
        <v>1013</v>
      </c>
      <c r="D145" s="22" t="s">
        <v>665</v>
      </c>
      <c r="E145" s="41" t="s">
        <v>253</v>
      </c>
      <c r="F145" s="23"/>
      <c r="G145" s="24">
        <f>SUM(G146)</f>
        <v>0</v>
      </c>
      <c r="H145" s="24">
        <f>SUM(H146)</f>
        <v>2461.2</v>
      </c>
      <c r="I145" s="24" t="e">
        <f t="shared" si="4"/>
        <v>#DIV/0!</v>
      </c>
      <c r="J145"/>
    </row>
    <row r="146" spans="1:9" ht="28.5" hidden="1">
      <c r="A146" s="286" t="s">
        <v>254</v>
      </c>
      <c r="B146" s="21"/>
      <c r="C146" s="22" t="s">
        <v>1013</v>
      </c>
      <c r="D146" s="22" t="s">
        <v>665</v>
      </c>
      <c r="E146" s="41" t="s">
        <v>253</v>
      </c>
      <c r="F146" s="23" t="s">
        <v>255</v>
      </c>
      <c r="G146" s="24"/>
      <c r="H146" s="24">
        <v>2461.2</v>
      </c>
      <c r="I146" s="24" t="e">
        <f t="shared" si="4"/>
        <v>#DIV/0!</v>
      </c>
    </row>
    <row r="147" spans="1:10" ht="15" hidden="1">
      <c r="A147" s="286" t="s">
        <v>256</v>
      </c>
      <c r="B147" s="21"/>
      <c r="C147" s="22" t="s">
        <v>1013</v>
      </c>
      <c r="D147" s="22" t="s">
        <v>665</v>
      </c>
      <c r="E147" s="41" t="s">
        <v>257</v>
      </c>
      <c r="F147" s="23"/>
      <c r="G147" s="24">
        <f>SUM(G148)</f>
        <v>0</v>
      </c>
      <c r="H147" s="24">
        <f>SUM(H148)</f>
        <v>25107.2</v>
      </c>
      <c r="I147" s="24" t="e">
        <f t="shared" si="4"/>
        <v>#DIV/0!</v>
      </c>
      <c r="J147"/>
    </row>
    <row r="148" spans="1:9" ht="41.25" customHeight="1" hidden="1">
      <c r="A148" s="286" t="s">
        <v>254</v>
      </c>
      <c r="B148" s="21"/>
      <c r="C148" s="22" t="s">
        <v>1013</v>
      </c>
      <c r="D148" s="22" t="s">
        <v>665</v>
      </c>
      <c r="E148" s="41" t="s">
        <v>257</v>
      </c>
      <c r="F148" s="23" t="s">
        <v>255</v>
      </c>
      <c r="G148" s="24"/>
      <c r="H148" s="24">
        <v>25107.2</v>
      </c>
      <c r="I148" s="24" t="e">
        <f t="shared" si="4"/>
        <v>#DIV/0!</v>
      </c>
    </row>
    <row r="149" spans="1:10" ht="31.5" customHeight="1" hidden="1">
      <c r="A149" s="286" t="s">
        <v>258</v>
      </c>
      <c r="B149" s="21"/>
      <c r="C149" s="22" t="s">
        <v>1013</v>
      </c>
      <c r="D149" s="22" t="s">
        <v>665</v>
      </c>
      <c r="E149" s="41" t="s">
        <v>259</v>
      </c>
      <c r="F149" s="23"/>
      <c r="G149" s="24">
        <f>SUM(G150)</f>
        <v>0</v>
      </c>
      <c r="H149" s="24">
        <f>SUM(H150)</f>
        <v>7951.2</v>
      </c>
      <c r="I149" s="24" t="e">
        <f t="shared" si="4"/>
        <v>#DIV/0!</v>
      </c>
      <c r="J149"/>
    </row>
    <row r="150" spans="1:9" ht="28.5" hidden="1">
      <c r="A150" s="286" t="s">
        <v>254</v>
      </c>
      <c r="B150" s="21"/>
      <c r="C150" s="22" t="s">
        <v>1013</v>
      </c>
      <c r="D150" s="22" t="s">
        <v>665</v>
      </c>
      <c r="E150" s="41" t="s">
        <v>259</v>
      </c>
      <c r="F150" s="23" t="s">
        <v>255</v>
      </c>
      <c r="G150" s="24"/>
      <c r="H150" s="24">
        <v>7951.2</v>
      </c>
      <c r="I150" s="24" t="e">
        <f t="shared" si="4"/>
        <v>#DIV/0!</v>
      </c>
    </row>
    <row r="151" spans="1:10" ht="15" hidden="1">
      <c r="A151" s="286" t="s">
        <v>260</v>
      </c>
      <c r="B151" s="21"/>
      <c r="C151" s="22" t="s">
        <v>1013</v>
      </c>
      <c r="D151" s="22" t="s">
        <v>665</v>
      </c>
      <c r="E151" s="41" t="s">
        <v>261</v>
      </c>
      <c r="F151" s="23"/>
      <c r="G151" s="24">
        <f>SUM(G152)</f>
        <v>0</v>
      </c>
      <c r="H151" s="24">
        <f>SUM(H152)</f>
        <v>73.1</v>
      </c>
      <c r="I151" s="24" t="e">
        <f t="shared" si="4"/>
        <v>#DIV/0!</v>
      </c>
      <c r="J151"/>
    </row>
    <row r="152" spans="1:10" ht="30.75" customHeight="1" hidden="1">
      <c r="A152" s="286" t="s">
        <v>367</v>
      </c>
      <c r="B152" s="21"/>
      <c r="C152" s="22" t="s">
        <v>1013</v>
      </c>
      <c r="D152" s="22" t="s">
        <v>665</v>
      </c>
      <c r="E152" s="41" t="s">
        <v>368</v>
      </c>
      <c r="F152" s="23"/>
      <c r="G152" s="24">
        <f>SUM(G153)</f>
        <v>0</v>
      </c>
      <c r="H152" s="24">
        <f>SUM(H153)</f>
        <v>73.1</v>
      </c>
      <c r="I152" s="24" t="e">
        <f t="shared" si="4"/>
        <v>#DIV/0!</v>
      </c>
      <c r="J152"/>
    </row>
    <row r="153" spans="1:9" ht="28.5" hidden="1">
      <c r="A153" s="286" t="s">
        <v>254</v>
      </c>
      <c r="B153" s="21"/>
      <c r="C153" s="22" t="s">
        <v>1013</v>
      </c>
      <c r="D153" s="22" t="s">
        <v>665</v>
      </c>
      <c r="E153" s="41" t="s">
        <v>368</v>
      </c>
      <c r="F153" s="23" t="s">
        <v>255</v>
      </c>
      <c r="G153" s="24"/>
      <c r="H153" s="24">
        <v>73.1</v>
      </c>
      <c r="I153" s="24" t="e">
        <f t="shared" si="4"/>
        <v>#DIV/0!</v>
      </c>
    </row>
    <row r="154" spans="1:10" ht="15" hidden="1">
      <c r="A154" s="223" t="s">
        <v>369</v>
      </c>
      <c r="B154" s="21"/>
      <c r="C154" s="22" t="s">
        <v>370</v>
      </c>
      <c r="D154" s="22" t="s">
        <v>665</v>
      </c>
      <c r="E154" s="41" t="s">
        <v>371</v>
      </c>
      <c r="F154" s="23"/>
      <c r="G154" s="24">
        <f>SUM(G155+G157)</f>
        <v>0</v>
      </c>
      <c r="H154" s="24">
        <f>SUM(H155+H157)</f>
        <v>66.8</v>
      </c>
      <c r="I154" s="24" t="e">
        <f t="shared" si="4"/>
        <v>#DIV/0!</v>
      </c>
      <c r="J154"/>
    </row>
    <row r="155" spans="1:10" ht="28.5" hidden="1">
      <c r="A155" s="286" t="s">
        <v>372</v>
      </c>
      <c r="B155" s="21"/>
      <c r="C155" s="22" t="s">
        <v>370</v>
      </c>
      <c r="D155" s="22" t="s">
        <v>665</v>
      </c>
      <c r="E155" s="41" t="s">
        <v>373</v>
      </c>
      <c r="F155" s="23"/>
      <c r="G155" s="24">
        <f>SUM(G156)</f>
        <v>0</v>
      </c>
      <c r="H155" s="24">
        <f>SUM(H156)</f>
        <v>0</v>
      </c>
      <c r="I155" s="24" t="e">
        <f aca="true" t="shared" si="5" ref="I155:I250">SUM(H155/G155*100)</f>
        <v>#DIV/0!</v>
      </c>
      <c r="J155"/>
    </row>
    <row r="156" spans="1:9" ht="28.5" hidden="1">
      <c r="A156" s="286" t="s">
        <v>254</v>
      </c>
      <c r="B156" s="21"/>
      <c r="C156" s="22" t="s">
        <v>370</v>
      </c>
      <c r="D156" s="22" t="s">
        <v>665</v>
      </c>
      <c r="E156" s="41" t="s">
        <v>373</v>
      </c>
      <c r="F156" s="23" t="s">
        <v>255</v>
      </c>
      <c r="G156" s="24"/>
      <c r="H156" s="24"/>
      <c r="I156" s="24" t="e">
        <f t="shared" si="5"/>
        <v>#DIV/0!</v>
      </c>
    </row>
    <row r="157" spans="1:10" ht="15" hidden="1">
      <c r="A157" s="286" t="s">
        <v>374</v>
      </c>
      <c r="B157" s="21"/>
      <c r="C157" s="22" t="s">
        <v>370</v>
      </c>
      <c r="D157" s="22" t="s">
        <v>665</v>
      </c>
      <c r="E157" s="41" t="s">
        <v>375</v>
      </c>
      <c r="F157" s="23"/>
      <c r="G157" s="24">
        <f>SUM(G158)</f>
        <v>0</v>
      </c>
      <c r="H157" s="24">
        <f>SUM(H158)</f>
        <v>66.8</v>
      </c>
      <c r="I157" s="24" t="e">
        <f t="shared" si="5"/>
        <v>#DIV/0!</v>
      </c>
      <c r="J157"/>
    </row>
    <row r="158" spans="1:9" ht="28.5" hidden="1">
      <c r="A158" s="286" t="s">
        <v>254</v>
      </c>
      <c r="B158" s="21"/>
      <c r="C158" s="22" t="s">
        <v>370</v>
      </c>
      <c r="D158" s="22" t="s">
        <v>665</v>
      </c>
      <c r="E158" s="41" t="s">
        <v>375</v>
      </c>
      <c r="F158" s="23" t="s">
        <v>255</v>
      </c>
      <c r="G158" s="24"/>
      <c r="H158" s="24">
        <v>66.8</v>
      </c>
      <c r="I158" s="24" t="e">
        <f t="shared" si="5"/>
        <v>#DIV/0!</v>
      </c>
    </row>
    <row r="159" spans="1:10" ht="27" customHeight="1" hidden="1">
      <c r="A159" s="223" t="s">
        <v>376</v>
      </c>
      <c r="B159" s="21"/>
      <c r="C159" s="22" t="s">
        <v>370</v>
      </c>
      <c r="D159" s="22" t="s">
        <v>665</v>
      </c>
      <c r="E159" s="41" t="s">
        <v>377</v>
      </c>
      <c r="F159" s="23"/>
      <c r="G159" s="24">
        <f>SUM(G160)</f>
        <v>0</v>
      </c>
      <c r="H159" s="24">
        <f>SUM(H160)</f>
        <v>987.3</v>
      </c>
      <c r="I159" s="24" t="e">
        <f t="shared" si="5"/>
        <v>#DIV/0!</v>
      </c>
      <c r="J159"/>
    </row>
    <row r="160" spans="1:9" ht="18.75" customHeight="1" hidden="1">
      <c r="A160" s="286" t="s">
        <v>378</v>
      </c>
      <c r="B160" s="21"/>
      <c r="C160" s="22" t="s">
        <v>370</v>
      </c>
      <c r="D160" s="22" t="s">
        <v>665</v>
      </c>
      <c r="E160" s="41" t="s">
        <v>377</v>
      </c>
      <c r="F160" s="23" t="s">
        <v>379</v>
      </c>
      <c r="G160" s="24"/>
      <c r="H160" s="24">
        <v>987.3</v>
      </c>
      <c r="I160" s="24" t="e">
        <f t="shared" si="5"/>
        <v>#DIV/0!</v>
      </c>
    </row>
    <row r="161" spans="1:10" ht="15" hidden="1">
      <c r="A161" s="273" t="s">
        <v>1046</v>
      </c>
      <c r="B161" s="42"/>
      <c r="C161" s="42" t="s">
        <v>1013</v>
      </c>
      <c r="D161" s="42" t="s">
        <v>665</v>
      </c>
      <c r="E161" s="43" t="s">
        <v>1047</v>
      </c>
      <c r="F161" s="44"/>
      <c r="G161" s="24">
        <f>SUM(G162)</f>
        <v>0</v>
      </c>
      <c r="H161" s="24">
        <f>SUM(H162)</f>
        <v>275.7</v>
      </c>
      <c r="I161" s="24" t="e">
        <f t="shared" si="5"/>
        <v>#DIV/0!</v>
      </c>
      <c r="J161"/>
    </row>
    <row r="162" spans="1:10" ht="28.5" hidden="1">
      <c r="A162" s="286" t="s">
        <v>254</v>
      </c>
      <c r="B162" s="45"/>
      <c r="C162" s="46" t="s">
        <v>1013</v>
      </c>
      <c r="D162" s="46" t="s">
        <v>665</v>
      </c>
      <c r="E162" s="46" t="s">
        <v>380</v>
      </c>
      <c r="F162" s="47" t="s">
        <v>255</v>
      </c>
      <c r="G162" s="24">
        <f>SUM(G163)</f>
        <v>0</v>
      </c>
      <c r="H162" s="24">
        <f>SUM(H163)</f>
        <v>275.7</v>
      </c>
      <c r="I162" s="24" t="e">
        <f t="shared" si="5"/>
        <v>#DIV/0!</v>
      </c>
      <c r="J162"/>
    </row>
    <row r="163" spans="1:9" ht="42" customHeight="1" hidden="1">
      <c r="A163" s="274" t="s">
        <v>637</v>
      </c>
      <c r="B163" s="48"/>
      <c r="C163" s="46" t="s">
        <v>1013</v>
      </c>
      <c r="D163" s="46" t="s">
        <v>665</v>
      </c>
      <c r="E163" s="46" t="s">
        <v>381</v>
      </c>
      <c r="F163" s="47" t="s">
        <v>255</v>
      </c>
      <c r="G163" s="49"/>
      <c r="H163" s="49">
        <v>275.7</v>
      </c>
      <c r="I163" s="24" t="e">
        <f t="shared" si="5"/>
        <v>#DIV/0!</v>
      </c>
    </row>
    <row r="164" spans="1:10" ht="42.75" customHeight="1" hidden="1">
      <c r="A164" s="274" t="s">
        <v>386</v>
      </c>
      <c r="B164" s="48"/>
      <c r="C164" s="46" t="s">
        <v>1013</v>
      </c>
      <c r="D164" s="46" t="s">
        <v>665</v>
      </c>
      <c r="E164" s="46" t="s">
        <v>387</v>
      </c>
      <c r="F164" s="47" t="s">
        <v>255</v>
      </c>
      <c r="G164" s="49"/>
      <c r="H164" s="49"/>
      <c r="I164" s="24" t="e">
        <f t="shared" si="5"/>
        <v>#DIV/0!</v>
      </c>
      <c r="J164"/>
    </row>
    <row r="165" spans="1:9" s="36" customFormat="1" ht="18.75" customHeight="1">
      <c r="A165" s="223" t="s">
        <v>900</v>
      </c>
      <c r="B165" s="34"/>
      <c r="C165" s="35" t="s">
        <v>1013</v>
      </c>
      <c r="D165" s="35" t="s">
        <v>1037</v>
      </c>
      <c r="E165" s="35"/>
      <c r="F165" s="26"/>
      <c r="G165" s="24">
        <f>SUM(G167)</f>
        <v>5047.3</v>
      </c>
      <c r="H165" s="24">
        <f>SUM(H167)</f>
        <v>0</v>
      </c>
      <c r="I165" s="24">
        <f>SUM(H165/G165*100)</f>
        <v>0</v>
      </c>
    </row>
    <row r="166" spans="1:9" s="36" customFormat="1" ht="27.75" customHeight="1">
      <c r="A166" s="220" t="s">
        <v>572</v>
      </c>
      <c r="B166" s="34"/>
      <c r="C166" s="35" t="s">
        <v>1013</v>
      </c>
      <c r="D166" s="35" t="s">
        <v>1037</v>
      </c>
      <c r="E166" s="35" t="s">
        <v>573</v>
      </c>
      <c r="F166" s="26"/>
      <c r="G166" s="24">
        <f>SUM(G167)</f>
        <v>5047.3</v>
      </c>
      <c r="H166" s="24"/>
      <c r="I166" s="24"/>
    </row>
    <row r="167" spans="1:9" s="36" customFormat="1" ht="15">
      <c r="A167" s="220" t="s">
        <v>231</v>
      </c>
      <c r="B167" s="34"/>
      <c r="C167" s="35" t="s">
        <v>1013</v>
      </c>
      <c r="D167" s="35" t="s">
        <v>1037</v>
      </c>
      <c r="E167" s="35" t="s">
        <v>232</v>
      </c>
      <c r="F167" s="26"/>
      <c r="G167" s="24">
        <f>SUM(G168)</f>
        <v>5047.3</v>
      </c>
      <c r="H167" s="24">
        <f>SUM(H168)</f>
        <v>0</v>
      </c>
      <c r="I167" s="24">
        <f>SUM(H167/G167*100)</f>
        <v>0</v>
      </c>
    </row>
    <row r="168" spans="1:10" s="36" customFormat="1" ht="20.25" customHeight="1">
      <c r="A168" s="220" t="s">
        <v>1010</v>
      </c>
      <c r="B168" s="34"/>
      <c r="C168" s="35" t="s">
        <v>1013</v>
      </c>
      <c r="D168" s="35" t="s">
        <v>1037</v>
      </c>
      <c r="E168" s="35" t="s">
        <v>232</v>
      </c>
      <c r="F168" s="26" t="s">
        <v>1011</v>
      </c>
      <c r="G168" s="24">
        <v>5047.3</v>
      </c>
      <c r="H168" s="24"/>
      <c r="I168" s="24">
        <f>SUM(H168/G168*100)</f>
        <v>0</v>
      </c>
      <c r="J168" s="36">
        <f>SUM('[1]ведомствен.2012'!G306)</f>
        <v>5047.3</v>
      </c>
    </row>
    <row r="169" spans="1:10" ht="45.75" customHeight="1">
      <c r="A169" s="286" t="s">
        <v>388</v>
      </c>
      <c r="B169" s="21"/>
      <c r="C169" s="35" t="s">
        <v>1013</v>
      </c>
      <c r="D169" s="35" t="s">
        <v>389</v>
      </c>
      <c r="E169" s="35"/>
      <c r="F169" s="26"/>
      <c r="G169" s="24">
        <f>SUM(G173+G178+G181+G184)+G171+G187</f>
        <v>20934.899999999998</v>
      </c>
      <c r="H169" s="24">
        <f>SUM(H173+H178+H181+H184)+H171</f>
        <v>15879.199999999997</v>
      </c>
      <c r="I169" s="24">
        <f t="shared" si="5"/>
        <v>75.85037425542993</v>
      </c>
      <c r="J169"/>
    </row>
    <row r="170" spans="1:10" ht="18" customHeight="1" hidden="1">
      <c r="A170" s="223" t="s">
        <v>567</v>
      </c>
      <c r="B170" s="21"/>
      <c r="C170" s="35" t="s">
        <v>1013</v>
      </c>
      <c r="D170" s="35" t="s">
        <v>389</v>
      </c>
      <c r="E170" s="35" t="s">
        <v>569</v>
      </c>
      <c r="F170" s="26"/>
      <c r="G170" s="24">
        <f>SUM(G171)</f>
        <v>0</v>
      </c>
      <c r="H170" s="24">
        <f>SUM(H171)</f>
        <v>0</v>
      </c>
      <c r="I170" s="24" t="e">
        <f t="shared" si="5"/>
        <v>#DIV/0!</v>
      </c>
      <c r="J170"/>
    </row>
    <row r="171" spans="1:10" ht="18.75" customHeight="1" hidden="1">
      <c r="A171" s="223" t="s">
        <v>545</v>
      </c>
      <c r="B171" s="21"/>
      <c r="C171" s="35" t="s">
        <v>1013</v>
      </c>
      <c r="D171" s="35" t="s">
        <v>389</v>
      </c>
      <c r="E171" s="35" t="s">
        <v>546</v>
      </c>
      <c r="F171" s="26"/>
      <c r="G171" s="24">
        <f>SUM(G172)</f>
        <v>0</v>
      </c>
      <c r="H171" s="24">
        <f>SUM(H172)</f>
        <v>0</v>
      </c>
      <c r="I171" s="24" t="e">
        <f t="shared" si="5"/>
        <v>#DIV/0!</v>
      </c>
      <c r="J171"/>
    </row>
    <row r="172" spans="1:10" ht="18" customHeight="1" hidden="1">
      <c r="A172" s="223" t="s">
        <v>1010</v>
      </c>
      <c r="B172" s="21"/>
      <c r="C172" s="35" t="s">
        <v>1013</v>
      </c>
      <c r="D172" s="35" t="s">
        <v>389</v>
      </c>
      <c r="E172" s="35" t="s">
        <v>546</v>
      </c>
      <c r="F172" s="26" t="s">
        <v>1011</v>
      </c>
      <c r="G172" s="24"/>
      <c r="H172" s="24"/>
      <c r="I172" s="24" t="e">
        <f t="shared" si="5"/>
        <v>#DIV/0!</v>
      </c>
      <c r="J172"/>
    </row>
    <row r="173" spans="1:10" ht="30.75" customHeight="1">
      <c r="A173" s="286" t="s">
        <v>390</v>
      </c>
      <c r="B173" s="21"/>
      <c r="C173" s="35" t="s">
        <v>1013</v>
      </c>
      <c r="D173" s="35" t="s">
        <v>389</v>
      </c>
      <c r="E173" s="35" t="s">
        <v>391</v>
      </c>
      <c r="F173" s="26"/>
      <c r="G173" s="24">
        <f>SUM(G174)+G176</f>
        <v>5932.8</v>
      </c>
      <c r="H173" s="24">
        <f>SUM(H174)+H176</f>
        <v>10264.099999999999</v>
      </c>
      <c r="I173" s="24">
        <f t="shared" si="5"/>
        <v>173.0060005393743</v>
      </c>
      <c r="J173"/>
    </row>
    <row r="174" spans="1:10" ht="43.5" customHeight="1">
      <c r="A174" s="286" t="s">
        <v>392</v>
      </c>
      <c r="B174" s="21"/>
      <c r="C174" s="35" t="s">
        <v>1013</v>
      </c>
      <c r="D174" s="35" t="s">
        <v>389</v>
      </c>
      <c r="E174" s="35" t="s">
        <v>393</v>
      </c>
      <c r="F174" s="26"/>
      <c r="G174" s="24">
        <f>SUM(G175)</f>
        <v>1932.8</v>
      </c>
      <c r="H174" s="24">
        <f>SUM(H175)</f>
        <v>438.8</v>
      </c>
      <c r="I174" s="24">
        <f t="shared" si="5"/>
        <v>22.702814569536425</v>
      </c>
      <c r="J174"/>
    </row>
    <row r="175" spans="1:10" ht="18.75" customHeight="1">
      <c r="A175" s="223" t="s">
        <v>1010</v>
      </c>
      <c r="B175" s="21"/>
      <c r="C175" s="35" t="s">
        <v>1013</v>
      </c>
      <c r="D175" s="35" t="s">
        <v>389</v>
      </c>
      <c r="E175" s="35" t="s">
        <v>393</v>
      </c>
      <c r="F175" s="26" t="s">
        <v>1011</v>
      </c>
      <c r="G175" s="24">
        <v>1932.8</v>
      </c>
      <c r="H175" s="24">
        <v>438.8</v>
      </c>
      <c r="I175" s="24">
        <f t="shared" si="5"/>
        <v>22.702814569536425</v>
      </c>
      <c r="J175" s="160">
        <f>SUM('[1]ведомствен.2012'!G313)</f>
        <v>1932.8</v>
      </c>
    </row>
    <row r="176" spans="1:10" ht="28.5">
      <c r="A176" s="223" t="s">
        <v>777</v>
      </c>
      <c r="B176" s="21"/>
      <c r="C176" s="35" t="s">
        <v>1013</v>
      </c>
      <c r="D176" s="35" t="s">
        <v>389</v>
      </c>
      <c r="E176" s="35" t="s">
        <v>778</v>
      </c>
      <c r="F176" s="26"/>
      <c r="G176" s="24">
        <f>SUM(G177)</f>
        <v>4000</v>
      </c>
      <c r="H176" s="24">
        <f>SUM(H177)</f>
        <v>9825.3</v>
      </c>
      <c r="I176" s="24">
        <f t="shared" si="5"/>
        <v>245.63249999999996</v>
      </c>
      <c r="J176"/>
    </row>
    <row r="177" spans="1:10" ht="18.75" customHeight="1">
      <c r="A177" s="223" t="s">
        <v>565</v>
      </c>
      <c r="B177" s="21"/>
      <c r="C177" s="35" t="s">
        <v>1013</v>
      </c>
      <c r="D177" s="35" t="s">
        <v>389</v>
      </c>
      <c r="E177" s="35" t="s">
        <v>778</v>
      </c>
      <c r="F177" s="26" t="s">
        <v>566</v>
      </c>
      <c r="G177" s="24">
        <v>4000</v>
      </c>
      <c r="H177" s="24">
        <v>9825.3</v>
      </c>
      <c r="I177" s="24">
        <f t="shared" si="5"/>
        <v>245.63249999999996</v>
      </c>
      <c r="J177" s="160">
        <f>SUM('[1]ведомствен.2012'!G315)</f>
        <v>4000</v>
      </c>
    </row>
    <row r="178" spans="1:10" ht="18.75" customHeight="1">
      <c r="A178" s="286" t="s">
        <v>779</v>
      </c>
      <c r="B178" s="45"/>
      <c r="C178" s="45" t="s">
        <v>1013</v>
      </c>
      <c r="D178" s="45" t="s">
        <v>389</v>
      </c>
      <c r="E178" s="45" t="s">
        <v>780</v>
      </c>
      <c r="F178" s="50"/>
      <c r="G178" s="24">
        <f>SUM(G179)</f>
        <v>188.4</v>
      </c>
      <c r="H178" s="24">
        <f>SUM(H179)</f>
        <v>227.3</v>
      </c>
      <c r="I178" s="24">
        <f t="shared" si="5"/>
        <v>120.6475583864119</v>
      </c>
      <c r="J178"/>
    </row>
    <row r="179" spans="1:10" ht="31.5" customHeight="1">
      <c r="A179" s="286" t="s">
        <v>781</v>
      </c>
      <c r="B179" s="45"/>
      <c r="C179" s="46" t="s">
        <v>1013</v>
      </c>
      <c r="D179" s="46" t="s">
        <v>389</v>
      </c>
      <c r="E179" s="46" t="s">
        <v>782</v>
      </c>
      <c r="F179" s="47"/>
      <c r="G179" s="24">
        <f>SUM(G180)</f>
        <v>188.4</v>
      </c>
      <c r="H179" s="24">
        <f>SUM(H180)</f>
        <v>227.3</v>
      </c>
      <c r="I179" s="24">
        <f t="shared" si="5"/>
        <v>120.6475583864119</v>
      </c>
      <c r="J179"/>
    </row>
    <row r="180" spans="1:10" ht="19.5" customHeight="1">
      <c r="A180" s="223" t="s">
        <v>1010</v>
      </c>
      <c r="B180" s="45"/>
      <c r="C180" s="46" t="s">
        <v>1013</v>
      </c>
      <c r="D180" s="46" t="s">
        <v>389</v>
      </c>
      <c r="E180" s="46" t="s">
        <v>782</v>
      </c>
      <c r="F180" s="47" t="s">
        <v>1011</v>
      </c>
      <c r="G180" s="24">
        <v>188.4</v>
      </c>
      <c r="H180" s="24">
        <v>227.3</v>
      </c>
      <c r="I180" s="24">
        <f t="shared" si="5"/>
        <v>120.6475583864119</v>
      </c>
      <c r="J180" s="160">
        <f>SUM('[1]ведомствен.2012'!G318)</f>
        <v>188.4</v>
      </c>
    </row>
    <row r="181" spans="1:10" ht="45.75" customHeight="1">
      <c r="A181" s="223" t="s">
        <v>896</v>
      </c>
      <c r="B181" s="21"/>
      <c r="C181" s="35" t="s">
        <v>1013</v>
      </c>
      <c r="D181" s="35" t="s">
        <v>389</v>
      </c>
      <c r="E181" s="35" t="s">
        <v>783</v>
      </c>
      <c r="F181" s="26"/>
      <c r="G181" s="24">
        <f>SUM(G182)</f>
        <v>12546.6</v>
      </c>
      <c r="H181" s="24">
        <f>SUM(H182)</f>
        <v>5387.8</v>
      </c>
      <c r="I181" s="24">
        <f t="shared" si="5"/>
        <v>42.9423110643521</v>
      </c>
      <c r="J181"/>
    </row>
    <row r="182" spans="1:10" ht="29.25" customHeight="1">
      <c r="A182" s="223" t="s">
        <v>894</v>
      </c>
      <c r="B182" s="21"/>
      <c r="C182" s="35" t="s">
        <v>1013</v>
      </c>
      <c r="D182" s="35" t="s">
        <v>389</v>
      </c>
      <c r="E182" s="35" t="s">
        <v>784</v>
      </c>
      <c r="F182" s="26"/>
      <c r="G182" s="24">
        <f>SUM(G183)</f>
        <v>12546.6</v>
      </c>
      <c r="H182" s="24">
        <f>SUM(H183)</f>
        <v>5387.8</v>
      </c>
      <c r="I182" s="24">
        <f t="shared" si="5"/>
        <v>42.9423110643521</v>
      </c>
      <c r="J182"/>
    </row>
    <row r="183" spans="1:10" ht="18" customHeight="1">
      <c r="A183" s="226" t="s">
        <v>895</v>
      </c>
      <c r="B183" s="51"/>
      <c r="C183" s="52" t="s">
        <v>1013</v>
      </c>
      <c r="D183" s="52" t="s">
        <v>389</v>
      </c>
      <c r="E183" s="52" t="s">
        <v>784</v>
      </c>
      <c r="F183" s="27" t="s">
        <v>238</v>
      </c>
      <c r="G183" s="24">
        <v>12546.6</v>
      </c>
      <c r="H183" s="24">
        <v>5387.8</v>
      </c>
      <c r="I183" s="24">
        <f t="shared" si="5"/>
        <v>42.9423110643521</v>
      </c>
      <c r="J183" s="160">
        <f>SUM('[1]ведомствен.2012'!G321)+'[1]ведомствен.2012'!G713</f>
        <v>12546.6</v>
      </c>
    </row>
    <row r="184" spans="1:9" s="53" customFormat="1" ht="16.5" customHeight="1" hidden="1">
      <c r="A184" s="223" t="s">
        <v>785</v>
      </c>
      <c r="B184" s="51"/>
      <c r="C184" s="52" t="s">
        <v>1013</v>
      </c>
      <c r="D184" s="52" t="s">
        <v>389</v>
      </c>
      <c r="E184" s="52" t="s">
        <v>786</v>
      </c>
      <c r="F184" s="27"/>
      <c r="G184" s="24">
        <f>SUM(G186)</f>
        <v>0</v>
      </c>
      <c r="H184" s="24">
        <f>SUM(H186)</f>
        <v>0</v>
      </c>
      <c r="I184" s="24" t="e">
        <f t="shared" si="5"/>
        <v>#DIV/0!</v>
      </c>
    </row>
    <row r="185" spans="1:9" s="53" customFormat="1" ht="16.5" customHeight="1" hidden="1">
      <c r="A185" s="286" t="s">
        <v>787</v>
      </c>
      <c r="B185" s="21"/>
      <c r="C185" s="35" t="s">
        <v>1013</v>
      </c>
      <c r="D185" s="35" t="s">
        <v>389</v>
      </c>
      <c r="E185" s="46" t="s">
        <v>788</v>
      </c>
      <c r="F185" s="26"/>
      <c r="G185" s="24">
        <f>SUM(G186)</f>
        <v>0</v>
      </c>
      <c r="H185" s="24">
        <f>SUM(H186)</f>
        <v>0</v>
      </c>
      <c r="I185" s="24" t="e">
        <f t="shared" si="5"/>
        <v>#DIV/0!</v>
      </c>
    </row>
    <row r="186" spans="1:10" ht="58.5" customHeight="1" hidden="1">
      <c r="A186" s="286" t="s">
        <v>789</v>
      </c>
      <c r="B186" s="21"/>
      <c r="C186" s="35" t="s">
        <v>1013</v>
      </c>
      <c r="D186" s="35" t="s">
        <v>389</v>
      </c>
      <c r="E186" s="46" t="s">
        <v>788</v>
      </c>
      <c r="F186" s="26" t="s">
        <v>790</v>
      </c>
      <c r="G186" s="24"/>
      <c r="H186" s="24"/>
      <c r="I186" s="24" t="e">
        <f t="shared" si="5"/>
        <v>#DIV/0!</v>
      </c>
      <c r="J186"/>
    </row>
    <row r="187" spans="1:10" ht="24" customHeight="1">
      <c r="A187" s="223" t="s">
        <v>1046</v>
      </c>
      <c r="B187" s="198"/>
      <c r="C187" s="35" t="s">
        <v>1013</v>
      </c>
      <c r="D187" s="269" t="s">
        <v>389</v>
      </c>
      <c r="E187" s="270" t="s">
        <v>1047</v>
      </c>
      <c r="F187" s="203"/>
      <c r="G187" s="268">
        <f>SUM(G190)+G188</f>
        <v>2267.1</v>
      </c>
      <c r="H187" s="24"/>
      <c r="I187" s="24"/>
      <c r="J187"/>
    </row>
    <row r="188" spans="1:10" ht="29.25" customHeight="1">
      <c r="A188" s="220" t="s">
        <v>1107</v>
      </c>
      <c r="B188" s="21"/>
      <c r="C188" s="52" t="s">
        <v>1013</v>
      </c>
      <c r="D188" s="52" t="s">
        <v>389</v>
      </c>
      <c r="E188" s="35" t="s">
        <v>1058</v>
      </c>
      <c r="F188" s="26"/>
      <c r="G188" s="24">
        <f>SUM(G189)</f>
        <v>1800</v>
      </c>
      <c r="H188" s="24"/>
      <c r="I188" s="24"/>
      <c r="J188"/>
    </row>
    <row r="189" spans="1:10" ht="24" customHeight="1">
      <c r="A189" s="223" t="s">
        <v>1010</v>
      </c>
      <c r="B189" s="21"/>
      <c r="C189" s="52" t="s">
        <v>1013</v>
      </c>
      <c r="D189" s="52" t="s">
        <v>389</v>
      </c>
      <c r="E189" s="35" t="s">
        <v>1058</v>
      </c>
      <c r="F189" s="26" t="s">
        <v>1011</v>
      </c>
      <c r="G189" s="24">
        <v>1800</v>
      </c>
      <c r="H189" s="24"/>
      <c r="I189" s="24"/>
      <c r="J189">
        <f>SUM('[1]ведомствен.2012'!G331)</f>
        <v>1800</v>
      </c>
    </row>
    <row r="190" spans="1:10" ht="51" customHeight="1">
      <c r="A190" s="223" t="s">
        <v>1092</v>
      </c>
      <c r="B190" s="21"/>
      <c r="C190" s="35" t="s">
        <v>1013</v>
      </c>
      <c r="D190" s="269" t="s">
        <v>389</v>
      </c>
      <c r="E190" s="270" t="s">
        <v>1093</v>
      </c>
      <c r="F190" s="27"/>
      <c r="G190" s="24">
        <f>SUM(G191)</f>
        <v>467.1</v>
      </c>
      <c r="H190" s="24"/>
      <c r="I190" s="24"/>
      <c r="J190"/>
    </row>
    <row r="191" spans="1:10" ht="27.75" customHeight="1">
      <c r="A191" s="223" t="s">
        <v>1010</v>
      </c>
      <c r="B191" s="21"/>
      <c r="C191" s="35" t="s">
        <v>1013</v>
      </c>
      <c r="D191" s="269" t="s">
        <v>389</v>
      </c>
      <c r="E191" s="270" t="s">
        <v>1093</v>
      </c>
      <c r="F191" s="27" t="s">
        <v>1011</v>
      </c>
      <c r="G191" s="24">
        <v>467.1</v>
      </c>
      <c r="H191" s="24"/>
      <c r="I191" s="24"/>
      <c r="J191">
        <f>SUM('[1]ведомствен.2012'!G966)+'[1]ведомствен.2012'!G333</f>
        <v>467.1</v>
      </c>
    </row>
    <row r="192" spans="1:10" ht="28.5" customHeight="1" hidden="1">
      <c r="A192" s="286" t="s">
        <v>791</v>
      </c>
      <c r="B192" s="21"/>
      <c r="C192" s="35" t="s">
        <v>1013</v>
      </c>
      <c r="D192" s="35" t="s">
        <v>571</v>
      </c>
      <c r="E192" s="46"/>
      <c r="F192" s="26"/>
      <c r="G192" s="24">
        <f>SUM(G193+G196)</f>
        <v>0</v>
      </c>
      <c r="H192" s="24">
        <f>SUM(H193+H196)</f>
        <v>0</v>
      </c>
      <c r="I192" s="24" t="e">
        <f t="shared" si="5"/>
        <v>#DIV/0!</v>
      </c>
      <c r="J192"/>
    </row>
    <row r="193" spans="1:10" ht="15.75" customHeight="1" hidden="1">
      <c r="A193" s="286" t="s">
        <v>785</v>
      </c>
      <c r="B193" s="21"/>
      <c r="C193" s="35" t="s">
        <v>1013</v>
      </c>
      <c r="D193" s="35" t="s">
        <v>571</v>
      </c>
      <c r="E193" s="46" t="s">
        <v>786</v>
      </c>
      <c r="F193" s="26"/>
      <c r="G193" s="24">
        <f>SUM(G194)</f>
        <v>0</v>
      </c>
      <c r="H193" s="24">
        <f>SUM(H194)</f>
        <v>0</v>
      </c>
      <c r="I193" s="24" t="e">
        <f t="shared" si="5"/>
        <v>#DIV/0!</v>
      </c>
      <c r="J193"/>
    </row>
    <row r="194" spans="1:10" ht="16.5" customHeight="1" hidden="1">
      <c r="A194" s="286" t="s">
        <v>792</v>
      </c>
      <c r="B194" s="21"/>
      <c r="C194" s="35" t="s">
        <v>1013</v>
      </c>
      <c r="D194" s="35" t="s">
        <v>571</v>
      </c>
      <c r="E194" s="46" t="s">
        <v>788</v>
      </c>
      <c r="F194" s="26"/>
      <c r="G194" s="24">
        <f>SUM(G195)</f>
        <v>0</v>
      </c>
      <c r="H194" s="24">
        <f>SUM(H195)</f>
        <v>0</v>
      </c>
      <c r="I194" s="24" t="e">
        <f t="shared" si="5"/>
        <v>#DIV/0!</v>
      </c>
      <c r="J194"/>
    </row>
    <row r="195" spans="1:10" ht="13.5" customHeight="1" hidden="1">
      <c r="A195" s="220" t="s">
        <v>1053</v>
      </c>
      <c r="B195" s="21"/>
      <c r="C195" s="35" t="s">
        <v>1013</v>
      </c>
      <c r="D195" s="35" t="s">
        <v>571</v>
      </c>
      <c r="E195" s="46" t="s">
        <v>788</v>
      </c>
      <c r="F195" s="26" t="s">
        <v>1054</v>
      </c>
      <c r="G195" s="24"/>
      <c r="H195" s="24"/>
      <c r="I195" s="24" t="e">
        <f t="shared" si="5"/>
        <v>#DIV/0!</v>
      </c>
      <c r="J195"/>
    </row>
    <row r="196" spans="1:10" ht="15" customHeight="1" hidden="1">
      <c r="A196" s="286" t="s">
        <v>785</v>
      </c>
      <c r="B196" s="21"/>
      <c r="C196" s="35" t="s">
        <v>1013</v>
      </c>
      <c r="D196" s="35" t="s">
        <v>793</v>
      </c>
      <c r="E196" s="46" t="s">
        <v>786</v>
      </c>
      <c r="F196" s="26"/>
      <c r="G196" s="24">
        <f>SUM(G197)</f>
        <v>0</v>
      </c>
      <c r="H196" s="24">
        <f>SUM(H197)</f>
        <v>0</v>
      </c>
      <c r="I196" s="24" t="e">
        <f t="shared" si="5"/>
        <v>#DIV/0!</v>
      </c>
      <c r="J196"/>
    </row>
    <row r="197" spans="1:10" ht="42.75" customHeight="1" hidden="1">
      <c r="A197" s="286" t="s">
        <v>792</v>
      </c>
      <c r="B197" s="21"/>
      <c r="C197" s="35" t="s">
        <v>1013</v>
      </c>
      <c r="D197" s="35" t="s">
        <v>793</v>
      </c>
      <c r="E197" s="46" t="s">
        <v>788</v>
      </c>
      <c r="F197" s="26"/>
      <c r="G197" s="24"/>
      <c r="H197" s="24"/>
      <c r="I197" s="24" t="e">
        <f t="shared" si="5"/>
        <v>#DIV/0!</v>
      </c>
      <c r="J197"/>
    </row>
    <row r="198" spans="1:10" ht="14.25" customHeight="1" hidden="1">
      <c r="A198" s="220" t="s">
        <v>1053</v>
      </c>
      <c r="B198" s="21"/>
      <c r="C198" s="35" t="s">
        <v>1013</v>
      </c>
      <c r="D198" s="35" t="s">
        <v>793</v>
      </c>
      <c r="E198" s="46" t="s">
        <v>788</v>
      </c>
      <c r="F198" s="26" t="s">
        <v>1054</v>
      </c>
      <c r="G198" s="24">
        <f>SUM('[2]Ведомств.'!F141)</f>
        <v>0</v>
      </c>
      <c r="H198" s="24">
        <f>SUM('[2]Ведомств.'!G141)</f>
        <v>0</v>
      </c>
      <c r="I198" s="24" t="e">
        <f t="shared" si="5"/>
        <v>#DIV/0!</v>
      </c>
      <c r="J198"/>
    </row>
    <row r="199" spans="1:10" ht="15" customHeight="1" hidden="1">
      <c r="A199" s="286"/>
      <c r="B199" s="21"/>
      <c r="C199" s="35"/>
      <c r="D199" s="35"/>
      <c r="E199" s="46"/>
      <c r="F199" s="26"/>
      <c r="G199" s="24"/>
      <c r="H199" s="24"/>
      <c r="I199" s="24" t="e">
        <f t="shared" si="5"/>
        <v>#DIV/0!</v>
      </c>
      <c r="J199"/>
    </row>
    <row r="200" spans="1:12" s="20" customFormat="1" ht="15.75">
      <c r="A200" s="287" t="s">
        <v>1036</v>
      </c>
      <c r="B200" s="37"/>
      <c r="C200" s="54" t="s">
        <v>1037</v>
      </c>
      <c r="D200" s="54"/>
      <c r="E200" s="54"/>
      <c r="F200" s="55"/>
      <c r="G200" s="40">
        <f>SUM(G201+G245)+G220</f>
        <v>393402.3</v>
      </c>
      <c r="H200" s="40" t="e">
        <f>SUM(H201+H245)</f>
        <v>#REF!</v>
      </c>
      <c r="I200" s="40" t="e">
        <f t="shared" si="5"/>
        <v>#REF!</v>
      </c>
      <c r="K200" s="20">
        <f>SUM(J201:J273)</f>
        <v>393402.30000000005</v>
      </c>
      <c r="L200" s="20">
        <f>SUM('[1]ведомствен.2012'!G46+'[1]ведомствен.2012'!G340+'[1]ведомствен.2012'!G714+'[1]ведомствен.2012'!G970)</f>
        <v>393402.3</v>
      </c>
    </row>
    <row r="201" spans="1:10" ht="14.25" customHeight="1">
      <c r="A201" s="223" t="s">
        <v>1038</v>
      </c>
      <c r="B201" s="21"/>
      <c r="C201" s="22" t="s">
        <v>1037</v>
      </c>
      <c r="D201" s="22" t="s">
        <v>1039</v>
      </c>
      <c r="E201" s="22"/>
      <c r="F201" s="23"/>
      <c r="G201" s="24">
        <f>SUM(G209)+G204+G202+G217</f>
        <v>98973.2</v>
      </c>
      <c r="H201" s="24">
        <f>SUM(H209)+H204+H202</f>
        <v>55910.700000000004</v>
      </c>
      <c r="I201" s="24">
        <f t="shared" si="5"/>
        <v>56.4907469900943</v>
      </c>
      <c r="J201"/>
    </row>
    <row r="202" spans="1:12" ht="33" customHeight="1">
      <c r="A202" s="223" t="s">
        <v>794</v>
      </c>
      <c r="B202" s="21"/>
      <c r="C202" s="22" t="s">
        <v>1037</v>
      </c>
      <c r="D202" s="22" t="s">
        <v>1039</v>
      </c>
      <c r="E202" s="35" t="s">
        <v>795</v>
      </c>
      <c r="F202" s="26"/>
      <c r="G202" s="24">
        <f>SUM(G203)+G206+G207</f>
        <v>40310</v>
      </c>
      <c r="H202" s="24">
        <f>SUM(H203)+H206+H207</f>
        <v>25204.300000000003</v>
      </c>
      <c r="I202" s="24">
        <f t="shared" si="5"/>
        <v>62.52617216571571</v>
      </c>
      <c r="J202"/>
      <c r="L202">
        <f>SUM(L200-K200)</f>
        <v>-5.820766091346741E-11</v>
      </c>
    </row>
    <row r="203" spans="1:10" ht="15.75" customHeight="1">
      <c r="A203" s="223" t="s">
        <v>796</v>
      </c>
      <c r="B203" s="21"/>
      <c r="C203" s="22" t="s">
        <v>1037</v>
      </c>
      <c r="D203" s="22" t="s">
        <v>1039</v>
      </c>
      <c r="E203" s="35" t="s">
        <v>795</v>
      </c>
      <c r="F203" s="23" t="s">
        <v>797</v>
      </c>
      <c r="G203" s="24">
        <v>37443.4</v>
      </c>
      <c r="H203" s="24">
        <v>24333.9</v>
      </c>
      <c r="I203" s="24">
        <f t="shared" si="5"/>
        <v>64.98848929317317</v>
      </c>
      <c r="J203" s="160">
        <f>SUM('[1]ведомствен.2012'!G49+'[1]ведомствен.2012'!G717)</f>
        <v>37443.4</v>
      </c>
    </row>
    <row r="204" spans="1:10" ht="11.25" customHeight="1" hidden="1">
      <c r="A204" s="223" t="s">
        <v>567</v>
      </c>
      <c r="B204" s="21"/>
      <c r="C204" s="22" t="s">
        <v>1037</v>
      </c>
      <c r="D204" s="22" t="s">
        <v>1039</v>
      </c>
      <c r="E204" s="35" t="s">
        <v>569</v>
      </c>
      <c r="F204" s="26"/>
      <c r="G204" s="24">
        <f>SUM(G205)</f>
        <v>0</v>
      </c>
      <c r="H204" s="24">
        <f>SUM(H205)</f>
        <v>0</v>
      </c>
      <c r="I204" s="24" t="e">
        <f t="shared" si="5"/>
        <v>#DIV/0!</v>
      </c>
      <c r="J204"/>
    </row>
    <row r="205" spans="1:10" ht="22.5" customHeight="1" hidden="1">
      <c r="A205" s="223" t="s">
        <v>798</v>
      </c>
      <c r="B205" s="21"/>
      <c r="C205" s="22" t="s">
        <v>1037</v>
      </c>
      <c r="D205" s="22" t="s">
        <v>1039</v>
      </c>
      <c r="E205" s="35" t="s">
        <v>569</v>
      </c>
      <c r="F205" s="26" t="s">
        <v>799</v>
      </c>
      <c r="G205" s="24"/>
      <c r="H205" s="24"/>
      <c r="I205" s="24" t="e">
        <f t="shared" si="5"/>
        <v>#DIV/0!</v>
      </c>
      <c r="J205"/>
    </row>
    <row r="206" spans="1:10" ht="21.75" customHeight="1" hidden="1">
      <c r="A206" s="223" t="s">
        <v>1010</v>
      </c>
      <c r="B206" s="21"/>
      <c r="C206" s="22" t="s">
        <v>1037</v>
      </c>
      <c r="D206" s="22" t="s">
        <v>1039</v>
      </c>
      <c r="E206" s="35" t="s">
        <v>795</v>
      </c>
      <c r="F206" s="26" t="s">
        <v>1011</v>
      </c>
      <c r="G206" s="24"/>
      <c r="H206" s="24"/>
      <c r="I206" s="24" t="e">
        <f t="shared" si="5"/>
        <v>#DIV/0!</v>
      </c>
      <c r="J206"/>
    </row>
    <row r="207" spans="1:10" ht="82.5" customHeight="1">
      <c r="A207" s="275" t="s">
        <v>608</v>
      </c>
      <c r="B207" s="21"/>
      <c r="C207" s="22" t="s">
        <v>1037</v>
      </c>
      <c r="D207" s="22" t="s">
        <v>1039</v>
      </c>
      <c r="E207" s="35" t="s">
        <v>609</v>
      </c>
      <c r="F207" s="26"/>
      <c r="G207" s="24">
        <f>SUM(G208)</f>
        <v>2866.6</v>
      </c>
      <c r="H207" s="24">
        <f>SUM(H208)</f>
        <v>870.4</v>
      </c>
      <c r="I207" s="24">
        <f t="shared" si="5"/>
        <v>30.363496825507568</v>
      </c>
      <c r="J207"/>
    </row>
    <row r="208" spans="1:10" ht="17.25" customHeight="1">
      <c r="A208" s="223" t="s">
        <v>796</v>
      </c>
      <c r="B208" s="21"/>
      <c r="C208" s="22" t="s">
        <v>1037</v>
      </c>
      <c r="D208" s="22" t="s">
        <v>1039</v>
      </c>
      <c r="E208" s="35" t="s">
        <v>609</v>
      </c>
      <c r="F208" s="26" t="s">
        <v>797</v>
      </c>
      <c r="G208" s="24">
        <v>2866.6</v>
      </c>
      <c r="H208" s="24">
        <v>870.4</v>
      </c>
      <c r="I208" s="24">
        <f t="shared" si="5"/>
        <v>30.363496825507568</v>
      </c>
      <c r="J208">
        <f>SUM('[1]ведомствен.2012'!G719)</f>
        <v>2866.6</v>
      </c>
    </row>
    <row r="209" spans="1:10" ht="16.5" customHeight="1">
      <c r="A209" s="223" t="s">
        <v>1040</v>
      </c>
      <c r="B209" s="21"/>
      <c r="C209" s="22" t="s">
        <v>1037</v>
      </c>
      <c r="D209" s="22" t="s">
        <v>1039</v>
      </c>
      <c r="E209" s="22" t="s">
        <v>581</v>
      </c>
      <c r="F209" s="23"/>
      <c r="G209" s="24">
        <f>SUM(G212)+G210</f>
        <v>58663.2</v>
      </c>
      <c r="H209" s="24">
        <f>SUM(H212)</f>
        <v>30706.4</v>
      </c>
      <c r="I209" s="24">
        <f t="shared" si="5"/>
        <v>52.3435475732657</v>
      </c>
      <c r="J209"/>
    </row>
    <row r="210" spans="1:10" ht="16.5" customHeight="1" hidden="1">
      <c r="A210" s="220" t="s">
        <v>680</v>
      </c>
      <c r="B210" s="30"/>
      <c r="C210" s="72" t="s">
        <v>1037</v>
      </c>
      <c r="D210" s="72" t="s">
        <v>1039</v>
      </c>
      <c r="E210" s="72" t="s">
        <v>681</v>
      </c>
      <c r="F210" s="44"/>
      <c r="G210" s="49">
        <f>SUM(G211)</f>
        <v>0</v>
      </c>
      <c r="H210" s="24"/>
      <c r="I210" s="24"/>
      <c r="J210"/>
    </row>
    <row r="211" spans="1:10" ht="16.5" customHeight="1" hidden="1">
      <c r="A211" s="220" t="s">
        <v>1010</v>
      </c>
      <c r="B211" s="30"/>
      <c r="C211" s="72" t="s">
        <v>1037</v>
      </c>
      <c r="D211" s="72" t="s">
        <v>1039</v>
      </c>
      <c r="E211" s="72" t="s">
        <v>681</v>
      </c>
      <c r="F211" s="44" t="s">
        <v>1011</v>
      </c>
      <c r="G211" s="49"/>
      <c r="H211" s="24"/>
      <c r="I211" s="24"/>
      <c r="J211">
        <f>SUM('[1]ведомствен.2012'!G973)</f>
        <v>0</v>
      </c>
    </row>
    <row r="212" spans="1:10" ht="27" customHeight="1">
      <c r="A212" s="223" t="s">
        <v>811</v>
      </c>
      <c r="B212" s="21"/>
      <c r="C212" s="22" t="s">
        <v>1037</v>
      </c>
      <c r="D212" s="22" t="s">
        <v>1039</v>
      </c>
      <c r="E212" s="22" t="s">
        <v>963</v>
      </c>
      <c r="F212" s="23"/>
      <c r="G212" s="24">
        <f>SUM(G213)+G214+G216</f>
        <v>58663.2</v>
      </c>
      <c r="H212" s="24">
        <f>SUM(H213)+H214</f>
        <v>30706.4</v>
      </c>
      <c r="I212" s="24">
        <f t="shared" si="5"/>
        <v>52.3435475732657</v>
      </c>
      <c r="J212"/>
    </row>
    <row r="213" spans="1:10" ht="29.25" customHeight="1">
      <c r="A213" s="223" t="s">
        <v>1232</v>
      </c>
      <c r="B213" s="21"/>
      <c r="C213" s="22" t="s">
        <v>1037</v>
      </c>
      <c r="D213" s="22" t="s">
        <v>1039</v>
      </c>
      <c r="E213" s="22" t="s">
        <v>964</v>
      </c>
      <c r="F213" s="23"/>
      <c r="G213" s="24">
        <v>58663.2</v>
      </c>
      <c r="H213" s="24">
        <v>30706.4</v>
      </c>
      <c r="I213" s="24">
        <f t="shared" si="5"/>
        <v>52.3435475732657</v>
      </c>
      <c r="J213" s="160">
        <f>SUM('[1]ведомствен.2012'!G54)</f>
        <v>58663.2</v>
      </c>
    </row>
    <row r="214" spans="1:10" ht="57" customHeight="1" hidden="1">
      <c r="A214" s="223" t="s">
        <v>611</v>
      </c>
      <c r="B214" s="21"/>
      <c r="C214" s="22" t="s">
        <v>1037</v>
      </c>
      <c r="D214" s="22" t="s">
        <v>1039</v>
      </c>
      <c r="E214" s="22" t="s">
        <v>612</v>
      </c>
      <c r="F214" s="23"/>
      <c r="G214" s="24"/>
      <c r="H214" s="24">
        <f>SUM(H215)</f>
        <v>0</v>
      </c>
      <c r="I214" s="24" t="e">
        <f t="shared" si="5"/>
        <v>#DIV/0!</v>
      </c>
      <c r="J214"/>
    </row>
    <row r="215" spans="1:10" ht="15" hidden="1">
      <c r="A215" s="223" t="s">
        <v>796</v>
      </c>
      <c r="B215" s="21"/>
      <c r="C215" s="22" t="s">
        <v>1037</v>
      </c>
      <c r="D215" s="22" t="s">
        <v>1039</v>
      </c>
      <c r="E215" s="22" t="s">
        <v>612</v>
      </c>
      <c r="F215" s="23" t="s">
        <v>797</v>
      </c>
      <c r="G215" s="24"/>
      <c r="H215" s="24"/>
      <c r="I215" s="24" t="e">
        <f t="shared" si="5"/>
        <v>#DIV/0!</v>
      </c>
      <c r="J215"/>
    </row>
    <row r="216" spans="1:10" ht="15" customHeight="1" hidden="1">
      <c r="A216" s="223" t="s">
        <v>1010</v>
      </c>
      <c r="B216" s="21"/>
      <c r="C216" s="22" t="s">
        <v>1037</v>
      </c>
      <c r="D216" s="22" t="s">
        <v>1039</v>
      </c>
      <c r="E216" s="22" t="s">
        <v>610</v>
      </c>
      <c r="F216" s="23" t="s">
        <v>1011</v>
      </c>
      <c r="G216" s="24"/>
      <c r="H216" s="24"/>
      <c r="I216" s="24"/>
      <c r="J216"/>
    </row>
    <row r="217" spans="1:9" s="255" customFormat="1" ht="28.5" customHeight="1" hidden="1">
      <c r="A217" s="286" t="s">
        <v>775</v>
      </c>
      <c r="B217" s="30"/>
      <c r="C217" s="72" t="s">
        <v>1037</v>
      </c>
      <c r="D217" s="72" t="s">
        <v>1039</v>
      </c>
      <c r="E217" s="72" t="s">
        <v>360</v>
      </c>
      <c r="F217" s="44"/>
      <c r="G217" s="49">
        <f>SUM(G218)</f>
        <v>0</v>
      </c>
      <c r="H217" s="49"/>
      <c r="I217" s="49"/>
    </row>
    <row r="218" spans="1:9" s="255" customFormat="1" ht="28.5" customHeight="1" hidden="1">
      <c r="A218" s="286" t="s">
        <v>776</v>
      </c>
      <c r="B218" s="30"/>
      <c r="C218" s="72" t="s">
        <v>340</v>
      </c>
      <c r="D218" s="72" t="s">
        <v>1039</v>
      </c>
      <c r="E218" s="72" t="s">
        <v>362</v>
      </c>
      <c r="F218" s="44"/>
      <c r="G218" s="49">
        <f>SUM(G244)</f>
        <v>0</v>
      </c>
      <c r="H218" s="49"/>
      <c r="I218" s="49"/>
    </row>
    <row r="219" spans="1:9" s="377" customFormat="1" ht="43.5" customHeight="1">
      <c r="A219" s="241" t="s">
        <v>812</v>
      </c>
      <c r="B219" s="92"/>
      <c r="C219" s="31" t="s">
        <v>1037</v>
      </c>
      <c r="D219" s="31" t="s">
        <v>1039</v>
      </c>
      <c r="E219" s="31" t="s">
        <v>964</v>
      </c>
      <c r="F219" s="88" t="s">
        <v>897</v>
      </c>
      <c r="G219" s="49">
        <v>51090.9</v>
      </c>
      <c r="H219" s="49"/>
      <c r="I219" s="49"/>
    </row>
    <row r="220" spans="1:9" s="378" customFormat="1" ht="25.5" customHeight="1">
      <c r="A220" s="220" t="s">
        <v>1084</v>
      </c>
      <c r="B220" s="204"/>
      <c r="C220" s="202" t="s">
        <v>1037</v>
      </c>
      <c r="D220" s="202" t="s">
        <v>389</v>
      </c>
      <c r="E220" s="202"/>
      <c r="F220" s="203"/>
      <c r="G220" s="201">
        <f>SUM(G231+G233+G238+G228+G221+G223)+G225</f>
        <v>267657.8</v>
      </c>
      <c r="H220" s="267"/>
      <c r="I220" s="267"/>
    </row>
    <row r="221" spans="1:10" s="29" customFormat="1" ht="28.5">
      <c r="A221" s="258" t="s">
        <v>1109</v>
      </c>
      <c r="B221" s="66"/>
      <c r="C221" s="202" t="s">
        <v>1037</v>
      </c>
      <c r="D221" s="202" t="s">
        <v>389</v>
      </c>
      <c r="E221" s="46" t="s">
        <v>1108</v>
      </c>
      <c r="F221" s="47"/>
      <c r="G221" s="24">
        <f>SUM(G222)</f>
        <v>77080.7</v>
      </c>
      <c r="H221" s="24"/>
      <c r="I221" s="24"/>
      <c r="J221" s="29">
        <f>SUM('[1]ведомствен.2012'!G58)</f>
        <v>77080.7</v>
      </c>
    </row>
    <row r="222" spans="1:9" s="29" customFormat="1" ht="15">
      <c r="A222" s="228" t="s">
        <v>1010</v>
      </c>
      <c r="B222" s="66"/>
      <c r="C222" s="202" t="s">
        <v>1037</v>
      </c>
      <c r="D222" s="202" t="s">
        <v>389</v>
      </c>
      <c r="E222" s="46" t="s">
        <v>1108</v>
      </c>
      <c r="F222" s="47" t="s">
        <v>1011</v>
      </c>
      <c r="G222" s="24">
        <v>77080.7</v>
      </c>
      <c r="H222" s="24"/>
      <c r="I222" s="24"/>
    </row>
    <row r="223" spans="1:10" s="29" customFormat="1" ht="42.75">
      <c r="A223" s="258" t="s">
        <v>1110</v>
      </c>
      <c r="B223" s="66"/>
      <c r="C223" s="202" t="s">
        <v>1037</v>
      </c>
      <c r="D223" s="202" t="s">
        <v>389</v>
      </c>
      <c r="E223" s="46" t="s">
        <v>1111</v>
      </c>
      <c r="F223" s="47"/>
      <c r="G223" s="24">
        <f>SUM(G224)</f>
        <v>40000</v>
      </c>
      <c r="H223" s="24"/>
      <c r="I223" s="24"/>
      <c r="J223" s="29">
        <f>SUM('[1]ведомствен.2012'!G60)</f>
        <v>40000</v>
      </c>
    </row>
    <row r="224" spans="1:9" s="29" customFormat="1" ht="15">
      <c r="A224" s="222" t="s">
        <v>1010</v>
      </c>
      <c r="B224" s="66"/>
      <c r="C224" s="202" t="s">
        <v>1037</v>
      </c>
      <c r="D224" s="202" t="s">
        <v>389</v>
      </c>
      <c r="E224" s="46" t="s">
        <v>1111</v>
      </c>
      <c r="F224" s="47" t="s">
        <v>1011</v>
      </c>
      <c r="G224" s="24">
        <v>40000</v>
      </c>
      <c r="H224" s="24"/>
      <c r="I224" s="24"/>
    </row>
    <row r="225" spans="1:9" s="29" customFormat="1" ht="15">
      <c r="A225" s="239" t="s">
        <v>785</v>
      </c>
      <c r="B225" s="66"/>
      <c r="C225" s="202" t="s">
        <v>1037</v>
      </c>
      <c r="D225" s="202" t="s">
        <v>389</v>
      </c>
      <c r="E225" s="46" t="s">
        <v>786</v>
      </c>
      <c r="F225" s="47"/>
      <c r="G225" s="24">
        <f>SUM(G226)</f>
        <v>55800</v>
      </c>
      <c r="H225" s="24"/>
      <c r="I225" s="24"/>
    </row>
    <row r="226" spans="1:9" s="29" customFormat="1" ht="42.75">
      <c r="A226" s="222" t="s">
        <v>703</v>
      </c>
      <c r="B226" s="66"/>
      <c r="C226" s="202" t="s">
        <v>1037</v>
      </c>
      <c r="D226" s="202" t="s">
        <v>389</v>
      </c>
      <c r="E226" s="46" t="s">
        <v>704</v>
      </c>
      <c r="F226" s="47"/>
      <c r="G226" s="24">
        <f>SUM(G227)</f>
        <v>55800</v>
      </c>
      <c r="H226" s="24"/>
      <c r="I226" s="24"/>
    </row>
    <row r="227" spans="1:10" s="29" customFormat="1" ht="15">
      <c r="A227" s="222" t="s">
        <v>1053</v>
      </c>
      <c r="B227" s="66"/>
      <c r="C227" s="202" t="s">
        <v>1037</v>
      </c>
      <c r="D227" s="202" t="s">
        <v>389</v>
      </c>
      <c r="E227" s="46" t="s">
        <v>704</v>
      </c>
      <c r="F227" s="47" t="s">
        <v>1054</v>
      </c>
      <c r="G227" s="24">
        <v>55800</v>
      </c>
      <c r="H227" s="24"/>
      <c r="I227" s="24"/>
      <c r="J227" s="29">
        <f>SUM('[1]ведомствен.2012'!G64)</f>
        <v>55800</v>
      </c>
    </row>
    <row r="228" spans="1:9" s="378" customFormat="1" ht="43.5" customHeight="1">
      <c r="A228" s="231" t="s">
        <v>847</v>
      </c>
      <c r="B228" s="66"/>
      <c r="C228" s="202" t="s">
        <v>1037</v>
      </c>
      <c r="D228" s="202" t="s">
        <v>389</v>
      </c>
      <c r="E228" s="46" t="s">
        <v>848</v>
      </c>
      <c r="F228" s="47"/>
      <c r="G228" s="268">
        <f>SUM(G230+G229)</f>
        <v>94777.1</v>
      </c>
      <c r="H228" s="267"/>
      <c r="I228" s="267"/>
    </row>
    <row r="229" spans="1:10" s="378" customFormat="1" ht="25.5" customHeight="1">
      <c r="A229" s="223" t="s">
        <v>1053</v>
      </c>
      <c r="B229" s="66"/>
      <c r="C229" s="202" t="s">
        <v>1037</v>
      </c>
      <c r="D229" s="202" t="s">
        <v>389</v>
      </c>
      <c r="E229" s="46" t="s">
        <v>848</v>
      </c>
      <c r="F229" s="47" t="s">
        <v>1054</v>
      </c>
      <c r="G229" s="268">
        <v>6459.3</v>
      </c>
      <c r="H229" s="267"/>
      <c r="I229" s="267"/>
      <c r="J229" s="378">
        <f>SUM('[1]ведомствен.2012'!G66)</f>
        <v>6459.3</v>
      </c>
    </row>
    <row r="230" spans="1:10" s="378" customFormat="1" ht="25.5" customHeight="1">
      <c r="A230" s="223" t="s">
        <v>1010</v>
      </c>
      <c r="B230" s="66"/>
      <c r="C230" s="202" t="s">
        <v>1037</v>
      </c>
      <c r="D230" s="202" t="s">
        <v>389</v>
      </c>
      <c r="E230" s="46" t="s">
        <v>848</v>
      </c>
      <c r="F230" s="47" t="s">
        <v>1011</v>
      </c>
      <c r="G230" s="268">
        <v>88317.8</v>
      </c>
      <c r="H230" s="267"/>
      <c r="I230" s="267"/>
      <c r="J230" s="378">
        <f>SUM('[1]ведомствен.2012'!G67)</f>
        <v>88317.8</v>
      </c>
    </row>
    <row r="231" spans="1:9" s="378" customFormat="1" ht="43.5" customHeight="1" hidden="1">
      <c r="A231" s="277" t="s">
        <v>613</v>
      </c>
      <c r="B231" s="202"/>
      <c r="C231" s="202" t="s">
        <v>1037</v>
      </c>
      <c r="D231" s="202" t="s">
        <v>568</v>
      </c>
      <c r="E231" s="202" t="s">
        <v>614</v>
      </c>
      <c r="F231" s="203"/>
      <c r="G231" s="201">
        <f>SUM(G232)</f>
        <v>0</v>
      </c>
      <c r="H231" s="267"/>
      <c r="I231" s="267"/>
    </row>
    <row r="232" spans="1:9" s="378" customFormat="1" ht="43.5" customHeight="1" hidden="1">
      <c r="A232" s="223" t="s">
        <v>1010</v>
      </c>
      <c r="B232" s="202"/>
      <c r="C232" s="202" t="s">
        <v>1037</v>
      </c>
      <c r="D232" s="202" t="s">
        <v>568</v>
      </c>
      <c r="E232" s="202" t="s">
        <v>614</v>
      </c>
      <c r="F232" s="203" t="s">
        <v>1011</v>
      </c>
      <c r="G232" s="201">
        <f>5050-2000-3050</f>
        <v>0</v>
      </c>
      <c r="H232" s="267"/>
      <c r="I232" s="267"/>
    </row>
    <row r="233" spans="1:9" s="378" customFormat="1" ht="39.75" customHeight="1" hidden="1">
      <c r="A233" s="223" t="s">
        <v>586</v>
      </c>
      <c r="B233" s="198"/>
      <c r="C233" s="202" t="s">
        <v>1037</v>
      </c>
      <c r="D233" s="202" t="s">
        <v>568</v>
      </c>
      <c r="E233" s="199" t="s">
        <v>587</v>
      </c>
      <c r="F233" s="203"/>
      <c r="G233" s="201">
        <f>SUM(G234)</f>
        <v>0</v>
      </c>
      <c r="H233" s="267"/>
      <c r="I233" s="267"/>
    </row>
    <row r="234" spans="1:9" s="378" customFormat="1" ht="43.5" customHeight="1" hidden="1">
      <c r="A234" s="223" t="s">
        <v>615</v>
      </c>
      <c r="B234" s="198"/>
      <c r="C234" s="202" t="s">
        <v>1037</v>
      </c>
      <c r="D234" s="202" t="s">
        <v>568</v>
      </c>
      <c r="E234" s="199" t="s">
        <v>616</v>
      </c>
      <c r="F234" s="203"/>
      <c r="G234" s="201">
        <f>SUM(G235)</f>
        <v>0</v>
      </c>
      <c r="H234" s="267"/>
      <c r="I234" s="267"/>
    </row>
    <row r="235" spans="1:9" s="378" customFormat="1" ht="43.5" customHeight="1" hidden="1">
      <c r="A235" s="223" t="s">
        <v>1010</v>
      </c>
      <c r="B235" s="198"/>
      <c r="C235" s="202" t="s">
        <v>1037</v>
      </c>
      <c r="D235" s="202" t="s">
        <v>568</v>
      </c>
      <c r="E235" s="199" t="s">
        <v>616</v>
      </c>
      <c r="F235" s="203" t="s">
        <v>1011</v>
      </c>
      <c r="G235" s="201"/>
      <c r="H235" s="267"/>
      <c r="I235" s="267"/>
    </row>
    <row r="236" spans="1:9" s="378" customFormat="1" ht="43.5" customHeight="1" hidden="1">
      <c r="A236" s="223" t="s">
        <v>586</v>
      </c>
      <c r="B236" s="198"/>
      <c r="C236" s="202" t="s">
        <v>1037</v>
      </c>
      <c r="D236" s="202" t="s">
        <v>568</v>
      </c>
      <c r="E236" s="199" t="s">
        <v>587</v>
      </c>
      <c r="F236" s="203"/>
      <c r="G236" s="201">
        <f>SUM(G237)</f>
        <v>0</v>
      </c>
      <c r="H236" s="267"/>
      <c r="I236" s="267"/>
    </row>
    <row r="237" spans="1:9" s="378" customFormat="1" ht="43.5" customHeight="1" hidden="1">
      <c r="A237" s="223" t="s">
        <v>615</v>
      </c>
      <c r="B237" s="198"/>
      <c r="C237" s="202" t="s">
        <v>1037</v>
      </c>
      <c r="D237" s="202" t="s">
        <v>568</v>
      </c>
      <c r="E237" s="199" t="s">
        <v>587</v>
      </c>
      <c r="F237" s="203" t="s">
        <v>603</v>
      </c>
      <c r="G237" s="201"/>
      <c r="H237" s="267"/>
      <c r="I237" s="267"/>
    </row>
    <row r="238" spans="1:9" s="378" customFormat="1" ht="24.75" customHeight="1" hidden="1">
      <c r="A238" s="223" t="s">
        <v>1046</v>
      </c>
      <c r="B238" s="198"/>
      <c r="C238" s="202" t="s">
        <v>1037</v>
      </c>
      <c r="D238" s="202" t="s">
        <v>389</v>
      </c>
      <c r="E238" s="199" t="s">
        <v>1047</v>
      </c>
      <c r="F238" s="203"/>
      <c r="G238" s="201">
        <f>SUM(G239)</f>
        <v>0</v>
      </c>
      <c r="H238" s="267"/>
      <c r="I238" s="267"/>
    </row>
    <row r="239" spans="1:9" s="378" customFormat="1" ht="43.5" customHeight="1" hidden="1">
      <c r="A239" s="223" t="s">
        <v>270</v>
      </c>
      <c r="B239" s="198"/>
      <c r="C239" s="202" t="s">
        <v>1037</v>
      </c>
      <c r="D239" s="202" t="s">
        <v>389</v>
      </c>
      <c r="E239" s="199" t="s">
        <v>1085</v>
      </c>
      <c r="F239" s="203"/>
      <c r="G239" s="201">
        <f>SUM(G240)</f>
        <v>0</v>
      </c>
      <c r="H239" s="267"/>
      <c r="I239" s="267"/>
    </row>
    <row r="240" spans="1:10" s="378" customFormat="1" ht="27.75" customHeight="1" hidden="1">
      <c r="A240" s="223" t="s">
        <v>1010</v>
      </c>
      <c r="B240" s="204"/>
      <c r="C240" s="202" t="s">
        <v>1037</v>
      </c>
      <c r="D240" s="202" t="s">
        <v>389</v>
      </c>
      <c r="E240" s="199" t="s">
        <v>1085</v>
      </c>
      <c r="F240" s="203" t="s">
        <v>1011</v>
      </c>
      <c r="G240" s="205"/>
      <c r="H240" s="267"/>
      <c r="I240" s="267"/>
      <c r="J240" s="378">
        <f>SUM('[1]ведомствен.2012'!G77)</f>
        <v>0</v>
      </c>
    </row>
    <row r="241" spans="1:9" s="377" customFormat="1" ht="43.5" customHeight="1" hidden="1">
      <c r="A241" s="241"/>
      <c r="B241" s="92"/>
      <c r="C241" s="31"/>
      <c r="D241" s="31"/>
      <c r="E241" s="31"/>
      <c r="F241" s="88"/>
      <c r="G241" s="49"/>
      <c r="H241" s="49"/>
      <c r="I241" s="49"/>
    </row>
    <row r="242" spans="1:9" s="377" customFormat="1" ht="43.5" customHeight="1" hidden="1">
      <c r="A242" s="241"/>
      <c r="B242" s="92"/>
      <c r="C242" s="31"/>
      <c r="D242" s="31"/>
      <c r="E242" s="31"/>
      <c r="F242" s="88"/>
      <c r="G242" s="49"/>
      <c r="H242" s="49"/>
      <c r="I242" s="49"/>
    </row>
    <row r="243" spans="1:9" s="377" customFormat="1" ht="43.5" customHeight="1" hidden="1">
      <c r="A243" s="241"/>
      <c r="B243" s="92"/>
      <c r="C243" s="31"/>
      <c r="D243" s="31"/>
      <c r="E243" s="31"/>
      <c r="F243" s="88"/>
      <c r="G243" s="49"/>
      <c r="H243" s="49"/>
      <c r="I243" s="49"/>
    </row>
    <row r="244" spans="1:9" s="255" customFormat="1" ht="15" hidden="1">
      <c r="A244" s="223" t="s">
        <v>796</v>
      </c>
      <c r="B244" s="30"/>
      <c r="C244" s="72" t="s">
        <v>1037</v>
      </c>
      <c r="D244" s="72" t="s">
        <v>1039</v>
      </c>
      <c r="E244" s="72" t="s">
        <v>362</v>
      </c>
      <c r="F244" s="44" t="s">
        <v>797</v>
      </c>
      <c r="G244" s="49"/>
      <c r="H244" s="49"/>
      <c r="I244" s="49"/>
    </row>
    <row r="245" spans="1:10" ht="14.25" customHeight="1">
      <c r="A245" s="220" t="s">
        <v>584</v>
      </c>
      <c r="B245" s="34"/>
      <c r="C245" s="35" t="s">
        <v>1037</v>
      </c>
      <c r="D245" s="35" t="s">
        <v>568</v>
      </c>
      <c r="E245" s="35"/>
      <c r="F245" s="26"/>
      <c r="G245" s="24">
        <f>SUM(G249+G254+G264)+G260+G257+G246</f>
        <v>26771.3</v>
      </c>
      <c r="H245" s="24" t="e">
        <f>SUM(H249+H254+H264+#REF!)</f>
        <v>#REF!</v>
      </c>
      <c r="I245" s="24" t="e">
        <f t="shared" si="5"/>
        <v>#REF!</v>
      </c>
      <c r="J245"/>
    </row>
    <row r="246" spans="1:10" ht="14.25" customHeight="1">
      <c r="A246" s="222" t="s">
        <v>1021</v>
      </c>
      <c r="B246" s="34"/>
      <c r="C246" s="35" t="s">
        <v>1037</v>
      </c>
      <c r="D246" s="35" t="s">
        <v>568</v>
      </c>
      <c r="E246" s="22" t="s">
        <v>1022</v>
      </c>
      <c r="F246" s="26"/>
      <c r="G246" s="24">
        <f>SUM(G247)</f>
        <v>2969.3</v>
      </c>
      <c r="H246" s="24"/>
      <c r="I246" s="24"/>
      <c r="J246"/>
    </row>
    <row r="247" spans="1:10" ht="14.25" customHeight="1">
      <c r="A247" s="224" t="s">
        <v>719</v>
      </c>
      <c r="B247" s="34"/>
      <c r="C247" s="35" t="s">
        <v>1037</v>
      </c>
      <c r="D247" s="35" t="s">
        <v>568</v>
      </c>
      <c r="E247" s="22" t="s">
        <v>740</v>
      </c>
      <c r="F247" s="26"/>
      <c r="G247" s="24">
        <f>SUM(G248)</f>
        <v>2969.3</v>
      </c>
      <c r="H247" s="24"/>
      <c r="I247" s="24"/>
      <c r="J247"/>
    </row>
    <row r="248" spans="1:10" ht="14.25" customHeight="1">
      <c r="A248" s="220" t="s">
        <v>1010</v>
      </c>
      <c r="B248" s="34"/>
      <c r="C248" s="35" t="s">
        <v>1037</v>
      </c>
      <c r="D248" s="35" t="s">
        <v>568</v>
      </c>
      <c r="E248" s="22" t="s">
        <v>740</v>
      </c>
      <c r="F248" s="26" t="s">
        <v>1011</v>
      </c>
      <c r="G248" s="24">
        <v>2969.3</v>
      </c>
      <c r="H248" s="24"/>
      <c r="I248" s="24"/>
      <c r="J248">
        <f>SUM('[1]ведомствен.2012'!G980)</f>
        <v>2969.3</v>
      </c>
    </row>
    <row r="249" spans="1:10" ht="27" customHeight="1">
      <c r="A249" s="277" t="s">
        <v>613</v>
      </c>
      <c r="B249" s="35"/>
      <c r="C249" s="35" t="s">
        <v>1037</v>
      </c>
      <c r="D249" s="35" t="s">
        <v>568</v>
      </c>
      <c r="E249" s="35" t="s">
        <v>614</v>
      </c>
      <c r="F249" s="26"/>
      <c r="G249" s="24">
        <f>SUM(G250+G253)</f>
        <v>4235.9</v>
      </c>
      <c r="H249" s="24">
        <f>SUM(H250)</f>
        <v>0</v>
      </c>
      <c r="I249" s="24">
        <f t="shared" si="5"/>
        <v>0</v>
      </c>
      <c r="J249"/>
    </row>
    <row r="250" spans="1:10" ht="18.75" customHeight="1" hidden="1">
      <c r="A250" s="223" t="s">
        <v>1010</v>
      </c>
      <c r="B250" s="35"/>
      <c r="C250" s="35" t="s">
        <v>1037</v>
      </c>
      <c r="D250" s="35" t="s">
        <v>568</v>
      </c>
      <c r="E250" s="35" t="s">
        <v>614</v>
      </c>
      <c r="F250" s="26" t="s">
        <v>1011</v>
      </c>
      <c r="G250" s="24"/>
      <c r="H250" s="24"/>
      <c r="I250" s="24" t="e">
        <f t="shared" si="5"/>
        <v>#DIV/0!</v>
      </c>
      <c r="J250" s="160">
        <f>SUM('[1]ведомствен.2012'!G355)</f>
        <v>0</v>
      </c>
    </row>
    <row r="251" spans="1:9" s="53" customFormat="1" ht="20.25" customHeight="1">
      <c r="A251" s="223" t="s">
        <v>893</v>
      </c>
      <c r="B251" s="21"/>
      <c r="C251" s="35" t="s">
        <v>1037</v>
      </c>
      <c r="D251" s="35" t="s">
        <v>568</v>
      </c>
      <c r="E251" s="22" t="s">
        <v>809</v>
      </c>
      <c r="F251" s="26"/>
      <c r="G251" s="24">
        <f>SUM(G252)</f>
        <v>4235.9</v>
      </c>
      <c r="H251" s="24">
        <f>SUM(H252)</f>
        <v>200</v>
      </c>
      <c r="I251" s="24">
        <f>SUM(H251/G251*100)</f>
        <v>4.7215467787247105</v>
      </c>
    </row>
    <row r="252" spans="1:9" s="53" customFormat="1" ht="38.25" customHeight="1">
      <c r="A252" s="223" t="s">
        <v>1232</v>
      </c>
      <c r="B252" s="21"/>
      <c r="C252" s="35" t="s">
        <v>1037</v>
      </c>
      <c r="D252" s="35" t="s">
        <v>568</v>
      </c>
      <c r="E252" s="22" t="s">
        <v>810</v>
      </c>
      <c r="F252" s="26"/>
      <c r="G252" s="24">
        <f>SUM(G253)</f>
        <v>4235.9</v>
      </c>
      <c r="H252" s="24">
        <f>SUM(H253)</f>
        <v>200</v>
      </c>
      <c r="I252" s="24">
        <f>SUM(H252/G252*100)</f>
        <v>4.7215467787247105</v>
      </c>
    </row>
    <row r="253" spans="1:10" s="53" customFormat="1" ht="51.75" customHeight="1">
      <c r="A253" s="223" t="s">
        <v>812</v>
      </c>
      <c r="B253" s="21"/>
      <c r="C253" s="35" t="s">
        <v>1037</v>
      </c>
      <c r="D253" s="35" t="s">
        <v>568</v>
      </c>
      <c r="E253" s="22" t="s">
        <v>810</v>
      </c>
      <c r="F253" s="26" t="s">
        <v>897</v>
      </c>
      <c r="G253" s="24">
        <v>4235.9</v>
      </c>
      <c r="H253" s="24">
        <v>200</v>
      </c>
      <c r="I253" s="24">
        <f>SUM(H253/G253*100)</f>
        <v>4.7215467787247105</v>
      </c>
      <c r="J253" s="160">
        <f>SUM('[1]ведомствен.2012'!G358)</f>
        <v>4235.9</v>
      </c>
    </row>
    <row r="254" spans="1:10" ht="28.5">
      <c r="A254" s="223" t="s">
        <v>586</v>
      </c>
      <c r="B254" s="21"/>
      <c r="C254" s="35" t="s">
        <v>1037</v>
      </c>
      <c r="D254" s="35" t="s">
        <v>568</v>
      </c>
      <c r="E254" s="22" t="s">
        <v>587</v>
      </c>
      <c r="F254" s="26"/>
      <c r="G254" s="24">
        <f>SUM(G255)</f>
        <v>3830.4</v>
      </c>
      <c r="H254" s="24">
        <f>SUM(H255)</f>
        <v>200</v>
      </c>
      <c r="I254" s="24">
        <f aca="true" t="shared" si="6" ref="I254:I327">SUM(H254/G254*100)</f>
        <v>5.221386800334169</v>
      </c>
      <c r="J254"/>
    </row>
    <row r="255" spans="1:10" ht="18" customHeight="1">
      <c r="A255" s="223" t="s">
        <v>615</v>
      </c>
      <c r="B255" s="21"/>
      <c r="C255" s="35" t="s">
        <v>1037</v>
      </c>
      <c r="D255" s="35" t="s">
        <v>568</v>
      </c>
      <c r="E255" s="22" t="s">
        <v>616</v>
      </c>
      <c r="F255" s="26"/>
      <c r="G255" s="24">
        <f>SUM(G256)</f>
        <v>3830.4</v>
      </c>
      <c r="H255" s="24">
        <f>SUM(H256)</f>
        <v>200</v>
      </c>
      <c r="I255" s="24">
        <f t="shared" si="6"/>
        <v>5.221386800334169</v>
      </c>
      <c r="J255"/>
    </row>
    <row r="256" spans="1:11" ht="15.75" customHeight="1">
      <c r="A256" s="223" t="s">
        <v>1010</v>
      </c>
      <c r="B256" s="21"/>
      <c r="C256" s="35" t="s">
        <v>1037</v>
      </c>
      <c r="D256" s="35" t="s">
        <v>568</v>
      </c>
      <c r="E256" s="22" t="s">
        <v>616</v>
      </c>
      <c r="F256" s="26" t="s">
        <v>1011</v>
      </c>
      <c r="G256" s="24">
        <v>3830.4</v>
      </c>
      <c r="H256" s="24">
        <v>200</v>
      </c>
      <c r="I256" s="24">
        <f t="shared" si="6"/>
        <v>5.221386800334169</v>
      </c>
      <c r="J256" s="160">
        <f>SUM('[1]ведомствен.2012'!G988)</f>
        <v>3830.4</v>
      </c>
      <c r="K256" s="160"/>
    </row>
    <row r="257" spans="1:11" ht="15.75" customHeight="1">
      <c r="A257" s="222" t="s">
        <v>706</v>
      </c>
      <c r="B257" s="21"/>
      <c r="C257" s="35" t="s">
        <v>1037</v>
      </c>
      <c r="D257" s="35" t="s">
        <v>568</v>
      </c>
      <c r="E257" s="22" t="s">
        <v>707</v>
      </c>
      <c r="F257" s="26"/>
      <c r="G257" s="24">
        <f>SUM(G258)</f>
        <v>4011</v>
      </c>
      <c r="H257" s="24"/>
      <c r="I257" s="24"/>
      <c r="K257" s="160"/>
    </row>
    <row r="258" spans="1:11" ht="15.75" customHeight="1">
      <c r="A258" s="222" t="s">
        <v>705</v>
      </c>
      <c r="B258" s="21"/>
      <c r="C258" s="35" t="s">
        <v>1037</v>
      </c>
      <c r="D258" s="35" t="s">
        <v>568</v>
      </c>
      <c r="E258" s="22" t="s">
        <v>708</v>
      </c>
      <c r="F258" s="26"/>
      <c r="G258" s="24">
        <f>SUM(G259)</f>
        <v>4011</v>
      </c>
      <c r="H258" s="24"/>
      <c r="I258" s="24"/>
      <c r="K258" s="160"/>
    </row>
    <row r="259" spans="1:11" ht="15.75" customHeight="1">
      <c r="A259" s="222" t="s">
        <v>1010</v>
      </c>
      <c r="B259" s="21"/>
      <c r="C259" s="35" t="s">
        <v>1037</v>
      </c>
      <c r="D259" s="35" t="s">
        <v>568</v>
      </c>
      <c r="E259" s="22" t="s">
        <v>708</v>
      </c>
      <c r="F259" s="26" t="s">
        <v>1011</v>
      </c>
      <c r="G259" s="24">
        <v>4011</v>
      </c>
      <c r="H259" s="24"/>
      <c r="I259" s="24"/>
      <c r="J259" s="160">
        <f>SUM('[1]ведомствен.2012'!G361)</f>
        <v>4011</v>
      </c>
      <c r="K259" s="160"/>
    </row>
    <row r="260" spans="1:11" ht="15.75" customHeight="1">
      <c r="A260" s="241" t="s">
        <v>785</v>
      </c>
      <c r="B260" s="248"/>
      <c r="C260" s="35" t="s">
        <v>1037</v>
      </c>
      <c r="D260" s="35" t="s">
        <v>568</v>
      </c>
      <c r="E260" s="249" t="s">
        <v>786</v>
      </c>
      <c r="F260" s="26"/>
      <c r="G260" s="24">
        <f>SUM(G261)</f>
        <v>800</v>
      </c>
      <c r="H260" s="24"/>
      <c r="I260" s="24"/>
      <c r="K260" s="160"/>
    </row>
    <row r="261" spans="1:11" ht="15.75" customHeight="1">
      <c r="A261" s="220" t="s">
        <v>651</v>
      </c>
      <c r="B261" s="248"/>
      <c r="C261" s="35" t="s">
        <v>1037</v>
      </c>
      <c r="D261" s="35" t="s">
        <v>568</v>
      </c>
      <c r="E261" s="249" t="s">
        <v>652</v>
      </c>
      <c r="F261" s="26"/>
      <c r="G261" s="24">
        <f>SUM(G262)</f>
        <v>800</v>
      </c>
      <c r="H261" s="24"/>
      <c r="I261" s="24"/>
      <c r="K261" s="160"/>
    </row>
    <row r="262" spans="1:10" ht="28.5" customHeight="1">
      <c r="A262" s="241" t="s">
        <v>1263</v>
      </c>
      <c r="B262" s="34"/>
      <c r="C262" s="35" t="s">
        <v>1037</v>
      </c>
      <c r="D262" s="35" t="s">
        <v>568</v>
      </c>
      <c r="E262" s="249" t="s">
        <v>922</v>
      </c>
      <c r="F262" s="26"/>
      <c r="G262" s="24">
        <f>SUM(G263)</f>
        <v>800</v>
      </c>
      <c r="H262" s="24">
        <f>SUM(H263)</f>
        <v>0</v>
      </c>
      <c r="I262" s="24">
        <f t="shared" si="6"/>
        <v>0</v>
      </c>
      <c r="J262"/>
    </row>
    <row r="263" spans="1:10" ht="15" customHeight="1">
      <c r="A263" s="223" t="s">
        <v>1010</v>
      </c>
      <c r="B263" s="34"/>
      <c r="C263" s="35" t="s">
        <v>1037</v>
      </c>
      <c r="D263" s="35" t="s">
        <v>568</v>
      </c>
      <c r="E263" s="249" t="s">
        <v>922</v>
      </c>
      <c r="F263" s="26" t="s">
        <v>1011</v>
      </c>
      <c r="G263" s="24">
        <v>800</v>
      </c>
      <c r="H263" s="24"/>
      <c r="I263" s="24">
        <f t="shared" si="6"/>
        <v>0</v>
      </c>
      <c r="J263">
        <f>SUM('[1]ведомствен.2012'!G365)</f>
        <v>800</v>
      </c>
    </row>
    <row r="264" spans="1:10" ht="22.5" customHeight="1">
      <c r="A264" s="223" t="s">
        <v>1046</v>
      </c>
      <c r="B264" s="21"/>
      <c r="C264" s="35" t="s">
        <v>1037</v>
      </c>
      <c r="D264" s="35" t="s">
        <v>568</v>
      </c>
      <c r="E264" s="22" t="s">
        <v>1047</v>
      </c>
      <c r="F264" s="26"/>
      <c r="G264" s="24">
        <f>SUM(G265,G272)+G267+G269</f>
        <v>10924.7</v>
      </c>
      <c r="H264" s="24">
        <f>SUM(H265)</f>
        <v>0</v>
      </c>
      <c r="I264" s="24">
        <f t="shared" si="6"/>
        <v>0</v>
      </c>
      <c r="J264"/>
    </row>
    <row r="265" spans="1:10" ht="42" customHeight="1">
      <c r="A265" s="272" t="s">
        <v>1064</v>
      </c>
      <c r="B265" s="21"/>
      <c r="C265" s="35" t="s">
        <v>1037</v>
      </c>
      <c r="D265" s="35" t="s">
        <v>568</v>
      </c>
      <c r="E265" s="22" t="s">
        <v>617</v>
      </c>
      <c r="F265" s="26"/>
      <c r="G265" s="24">
        <f>SUM(G266)</f>
        <v>1762.7</v>
      </c>
      <c r="H265" s="24">
        <f>SUM(H266)</f>
        <v>0</v>
      </c>
      <c r="I265" s="24">
        <f t="shared" si="6"/>
        <v>0</v>
      </c>
      <c r="J265"/>
    </row>
    <row r="266" spans="1:10" ht="23.25" customHeight="1">
      <c r="A266" s="223" t="s">
        <v>1010</v>
      </c>
      <c r="B266" s="34"/>
      <c r="C266" s="35" t="s">
        <v>1037</v>
      </c>
      <c r="D266" s="35" t="s">
        <v>568</v>
      </c>
      <c r="E266" s="22" t="s">
        <v>617</v>
      </c>
      <c r="F266" s="26" t="s">
        <v>1011</v>
      </c>
      <c r="G266" s="49">
        <v>1762.7</v>
      </c>
      <c r="H266" s="49"/>
      <c r="I266" s="24">
        <f t="shared" si="6"/>
        <v>0</v>
      </c>
      <c r="J266" s="160">
        <f>SUM('[1]ведомствен.2012'!G368)</f>
        <v>1762.7</v>
      </c>
    </row>
    <row r="267" spans="1:9" s="53" customFormat="1" ht="30.75" customHeight="1">
      <c r="A267" s="223" t="s">
        <v>1074</v>
      </c>
      <c r="B267" s="34"/>
      <c r="C267" s="35" t="s">
        <v>1037</v>
      </c>
      <c r="D267" s="35" t="s">
        <v>568</v>
      </c>
      <c r="E267" s="22" t="s">
        <v>1075</v>
      </c>
      <c r="F267" s="26"/>
      <c r="G267" s="49">
        <f>SUM(G268)</f>
        <v>2185</v>
      </c>
      <c r="H267" s="49"/>
      <c r="I267" s="24"/>
    </row>
    <row r="268" spans="1:10" s="53" customFormat="1" ht="18" customHeight="1">
      <c r="A268" s="223" t="s">
        <v>1053</v>
      </c>
      <c r="B268" s="34"/>
      <c r="C268" s="35" t="s">
        <v>1037</v>
      </c>
      <c r="D268" s="35" t="s">
        <v>568</v>
      </c>
      <c r="E268" s="22" t="s">
        <v>1075</v>
      </c>
      <c r="F268" s="26" t="s">
        <v>1054</v>
      </c>
      <c r="G268" s="49">
        <v>2185</v>
      </c>
      <c r="H268" s="49"/>
      <c r="I268" s="24"/>
      <c r="J268" s="53">
        <f>SUM('[1]ведомствен.2012'!G370)</f>
        <v>2185</v>
      </c>
    </row>
    <row r="269" spans="1:9" s="53" customFormat="1" ht="37.5" customHeight="1">
      <c r="A269" s="220" t="s">
        <v>638</v>
      </c>
      <c r="B269" s="34"/>
      <c r="C269" s="35" t="s">
        <v>1037</v>
      </c>
      <c r="D269" s="35" t="s">
        <v>568</v>
      </c>
      <c r="E269" s="22" t="s">
        <v>871</v>
      </c>
      <c r="F269" s="26"/>
      <c r="G269" s="49">
        <f>SUM(G270)</f>
        <v>699</v>
      </c>
      <c r="H269" s="49"/>
      <c r="I269" s="24">
        <f>SUM(H269/G269*100)</f>
        <v>0</v>
      </c>
    </row>
    <row r="270" spans="1:9" s="53" customFormat="1" ht="38.25" customHeight="1">
      <c r="A270" s="272" t="s">
        <v>921</v>
      </c>
      <c r="B270" s="34"/>
      <c r="C270" s="35" t="s">
        <v>1037</v>
      </c>
      <c r="D270" s="35" t="s">
        <v>568</v>
      </c>
      <c r="E270" s="22" t="s">
        <v>618</v>
      </c>
      <c r="F270" s="26"/>
      <c r="G270" s="49">
        <f>SUM(G271)</f>
        <v>699</v>
      </c>
      <c r="H270" s="49"/>
      <c r="I270" s="24">
        <f>SUM(H270/G270*100)</f>
        <v>0</v>
      </c>
    </row>
    <row r="271" spans="1:10" s="53" customFormat="1" ht="21" customHeight="1">
      <c r="A271" s="223" t="s">
        <v>1010</v>
      </c>
      <c r="B271" s="34"/>
      <c r="C271" s="35" t="s">
        <v>1037</v>
      </c>
      <c r="D271" s="35" t="s">
        <v>568</v>
      </c>
      <c r="E271" s="22" t="s">
        <v>618</v>
      </c>
      <c r="F271" s="26" t="s">
        <v>1011</v>
      </c>
      <c r="G271" s="49">
        <v>699</v>
      </c>
      <c r="H271" s="49"/>
      <c r="I271" s="24">
        <f>SUM(H271/G271*100)</f>
        <v>0</v>
      </c>
      <c r="J271" s="53">
        <f>SUM('[1]ведомствен.2012'!G373)</f>
        <v>699</v>
      </c>
    </row>
    <row r="272" spans="1:10" ht="29.25" customHeight="1">
      <c r="A272" s="223" t="s">
        <v>415</v>
      </c>
      <c r="B272" s="35"/>
      <c r="C272" s="35" t="s">
        <v>1037</v>
      </c>
      <c r="D272" s="35" t="s">
        <v>568</v>
      </c>
      <c r="E272" s="22" t="s">
        <v>886</v>
      </c>
      <c r="F272" s="26"/>
      <c r="G272" s="24">
        <f>SUM(G273)</f>
        <v>6278</v>
      </c>
      <c r="H272" s="24"/>
      <c r="I272" s="24"/>
      <c r="J272"/>
    </row>
    <row r="273" spans="1:10" ht="49.5" customHeight="1">
      <c r="A273" s="223" t="s">
        <v>812</v>
      </c>
      <c r="B273" s="35"/>
      <c r="C273" s="35" t="s">
        <v>1037</v>
      </c>
      <c r="D273" s="35" t="s">
        <v>568</v>
      </c>
      <c r="E273" s="22" t="s">
        <v>886</v>
      </c>
      <c r="F273" s="26" t="s">
        <v>897</v>
      </c>
      <c r="G273" s="24">
        <v>6278</v>
      </c>
      <c r="H273" s="24"/>
      <c r="I273" s="24">
        <f>SUM(H273/G273*100)</f>
        <v>0</v>
      </c>
      <c r="J273" s="160">
        <f>SUM('[1]ведомствен.2012'!G375)</f>
        <v>6278</v>
      </c>
    </row>
    <row r="274" spans="1:12" s="20" customFormat="1" ht="15.75">
      <c r="A274" s="288" t="s">
        <v>619</v>
      </c>
      <c r="B274" s="56"/>
      <c r="C274" s="38" t="s">
        <v>1050</v>
      </c>
      <c r="D274" s="38"/>
      <c r="E274" s="38"/>
      <c r="F274" s="57"/>
      <c r="G274" s="40">
        <f>SUM(G275+G327+G376+G404)</f>
        <v>442479.5</v>
      </c>
      <c r="H274" s="40" t="e">
        <f>SUM(H275+H327+H363+H404)</f>
        <v>#REF!</v>
      </c>
      <c r="I274" s="40" t="e">
        <f t="shared" si="6"/>
        <v>#REF!</v>
      </c>
      <c r="K274" s="20">
        <f>SUM(J275:J444)</f>
        <v>442479.49999999994</v>
      </c>
      <c r="L274" s="20">
        <f>SUM('[1]ведомствен.2012'!G989+'[1]ведомствен.2012'!G720+'[1]ведомствен.2012'!G378+'[1]ведомствен.2012'!G78)</f>
        <v>442479.5</v>
      </c>
    </row>
    <row r="275" spans="1:13" ht="15">
      <c r="A275" s="223" t="s">
        <v>620</v>
      </c>
      <c r="B275" s="21"/>
      <c r="C275" s="22" t="s">
        <v>1050</v>
      </c>
      <c r="D275" s="22" t="s">
        <v>663</v>
      </c>
      <c r="E275" s="22"/>
      <c r="F275" s="23"/>
      <c r="G275" s="24">
        <f>SUM(G297+G320+G288+G302+G276+G318+G315)</f>
        <v>116486.5</v>
      </c>
      <c r="H275" s="24" t="e">
        <f>SUM(H297+H320+H288+H302+H276)</f>
        <v>#REF!</v>
      </c>
      <c r="I275" s="24" t="e">
        <f t="shared" si="6"/>
        <v>#REF!</v>
      </c>
      <c r="J275"/>
      <c r="M275">
        <f>SUM(L274-K274)</f>
        <v>5.820766091346741E-11</v>
      </c>
    </row>
    <row r="276" spans="1:13" ht="42.75">
      <c r="A276" s="289" t="s">
        <v>621</v>
      </c>
      <c r="B276" s="21"/>
      <c r="C276" s="22" t="s">
        <v>1050</v>
      </c>
      <c r="D276" s="22" t="s">
        <v>663</v>
      </c>
      <c r="E276" s="22" t="s">
        <v>622</v>
      </c>
      <c r="F276" s="23"/>
      <c r="G276" s="24">
        <f>SUM(G277+G284)</f>
        <v>114226.8</v>
      </c>
      <c r="H276" s="24">
        <f>SUM(H277+H284)</f>
        <v>23798.300000000003</v>
      </c>
      <c r="I276" s="24">
        <f t="shared" si="6"/>
        <v>20.834252557193235</v>
      </c>
      <c r="J276"/>
      <c r="M276" s="208">
        <f>SUM(K274-G274)</f>
        <v>-5.820766091346741E-11</v>
      </c>
    </row>
    <row r="277" spans="1:13" ht="77.25" customHeight="1">
      <c r="A277" s="289" t="s">
        <v>623</v>
      </c>
      <c r="B277" s="21"/>
      <c r="C277" s="22" t="s">
        <v>1050</v>
      </c>
      <c r="D277" s="22" t="s">
        <v>663</v>
      </c>
      <c r="E277" s="22" t="s">
        <v>624</v>
      </c>
      <c r="F277" s="23"/>
      <c r="G277" s="24">
        <f>SUM(G278)+G280+G282</f>
        <v>78267.3</v>
      </c>
      <c r="H277" s="24">
        <f>SUM(H278)+H280+H282</f>
        <v>20414.4</v>
      </c>
      <c r="I277" s="24">
        <f t="shared" si="6"/>
        <v>26.082923519784124</v>
      </c>
      <c r="J277"/>
      <c r="M277" s="208"/>
    </row>
    <row r="278" spans="1:10" ht="61.5" customHeight="1">
      <c r="A278" s="289" t="s">
        <v>833</v>
      </c>
      <c r="B278" s="21"/>
      <c r="C278" s="22" t="s">
        <v>1050</v>
      </c>
      <c r="D278" s="22" t="s">
        <v>663</v>
      </c>
      <c r="E278" s="22" t="s">
        <v>834</v>
      </c>
      <c r="F278" s="23"/>
      <c r="G278" s="24">
        <f>SUM(G279)</f>
        <v>24367</v>
      </c>
      <c r="H278" s="24">
        <f>SUM(H279)</f>
        <v>15652.8</v>
      </c>
      <c r="I278" s="24">
        <f t="shared" si="6"/>
        <v>64.23769852669594</v>
      </c>
      <c r="J278"/>
    </row>
    <row r="279" spans="1:10" ht="21" customHeight="1">
      <c r="A279" s="223" t="s">
        <v>796</v>
      </c>
      <c r="B279" s="21"/>
      <c r="C279" s="22" t="s">
        <v>1050</v>
      </c>
      <c r="D279" s="22" t="s">
        <v>663</v>
      </c>
      <c r="E279" s="22" t="s">
        <v>834</v>
      </c>
      <c r="F279" s="23" t="s">
        <v>797</v>
      </c>
      <c r="G279" s="24">
        <v>24367</v>
      </c>
      <c r="H279" s="24">
        <v>15652.8</v>
      </c>
      <c r="I279" s="24">
        <f t="shared" si="6"/>
        <v>64.23769852669594</v>
      </c>
      <c r="J279">
        <f>SUM('[1]ведомствен.2012'!G83)</f>
        <v>24367</v>
      </c>
    </row>
    <row r="280" spans="1:10" ht="58.5" customHeight="1">
      <c r="A280" s="272" t="s">
        <v>835</v>
      </c>
      <c r="B280" s="58"/>
      <c r="C280" s="22" t="s">
        <v>1050</v>
      </c>
      <c r="D280" s="22" t="s">
        <v>663</v>
      </c>
      <c r="E280" s="22" t="s">
        <v>836</v>
      </c>
      <c r="F280" s="23"/>
      <c r="G280" s="24">
        <f>SUM(G281)</f>
        <v>53900.3</v>
      </c>
      <c r="H280" s="24">
        <f>SUM(H281)</f>
        <v>0</v>
      </c>
      <c r="I280" s="24">
        <f t="shared" si="6"/>
        <v>0</v>
      </c>
      <c r="J280"/>
    </row>
    <row r="281" spans="1:10" ht="21" customHeight="1">
      <c r="A281" s="231" t="s">
        <v>1053</v>
      </c>
      <c r="B281" s="58"/>
      <c r="C281" s="22" t="s">
        <v>1050</v>
      </c>
      <c r="D281" s="22" t="s">
        <v>663</v>
      </c>
      <c r="E281" s="22" t="s">
        <v>836</v>
      </c>
      <c r="F281" s="23" t="s">
        <v>1054</v>
      </c>
      <c r="G281" s="24">
        <v>53900.3</v>
      </c>
      <c r="H281" s="24"/>
      <c r="I281" s="24">
        <f t="shared" si="6"/>
        <v>0</v>
      </c>
      <c r="J281">
        <f>SUM('[1]ведомствен.2012'!G385)</f>
        <v>53900.3</v>
      </c>
    </row>
    <row r="282" spans="1:10" ht="90.75" customHeight="1" hidden="1">
      <c r="A282" s="272" t="s">
        <v>271</v>
      </c>
      <c r="B282" s="58"/>
      <c r="C282" s="22" t="s">
        <v>1050</v>
      </c>
      <c r="D282" s="22" t="s">
        <v>663</v>
      </c>
      <c r="E282" s="22" t="s">
        <v>1065</v>
      </c>
      <c r="F282" s="23"/>
      <c r="G282" s="24">
        <f>SUM(G283)</f>
        <v>0</v>
      </c>
      <c r="H282" s="24">
        <f>SUM(H283)</f>
        <v>4761.6</v>
      </c>
      <c r="I282" s="24" t="e">
        <f t="shared" si="6"/>
        <v>#DIV/0!</v>
      </c>
      <c r="J282"/>
    </row>
    <row r="283" spans="1:10" ht="21" customHeight="1" hidden="1">
      <c r="A283" s="231" t="s">
        <v>1053</v>
      </c>
      <c r="B283" s="58"/>
      <c r="C283" s="22" t="s">
        <v>1050</v>
      </c>
      <c r="D283" s="22" t="s">
        <v>663</v>
      </c>
      <c r="E283" s="22" t="s">
        <v>1065</v>
      </c>
      <c r="F283" s="23" t="s">
        <v>1054</v>
      </c>
      <c r="G283" s="24"/>
      <c r="H283" s="24">
        <v>4761.6</v>
      </c>
      <c r="I283" s="24" t="e">
        <f t="shared" si="6"/>
        <v>#DIV/0!</v>
      </c>
      <c r="J283"/>
    </row>
    <row r="284" spans="1:10" ht="42.75">
      <c r="A284" s="290" t="s">
        <v>625</v>
      </c>
      <c r="B284" s="21"/>
      <c r="C284" s="22" t="s">
        <v>1050</v>
      </c>
      <c r="D284" s="22" t="s">
        <v>663</v>
      </c>
      <c r="E284" s="22" t="s">
        <v>626</v>
      </c>
      <c r="F284" s="23"/>
      <c r="G284" s="24">
        <f>SUM(G285)+G295+G291</f>
        <v>35959.5</v>
      </c>
      <c r="H284" s="24">
        <f>SUM(H285)+H295+H291</f>
        <v>3383.9</v>
      </c>
      <c r="I284" s="24">
        <f t="shared" si="6"/>
        <v>9.410308819644323</v>
      </c>
      <c r="J284"/>
    </row>
    <row r="285" spans="1:10" ht="28.5">
      <c r="A285" s="220" t="s">
        <v>627</v>
      </c>
      <c r="B285" s="58"/>
      <c r="C285" s="22" t="s">
        <v>1050</v>
      </c>
      <c r="D285" s="22" t="s">
        <v>663</v>
      </c>
      <c r="E285" s="22" t="s">
        <v>628</v>
      </c>
      <c r="F285" s="23"/>
      <c r="G285" s="24">
        <f>SUM(G286+G287)</f>
        <v>9870.7</v>
      </c>
      <c r="H285" s="24">
        <f>SUM(H286+H287)</f>
        <v>1562</v>
      </c>
      <c r="I285" s="24">
        <f t="shared" si="6"/>
        <v>15.82461223621425</v>
      </c>
      <c r="J285"/>
    </row>
    <row r="286" spans="1:10" ht="15">
      <c r="A286" s="291" t="s">
        <v>796</v>
      </c>
      <c r="B286" s="58"/>
      <c r="C286" s="22" t="s">
        <v>1050</v>
      </c>
      <c r="D286" s="22" t="s">
        <v>663</v>
      </c>
      <c r="E286" s="22" t="s">
        <v>628</v>
      </c>
      <c r="F286" s="23" t="s">
        <v>797</v>
      </c>
      <c r="G286" s="24">
        <v>9870.7</v>
      </c>
      <c r="H286" s="24">
        <v>233.9</v>
      </c>
      <c r="I286" s="24">
        <f t="shared" si="6"/>
        <v>2.369639437932467</v>
      </c>
      <c r="J286" s="160">
        <f>SUM('[1]ведомствен.2012'!G90)</f>
        <v>9870.7</v>
      </c>
    </row>
    <row r="287" spans="1:10" ht="12.75" customHeight="1" hidden="1">
      <c r="A287" s="291" t="s">
        <v>629</v>
      </c>
      <c r="B287" s="58"/>
      <c r="C287" s="22" t="s">
        <v>1050</v>
      </c>
      <c r="D287" s="22" t="s">
        <v>663</v>
      </c>
      <c r="E287" s="22" t="s">
        <v>628</v>
      </c>
      <c r="F287" s="23" t="s">
        <v>630</v>
      </c>
      <c r="G287" s="24"/>
      <c r="H287" s="24">
        <v>1328.1</v>
      </c>
      <c r="I287" s="24" t="e">
        <f t="shared" si="6"/>
        <v>#DIV/0!</v>
      </c>
      <c r="J287"/>
    </row>
    <row r="288" spans="1:10" ht="28.5" hidden="1">
      <c r="A288" s="220" t="s">
        <v>242</v>
      </c>
      <c r="B288" s="21"/>
      <c r="C288" s="22" t="s">
        <v>1050</v>
      </c>
      <c r="D288" s="22" t="s">
        <v>663</v>
      </c>
      <c r="E288" s="22" t="s">
        <v>605</v>
      </c>
      <c r="F288" s="23"/>
      <c r="G288" s="24">
        <f>SUM(G289)</f>
        <v>0</v>
      </c>
      <c r="H288" s="24">
        <f>SUM(H289)</f>
        <v>0</v>
      </c>
      <c r="I288" s="24" t="e">
        <f t="shared" si="6"/>
        <v>#DIV/0!</v>
      </c>
      <c r="J288"/>
    </row>
    <row r="289" spans="1:10" ht="28.5" hidden="1">
      <c r="A289" s="220" t="s">
        <v>1051</v>
      </c>
      <c r="B289" s="21"/>
      <c r="C289" s="22" t="s">
        <v>1050</v>
      </c>
      <c r="D289" s="22" t="s">
        <v>663</v>
      </c>
      <c r="E289" s="22" t="s">
        <v>1052</v>
      </c>
      <c r="F289" s="23"/>
      <c r="G289" s="24">
        <f>SUM(G290)</f>
        <v>0</v>
      </c>
      <c r="H289" s="24">
        <f>SUM(H290)</f>
        <v>0</v>
      </c>
      <c r="I289" s="24" t="e">
        <f t="shared" si="6"/>
        <v>#DIV/0!</v>
      </c>
      <c r="J289"/>
    </row>
    <row r="290" spans="1:10" ht="15" hidden="1">
      <c r="A290" s="220" t="s">
        <v>1053</v>
      </c>
      <c r="B290" s="21"/>
      <c r="C290" s="22" t="s">
        <v>1050</v>
      </c>
      <c r="D290" s="22" t="s">
        <v>663</v>
      </c>
      <c r="E290" s="22" t="s">
        <v>1052</v>
      </c>
      <c r="F290" s="23" t="s">
        <v>1054</v>
      </c>
      <c r="G290" s="24"/>
      <c r="H290" s="24"/>
      <c r="I290" s="24" t="e">
        <f t="shared" si="6"/>
        <v>#DIV/0!</v>
      </c>
      <c r="J290"/>
    </row>
    <row r="291" spans="1:10" ht="29.25" customHeight="1">
      <c r="A291" s="220" t="s">
        <v>631</v>
      </c>
      <c r="B291" s="21"/>
      <c r="C291" s="22" t="s">
        <v>1050</v>
      </c>
      <c r="D291" s="22" t="s">
        <v>663</v>
      </c>
      <c r="E291" s="22" t="s">
        <v>632</v>
      </c>
      <c r="F291" s="23"/>
      <c r="G291" s="24">
        <f>SUM(G293+G294)+G292</f>
        <v>26088.8</v>
      </c>
      <c r="H291" s="24">
        <f>SUM(H293+H294)</f>
        <v>0</v>
      </c>
      <c r="I291" s="24">
        <f t="shared" si="6"/>
        <v>0</v>
      </c>
      <c r="J291"/>
    </row>
    <row r="292" spans="1:10" s="36" customFormat="1" ht="21.75" customHeight="1">
      <c r="A292" s="231" t="s">
        <v>1053</v>
      </c>
      <c r="B292" s="21"/>
      <c r="C292" s="22" t="s">
        <v>1050</v>
      </c>
      <c r="D292" s="22" t="s">
        <v>663</v>
      </c>
      <c r="E292" s="22" t="s">
        <v>632</v>
      </c>
      <c r="F292" s="23" t="s">
        <v>1054</v>
      </c>
      <c r="G292" s="24">
        <v>26088.8</v>
      </c>
      <c r="H292" s="24">
        <v>1821.9</v>
      </c>
      <c r="I292" s="24">
        <f>SUM(H292/G292*100)</f>
        <v>6.983456502407163</v>
      </c>
      <c r="J292" s="36">
        <f>SUM('[1]ведомствен.2012'!G397)</f>
        <v>26088.8</v>
      </c>
    </row>
    <row r="293" spans="1:10" ht="18.75" customHeight="1" hidden="1">
      <c r="A293" s="223" t="s">
        <v>812</v>
      </c>
      <c r="B293" s="21"/>
      <c r="C293" s="22" t="s">
        <v>1050</v>
      </c>
      <c r="D293" s="22" t="s">
        <v>663</v>
      </c>
      <c r="E293" s="22" t="s">
        <v>632</v>
      </c>
      <c r="F293" s="23" t="s">
        <v>897</v>
      </c>
      <c r="G293" s="24"/>
      <c r="H293" s="24"/>
      <c r="I293" s="24" t="e">
        <f t="shared" si="6"/>
        <v>#DIV/0!</v>
      </c>
      <c r="J293">
        <f>SUM('[1]ведомствен.2012'!G396)</f>
        <v>0</v>
      </c>
    </row>
    <row r="294" spans="1:10" ht="29.25" customHeight="1" hidden="1">
      <c r="A294" s="231" t="s">
        <v>639</v>
      </c>
      <c r="B294" s="21"/>
      <c r="C294" s="22" t="s">
        <v>1050</v>
      </c>
      <c r="D294" s="22" t="s">
        <v>663</v>
      </c>
      <c r="E294" s="22" t="s">
        <v>632</v>
      </c>
      <c r="F294" s="23" t="s">
        <v>640</v>
      </c>
      <c r="G294" s="24"/>
      <c r="H294" s="24"/>
      <c r="I294" s="24" t="e">
        <f t="shared" si="6"/>
        <v>#DIV/0!</v>
      </c>
      <c r="J294"/>
    </row>
    <row r="295" spans="1:10" ht="59.25" customHeight="1" hidden="1">
      <c r="A295" s="220" t="s">
        <v>641</v>
      </c>
      <c r="B295" s="21"/>
      <c r="C295" s="22" t="s">
        <v>1050</v>
      </c>
      <c r="D295" s="22" t="s">
        <v>663</v>
      </c>
      <c r="E295" s="22" t="s">
        <v>642</v>
      </c>
      <c r="F295" s="23"/>
      <c r="G295" s="24">
        <f>SUM(G296)</f>
        <v>0</v>
      </c>
      <c r="H295" s="24">
        <f>SUM(H296)</f>
        <v>1821.9</v>
      </c>
      <c r="I295" s="24" t="e">
        <f t="shared" si="6"/>
        <v>#DIV/0!</v>
      </c>
      <c r="J295"/>
    </row>
    <row r="296" spans="1:9" ht="16.5" customHeight="1" hidden="1">
      <c r="A296" s="231" t="s">
        <v>1053</v>
      </c>
      <c r="B296" s="21"/>
      <c r="C296" s="22" t="s">
        <v>1050</v>
      </c>
      <c r="D296" s="22" t="s">
        <v>663</v>
      </c>
      <c r="E296" s="22" t="s">
        <v>642</v>
      </c>
      <c r="F296" s="23" t="s">
        <v>1054</v>
      </c>
      <c r="G296" s="24"/>
      <c r="H296" s="24">
        <v>1821.9</v>
      </c>
      <c r="I296" s="24" t="e">
        <f t="shared" si="6"/>
        <v>#DIV/0!</v>
      </c>
    </row>
    <row r="297" spans="1:10" ht="18.75" customHeight="1">
      <c r="A297" s="223" t="s">
        <v>643</v>
      </c>
      <c r="B297" s="21"/>
      <c r="C297" s="22" t="s">
        <v>1050</v>
      </c>
      <c r="D297" s="22" t="s">
        <v>663</v>
      </c>
      <c r="E297" s="22" t="s">
        <v>644</v>
      </c>
      <c r="F297" s="23"/>
      <c r="G297" s="24">
        <f>SUM(G298+G300)</f>
        <v>2193.6</v>
      </c>
      <c r="H297" s="24">
        <f>SUM(H298+H300)</f>
        <v>0</v>
      </c>
      <c r="I297" s="24">
        <f t="shared" si="6"/>
        <v>0</v>
      </c>
      <c r="J297"/>
    </row>
    <row r="298" spans="1:10" ht="20.25" customHeight="1">
      <c r="A298" s="231" t="s">
        <v>595</v>
      </c>
      <c r="B298" s="21"/>
      <c r="C298" s="22" t="s">
        <v>1050</v>
      </c>
      <c r="D298" s="22" t="s">
        <v>663</v>
      </c>
      <c r="E298" s="22" t="s">
        <v>594</v>
      </c>
      <c r="F298" s="23"/>
      <c r="G298" s="24">
        <f>SUM(G299)</f>
        <v>2193.6</v>
      </c>
      <c r="H298" s="24">
        <f>SUM(H299)</f>
        <v>0</v>
      </c>
      <c r="I298" s="24">
        <f t="shared" si="6"/>
        <v>0</v>
      </c>
      <c r="J298"/>
    </row>
    <row r="299" spans="1:10" ht="15.75" customHeight="1">
      <c r="A299" s="286" t="s">
        <v>1053</v>
      </c>
      <c r="B299" s="21"/>
      <c r="C299" s="22" t="s">
        <v>1050</v>
      </c>
      <c r="D299" s="22" t="s">
        <v>663</v>
      </c>
      <c r="E299" s="22" t="s">
        <v>594</v>
      </c>
      <c r="F299" s="23" t="s">
        <v>1054</v>
      </c>
      <c r="G299" s="24">
        <v>2193.6</v>
      </c>
      <c r="H299" s="24"/>
      <c r="I299" s="24">
        <f t="shared" si="6"/>
        <v>0</v>
      </c>
      <c r="J299">
        <f>SUM('[1]ведомствен.2012'!G1000)</f>
        <v>2193.6</v>
      </c>
    </row>
    <row r="300" spans="1:9" s="36" customFormat="1" ht="28.5" customHeight="1" hidden="1">
      <c r="A300" s="286" t="s">
        <v>647</v>
      </c>
      <c r="B300" s="34"/>
      <c r="C300" s="22" t="s">
        <v>1050</v>
      </c>
      <c r="D300" s="22" t="s">
        <v>663</v>
      </c>
      <c r="E300" s="22" t="s">
        <v>648</v>
      </c>
      <c r="F300" s="26"/>
      <c r="G300" s="24">
        <f>SUM(G301)</f>
        <v>0</v>
      </c>
      <c r="H300" s="24">
        <f>SUM(H301)</f>
        <v>0</v>
      </c>
      <c r="I300" s="24" t="e">
        <f t="shared" si="6"/>
        <v>#DIV/0!</v>
      </c>
    </row>
    <row r="301" spans="1:9" s="60" customFormat="1" ht="16.5" customHeight="1" hidden="1">
      <c r="A301" s="223" t="s">
        <v>1010</v>
      </c>
      <c r="B301" s="59"/>
      <c r="C301" s="22" t="s">
        <v>1050</v>
      </c>
      <c r="D301" s="22" t="s">
        <v>663</v>
      </c>
      <c r="E301" s="22" t="s">
        <v>648</v>
      </c>
      <c r="F301" s="50" t="s">
        <v>1011</v>
      </c>
      <c r="G301" s="49"/>
      <c r="H301" s="49"/>
      <c r="I301" s="24" t="e">
        <f t="shared" si="6"/>
        <v>#DIV/0!</v>
      </c>
    </row>
    <row r="302" spans="1:9" s="53" customFormat="1" ht="18.75" customHeight="1" hidden="1">
      <c r="A302" s="286" t="s">
        <v>785</v>
      </c>
      <c r="B302" s="45"/>
      <c r="C302" s="45" t="s">
        <v>1050</v>
      </c>
      <c r="D302" s="45" t="s">
        <v>663</v>
      </c>
      <c r="E302" s="45" t="s">
        <v>786</v>
      </c>
      <c r="F302" s="61"/>
      <c r="G302" s="62">
        <f>SUM(G305)+G310+G303</f>
        <v>0</v>
      </c>
      <c r="H302" s="62">
        <f>SUM(H305)+H310+H303</f>
        <v>0</v>
      </c>
      <c r="I302" s="24" t="e">
        <f t="shared" si="6"/>
        <v>#DIV/0!</v>
      </c>
    </row>
    <row r="303" spans="1:9" s="53" customFormat="1" ht="39.75" customHeight="1" hidden="1">
      <c r="A303" s="286" t="s">
        <v>649</v>
      </c>
      <c r="B303" s="45"/>
      <c r="C303" s="63" t="s">
        <v>1050</v>
      </c>
      <c r="D303" s="63" t="s">
        <v>663</v>
      </c>
      <c r="E303" s="63" t="s">
        <v>650</v>
      </c>
      <c r="F303" s="61"/>
      <c r="G303" s="62">
        <f>SUM(G304)</f>
        <v>0</v>
      </c>
      <c r="H303" s="62">
        <f>SUM(H304)</f>
        <v>0</v>
      </c>
      <c r="I303" s="24" t="e">
        <f t="shared" si="6"/>
        <v>#DIV/0!</v>
      </c>
    </row>
    <row r="304" spans="1:9" s="53" customFormat="1" ht="18.75" customHeight="1" hidden="1">
      <c r="A304" s="286" t="s">
        <v>1053</v>
      </c>
      <c r="B304" s="45"/>
      <c r="C304" s="63" t="s">
        <v>1050</v>
      </c>
      <c r="D304" s="63" t="s">
        <v>663</v>
      </c>
      <c r="E304" s="63" t="s">
        <v>650</v>
      </c>
      <c r="F304" s="61" t="s">
        <v>1054</v>
      </c>
      <c r="G304" s="62"/>
      <c r="H304" s="62"/>
      <c r="I304" s="24" t="e">
        <f t="shared" si="6"/>
        <v>#DIV/0!</v>
      </c>
    </row>
    <row r="305" spans="1:9" s="53" customFormat="1" ht="45" customHeight="1" hidden="1">
      <c r="A305" s="223" t="s">
        <v>651</v>
      </c>
      <c r="B305" s="45"/>
      <c r="C305" s="63" t="s">
        <v>1050</v>
      </c>
      <c r="D305" s="63" t="s">
        <v>663</v>
      </c>
      <c r="E305" s="63" t="s">
        <v>652</v>
      </c>
      <c r="F305" s="61"/>
      <c r="G305" s="62">
        <f>SUM(G306+G308)</f>
        <v>0</v>
      </c>
      <c r="H305" s="62">
        <f>SUM(H306+H308)</f>
        <v>0</v>
      </c>
      <c r="I305" s="24" t="e">
        <f t="shared" si="6"/>
        <v>#DIV/0!</v>
      </c>
    </row>
    <row r="306" spans="1:9" s="53" customFormat="1" ht="49.5" customHeight="1" hidden="1">
      <c r="A306" s="286" t="s">
        <v>653</v>
      </c>
      <c r="B306" s="64"/>
      <c r="C306" s="63" t="s">
        <v>1050</v>
      </c>
      <c r="D306" s="63" t="s">
        <v>663</v>
      </c>
      <c r="E306" s="63" t="s">
        <v>654</v>
      </c>
      <c r="F306" s="61"/>
      <c r="G306" s="62">
        <f>SUM(G307)</f>
        <v>0</v>
      </c>
      <c r="H306" s="62">
        <f>SUM(H307)</f>
        <v>0</v>
      </c>
      <c r="I306" s="24" t="e">
        <f t="shared" si="6"/>
        <v>#DIV/0!</v>
      </c>
    </row>
    <row r="307" spans="1:9" s="53" customFormat="1" ht="15" customHeight="1" hidden="1">
      <c r="A307" s="220" t="s">
        <v>1053</v>
      </c>
      <c r="B307" s="45"/>
      <c r="C307" s="63" t="s">
        <v>1050</v>
      </c>
      <c r="D307" s="63" t="s">
        <v>663</v>
      </c>
      <c r="E307" s="63" t="s">
        <v>654</v>
      </c>
      <c r="F307" s="50" t="s">
        <v>1054</v>
      </c>
      <c r="G307" s="24">
        <v>0</v>
      </c>
      <c r="H307" s="24">
        <v>0</v>
      </c>
      <c r="I307" s="24" t="e">
        <f t="shared" si="6"/>
        <v>#DIV/0!</v>
      </c>
    </row>
    <row r="308" spans="1:9" s="53" customFormat="1" ht="18" customHeight="1" hidden="1">
      <c r="A308" s="220" t="s">
        <v>655</v>
      </c>
      <c r="B308" s="45"/>
      <c r="C308" s="63" t="s">
        <v>1050</v>
      </c>
      <c r="D308" s="63" t="s">
        <v>663</v>
      </c>
      <c r="E308" s="63" t="s">
        <v>656</v>
      </c>
      <c r="F308" s="50"/>
      <c r="G308" s="24">
        <f>SUM(G309)</f>
        <v>0</v>
      </c>
      <c r="H308" s="24">
        <f>SUM(H309)</f>
        <v>0</v>
      </c>
      <c r="I308" s="24" t="e">
        <f t="shared" si="6"/>
        <v>#DIV/0!</v>
      </c>
    </row>
    <row r="309" spans="1:9" s="53" customFormat="1" ht="14.25" customHeight="1" hidden="1">
      <c r="A309" s="223" t="s">
        <v>1010</v>
      </c>
      <c r="B309" s="59"/>
      <c r="C309" s="22" t="s">
        <v>1050</v>
      </c>
      <c r="D309" s="22" t="s">
        <v>663</v>
      </c>
      <c r="E309" s="63" t="s">
        <v>656</v>
      </c>
      <c r="F309" s="50" t="s">
        <v>1011</v>
      </c>
      <c r="G309" s="24">
        <f>SUM('[2]Ведомств.'!F180)</f>
        <v>0</v>
      </c>
      <c r="H309" s="24">
        <f>SUM('[2]Ведомств.'!G180)</f>
        <v>0</v>
      </c>
      <c r="I309" s="24" t="e">
        <f t="shared" si="6"/>
        <v>#DIV/0!</v>
      </c>
    </row>
    <row r="310" spans="1:9" s="53" customFormat="1" ht="28.5" customHeight="1" hidden="1">
      <c r="A310" s="223" t="s">
        <v>287</v>
      </c>
      <c r="B310" s="59"/>
      <c r="C310" s="22" t="s">
        <v>1050</v>
      </c>
      <c r="D310" s="22" t="s">
        <v>663</v>
      </c>
      <c r="E310" s="46" t="s">
        <v>658</v>
      </c>
      <c r="F310" s="50"/>
      <c r="G310" s="24">
        <f>SUM(G311)+G313</f>
        <v>0</v>
      </c>
      <c r="H310" s="24">
        <f>SUM(H311)+H313</f>
        <v>0</v>
      </c>
      <c r="I310" s="24" t="e">
        <f t="shared" si="6"/>
        <v>#DIV/0!</v>
      </c>
    </row>
    <row r="311" spans="1:9" s="53" customFormat="1" ht="42.75" customHeight="1" hidden="1">
      <c r="A311" s="223" t="s">
        <v>288</v>
      </c>
      <c r="B311" s="59"/>
      <c r="C311" s="22" t="s">
        <v>1050</v>
      </c>
      <c r="D311" s="22" t="s">
        <v>663</v>
      </c>
      <c r="E311" s="46" t="s">
        <v>875</v>
      </c>
      <c r="F311" s="50"/>
      <c r="G311" s="24">
        <f>SUM(G312)</f>
        <v>0</v>
      </c>
      <c r="H311" s="24">
        <f>SUM(H312)</f>
        <v>0</v>
      </c>
      <c r="I311" s="24" t="e">
        <f t="shared" si="6"/>
        <v>#DIV/0!</v>
      </c>
    </row>
    <row r="312" spans="1:9" s="53" customFormat="1" ht="15" customHeight="1" hidden="1">
      <c r="A312" s="223" t="s">
        <v>796</v>
      </c>
      <c r="B312" s="59"/>
      <c r="C312" s="22" t="s">
        <v>1050</v>
      </c>
      <c r="D312" s="22" t="s">
        <v>663</v>
      </c>
      <c r="E312" s="63" t="s">
        <v>875</v>
      </c>
      <c r="F312" s="50" t="s">
        <v>797</v>
      </c>
      <c r="G312" s="24"/>
      <c r="H312" s="24"/>
      <c r="I312" s="24" t="e">
        <f t="shared" si="6"/>
        <v>#DIV/0!</v>
      </c>
    </row>
    <row r="313" spans="1:9" s="53" customFormat="1" ht="42.75" hidden="1">
      <c r="A313" s="223" t="s">
        <v>289</v>
      </c>
      <c r="B313" s="59"/>
      <c r="C313" s="22" t="s">
        <v>1050</v>
      </c>
      <c r="D313" s="22" t="s">
        <v>663</v>
      </c>
      <c r="E313" s="46" t="s">
        <v>877</v>
      </c>
      <c r="F313" s="50"/>
      <c r="G313" s="24">
        <f>SUM(G314)</f>
        <v>0</v>
      </c>
      <c r="H313" s="24">
        <f>SUM(H314)</f>
        <v>0</v>
      </c>
      <c r="I313" s="24" t="e">
        <f t="shared" si="6"/>
        <v>#DIV/0!</v>
      </c>
    </row>
    <row r="314" spans="1:9" s="53" customFormat="1" ht="15" hidden="1">
      <c r="A314" s="223" t="s">
        <v>796</v>
      </c>
      <c r="B314" s="59"/>
      <c r="C314" s="22" t="s">
        <v>1050</v>
      </c>
      <c r="D314" s="22" t="s">
        <v>663</v>
      </c>
      <c r="E314" s="63" t="s">
        <v>877</v>
      </c>
      <c r="F314" s="50" t="s">
        <v>797</v>
      </c>
      <c r="G314" s="24"/>
      <c r="H314" s="24"/>
      <c r="I314" s="24" t="e">
        <f t="shared" si="6"/>
        <v>#DIV/0!</v>
      </c>
    </row>
    <row r="315" spans="1:9" s="36" customFormat="1" ht="15" hidden="1">
      <c r="A315" s="223" t="s">
        <v>643</v>
      </c>
      <c r="B315" s="59"/>
      <c r="C315" s="22" t="s">
        <v>1050</v>
      </c>
      <c r="D315" s="22" t="s">
        <v>663</v>
      </c>
      <c r="E315" s="63" t="s">
        <v>965</v>
      </c>
      <c r="F315" s="50"/>
      <c r="G315" s="24">
        <f>SUM(G316)</f>
        <v>0</v>
      </c>
      <c r="H315" s="24"/>
      <c r="I315" s="24"/>
    </row>
    <row r="316" spans="1:9" s="36" customFormat="1" ht="15" hidden="1">
      <c r="A316" s="223" t="s">
        <v>967</v>
      </c>
      <c r="B316" s="59"/>
      <c r="C316" s="22" t="s">
        <v>1050</v>
      </c>
      <c r="D316" s="22" t="s">
        <v>663</v>
      </c>
      <c r="E316" s="46" t="s">
        <v>966</v>
      </c>
      <c r="F316" s="50"/>
      <c r="G316" s="24">
        <f>SUM(G317)</f>
        <v>0</v>
      </c>
      <c r="H316" s="24"/>
      <c r="I316" s="24"/>
    </row>
    <row r="317" spans="1:10" s="36" customFormat="1" ht="14.25" customHeight="1" hidden="1">
      <c r="A317" s="291" t="s">
        <v>796</v>
      </c>
      <c r="B317" s="59"/>
      <c r="C317" s="22" t="s">
        <v>1050</v>
      </c>
      <c r="D317" s="22" t="s">
        <v>663</v>
      </c>
      <c r="E317" s="46" t="s">
        <v>966</v>
      </c>
      <c r="F317" s="47" t="s">
        <v>797</v>
      </c>
      <c r="G317" s="24"/>
      <c r="H317" s="24"/>
      <c r="I317" s="24"/>
      <c r="J317" s="36">
        <f>SUM('[1]ведомствен.2012'!G102)</f>
        <v>0</v>
      </c>
    </row>
    <row r="318" spans="1:10" ht="15" hidden="1">
      <c r="A318" s="231" t="s">
        <v>595</v>
      </c>
      <c r="B318" s="34"/>
      <c r="C318" s="35" t="s">
        <v>1050</v>
      </c>
      <c r="D318" s="35" t="s">
        <v>663</v>
      </c>
      <c r="E318" s="35" t="s">
        <v>594</v>
      </c>
      <c r="F318" s="23"/>
      <c r="G318" s="49">
        <f>SUM(G319)</f>
        <v>0</v>
      </c>
      <c r="H318" s="24"/>
      <c r="I318" s="24"/>
      <c r="J318"/>
    </row>
    <row r="319" spans="1:10" ht="15" hidden="1">
      <c r="A319" s="231" t="s">
        <v>1053</v>
      </c>
      <c r="B319" s="34"/>
      <c r="C319" s="35" t="s">
        <v>1050</v>
      </c>
      <c r="D319" s="35" t="s">
        <v>663</v>
      </c>
      <c r="E319" s="35" t="s">
        <v>594</v>
      </c>
      <c r="F319" s="26" t="s">
        <v>1054</v>
      </c>
      <c r="G319" s="49"/>
      <c r="H319" s="24"/>
      <c r="I319" s="24"/>
      <c r="J319"/>
    </row>
    <row r="320" spans="1:9" s="53" customFormat="1" ht="15">
      <c r="A320" s="231" t="s">
        <v>1046</v>
      </c>
      <c r="B320" s="45"/>
      <c r="C320" s="45" t="s">
        <v>1050</v>
      </c>
      <c r="D320" s="45" t="s">
        <v>663</v>
      </c>
      <c r="E320" s="45" t="s">
        <v>1047</v>
      </c>
      <c r="F320" s="50"/>
      <c r="G320" s="24">
        <f>SUM(G321,G323,G325)</f>
        <v>66.1</v>
      </c>
      <c r="H320" s="24" t="e">
        <f>SUM(#REF!+#REF!)+H325</f>
        <v>#REF!</v>
      </c>
      <c r="I320" s="24" t="e">
        <f t="shared" si="6"/>
        <v>#REF!</v>
      </c>
    </row>
    <row r="321" spans="1:9" s="53" customFormat="1" ht="42.75" customHeight="1">
      <c r="A321" s="212" t="s">
        <v>1244</v>
      </c>
      <c r="B321" s="45"/>
      <c r="C321" s="45" t="s">
        <v>1050</v>
      </c>
      <c r="D321" s="45" t="s">
        <v>663</v>
      </c>
      <c r="E321" s="45" t="s">
        <v>383</v>
      </c>
      <c r="F321" s="50"/>
      <c r="G321" s="65">
        <f>SUM(G322)</f>
        <v>66.1</v>
      </c>
      <c r="H321" s="65">
        <f>SUM('[2]Ведомств.'!G188)</f>
        <v>0</v>
      </c>
      <c r="I321" s="24">
        <f t="shared" si="6"/>
        <v>0</v>
      </c>
    </row>
    <row r="322" spans="1:10" s="53" customFormat="1" ht="15">
      <c r="A322" s="291" t="s">
        <v>796</v>
      </c>
      <c r="B322" s="45"/>
      <c r="C322" s="45" t="s">
        <v>1050</v>
      </c>
      <c r="D322" s="45" t="s">
        <v>663</v>
      </c>
      <c r="E322" s="45" t="s">
        <v>383</v>
      </c>
      <c r="F322" s="50" t="s">
        <v>797</v>
      </c>
      <c r="G322" s="65">
        <v>66.1</v>
      </c>
      <c r="H322" s="65"/>
      <c r="I322" s="24">
        <f t="shared" si="6"/>
        <v>0</v>
      </c>
      <c r="J322" s="36">
        <f>SUM('[1]ведомствен.2012'!G124)</f>
        <v>66.1</v>
      </c>
    </row>
    <row r="323" spans="1:9" s="53" customFormat="1" ht="28.5" hidden="1">
      <c r="A323" s="220" t="s">
        <v>882</v>
      </c>
      <c r="B323" s="45"/>
      <c r="C323" s="46" t="s">
        <v>1050</v>
      </c>
      <c r="D323" s="46" t="s">
        <v>663</v>
      </c>
      <c r="E323" s="46" t="s">
        <v>883</v>
      </c>
      <c r="F323" s="47" t="s">
        <v>1054</v>
      </c>
      <c r="G323" s="24">
        <f>SUM(G324)</f>
        <v>0</v>
      </c>
      <c r="H323" s="24">
        <f>SUM(H324)</f>
        <v>167.7</v>
      </c>
      <c r="I323" s="24" t="e">
        <f t="shared" si="6"/>
        <v>#DIV/0!</v>
      </c>
    </row>
    <row r="324" spans="1:9" s="53" customFormat="1" ht="42.75" hidden="1">
      <c r="A324" s="286" t="s">
        <v>653</v>
      </c>
      <c r="B324" s="45"/>
      <c r="C324" s="46" t="s">
        <v>1050</v>
      </c>
      <c r="D324" s="46" t="s">
        <v>663</v>
      </c>
      <c r="E324" s="46" t="s">
        <v>884</v>
      </c>
      <c r="F324" s="47" t="s">
        <v>1054</v>
      </c>
      <c r="G324" s="24"/>
      <c r="H324" s="24">
        <v>167.7</v>
      </c>
      <c r="I324" s="24" t="e">
        <f t="shared" si="6"/>
        <v>#DIV/0!</v>
      </c>
    </row>
    <row r="325" spans="1:9" s="53" customFormat="1" ht="28.5" hidden="1">
      <c r="A325" s="273" t="s">
        <v>885</v>
      </c>
      <c r="B325" s="45"/>
      <c r="C325" s="46" t="s">
        <v>1050</v>
      </c>
      <c r="D325" s="46" t="s">
        <v>663</v>
      </c>
      <c r="E325" s="46" t="s">
        <v>886</v>
      </c>
      <c r="F325" s="47"/>
      <c r="G325" s="24">
        <f>SUM(G326)</f>
        <v>0</v>
      </c>
      <c r="H325" s="24">
        <f>SUM(H326)</f>
        <v>110.4</v>
      </c>
      <c r="I325" s="24" t="e">
        <f t="shared" si="6"/>
        <v>#DIV/0!</v>
      </c>
    </row>
    <row r="326" spans="1:9" s="53" customFormat="1" ht="15" hidden="1">
      <c r="A326" s="231" t="s">
        <v>1053</v>
      </c>
      <c r="B326" s="45"/>
      <c r="C326" s="46" t="s">
        <v>1050</v>
      </c>
      <c r="D326" s="46" t="s">
        <v>663</v>
      </c>
      <c r="E326" s="46" t="s">
        <v>886</v>
      </c>
      <c r="F326" s="47" t="s">
        <v>1054</v>
      </c>
      <c r="G326" s="24"/>
      <c r="H326" s="24">
        <v>110.4</v>
      </c>
      <c r="I326" s="24" t="e">
        <f t="shared" si="6"/>
        <v>#DIV/0!</v>
      </c>
    </row>
    <row r="327" spans="1:9" s="36" customFormat="1" ht="20.25" customHeight="1">
      <c r="A327" s="220" t="s">
        <v>887</v>
      </c>
      <c r="B327" s="34"/>
      <c r="C327" s="35" t="s">
        <v>1050</v>
      </c>
      <c r="D327" s="35" t="s">
        <v>665</v>
      </c>
      <c r="E327" s="35"/>
      <c r="F327" s="26"/>
      <c r="G327" s="24">
        <f>SUM(G335+G347)+G330+G343+G332+G355+G370+G367</f>
        <v>200015.3</v>
      </c>
      <c r="H327" s="24">
        <f>SUM(H335+H347)+H330+H343+H332</f>
        <v>24530.6</v>
      </c>
      <c r="I327" s="24">
        <f t="shared" si="6"/>
        <v>12.26436177632411</v>
      </c>
    </row>
    <row r="328" spans="1:9" s="36" customFormat="1" ht="18" customHeight="1" hidden="1">
      <c r="A328" s="223" t="s">
        <v>888</v>
      </c>
      <c r="B328" s="21"/>
      <c r="C328" s="35" t="s">
        <v>1050</v>
      </c>
      <c r="D328" s="35" t="s">
        <v>665</v>
      </c>
      <c r="E328" s="35" t="s">
        <v>889</v>
      </c>
      <c r="F328" s="23"/>
      <c r="G328" s="24"/>
      <c r="H328" s="24"/>
      <c r="I328" s="24" t="e">
        <f aca="true" t="shared" si="7" ref="I328:I406">SUM(H328/G328*100)</f>
        <v>#DIV/0!</v>
      </c>
    </row>
    <row r="329" spans="1:9" s="36" customFormat="1" ht="18" customHeight="1" hidden="1">
      <c r="A329" s="223" t="s">
        <v>890</v>
      </c>
      <c r="B329" s="21"/>
      <c r="C329" s="35" t="s">
        <v>1050</v>
      </c>
      <c r="D329" s="35" t="s">
        <v>665</v>
      </c>
      <c r="E329" s="35" t="s">
        <v>889</v>
      </c>
      <c r="F329" s="23" t="s">
        <v>891</v>
      </c>
      <c r="G329" s="24"/>
      <c r="H329" s="24"/>
      <c r="I329" s="24" t="e">
        <f t="shared" si="7"/>
        <v>#DIV/0!</v>
      </c>
    </row>
    <row r="330" spans="1:9" s="36" customFormat="1" ht="19.5" customHeight="1" hidden="1">
      <c r="A330" s="223" t="s">
        <v>545</v>
      </c>
      <c r="B330" s="21"/>
      <c r="C330" s="35" t="s">
        <v>1050</v>
      </c>
      <c r="D330" s="35" t="s">
        <v>665</v>
      </c>
      <c r="E330" s="35" t="s">
        <v>546</v>
      </c>
      <c r="F330" s="23"/>
      <c r="G330" s="24">
        <f>SUM(G331)</f>
        <v>0</v>
      </c>
      <c r="H330" s="24">
        <f>SUM(H331)</f>
        <v>0</v>
      </c>
      <c r="I330" s="24" t="e">
        <f t="shared" si="7"/>
        <v>#DIV/0!</v>
      </c>
    </row>
    <row r="331" spans="1:9" s="36" customFormat="1" ht="18" customHeight="1" hidden="1">
      <c r="A331" s="223" t="s">
        <v>1010</v>
      </c>
      <c r="B331" s="21"/>
      <c r="C331" s="35" t="s">
        <v>1050</v>
      </c>
      <c r="D331" s="35" t="s">
        <v>665</v>
      </c>
      <c r="E331" s="35" t="s">
        <v>546</v>
      </c>
      <c r="F331" s="23" t="s">
        <v>1011</v>
      </c>
      <c r="G331" s="24"/>
      <c r="H331" s="24"/>
      <c r="I331" s="24" t="e">
        <f t="shared" si="7"/>
        <v>#DIV/0!</v>
      </c>
    </row>
    <row r="332" spans="1:9" s="36" customFormat="1" ht="18" customHeight="1" hidden="1">
      <c r="A332" s="223" t="s">
        <v>359</v>
      </c>
      <c r="B332" s="21"/>
      <c r="C332" s="35" t="s">
        <v>1050</v>
      </c>
      <c r="D332" s="35" t="s">
        <v>665</v>
      </c>
      <c r="E332" s="35" t="s">
        <v>360</v>
      </c>
      <c r="F332" s="23"/>
      <c r="G332" s="24">
        <f>SUM(G333)</f>
        <v>0</v>
      </c>
      <c r="H332" s="24">
        <f>SUM(H333)</f>
        <v>9483.6</v>
      </c>
      <c r="I332" s="24" t="e">
        <f t="shared" si="7"/>
        <v>#DIV/0!</v>
      </c>
    </row>
    <row r="333" spans="1:9" s="36" customFormat="1" ht="18" customHeight="1" hidden="1">
      <c r="A333" s="223" t="s">
        <v>361</v>
      </c>
      <c r="B333" s="21"/>
      <c r="C333" s="35" t="s">
        <v>1050</v>
      </c>
      <c r="D333" s="35" t="s">
        <v>665</v>
      </c>
      <c r="E333" s="35" t="s">
        <v>362</v>
      </c>
      <c r="F333" s="23"/>
      <c r="G333" s="24">
        <f>SUM(G334)</f>
        <v>0</v>
      </c>
      <c r="H333" s="24">
        <f>SUM(H334)</f>
        <v>9483.6</v>
      </c>
      <c r="I333" s="24" t="e">
        <f t="shared" si="7"/>
        <v>#DIV/0!</v>
      </c>
    </row>
    <row r="334" spans="1:9" s="36" customFormat="1" ht="18" customHeight="1" hidden="1">
      <c r="A334" s="223" t="s">
        <v>796</v>
      </c>
      <c r="B334" s="21"/>
      <c r="C334" s="35" t="s">
        <v>1050</v>
      </c>
      <c r="D334" s="35" t="s">
        <v>665</v>
      </c>
      <c r="E334" s="35" t="s">
        <v>362</v>
      </c>
      <c r="F334" s="23" t="s">
        <v>797</v>
      </c>
      <c r="G334" s="24"/>
      <c r="H334" s="24">
        <v>9483.6</v>
      </c>
      <c r="I334" s="24" t="e">
        <f t="shared" si="7"/>
        <v>#DIV/0!</v>
      </c>
    </row>
    <row r="335" spans="1:9" s="36" customFormat="1" ht="20.25" customHeight="1">
      <c r="A335" s="277" t="s">
        <v>363</v>
      </c>
      <c r="B335" s="34"/>
      <c r="C335" s="35" t="s">
        <v>1050</v>
      </c>
      <c r="D335" s="35" t="s">
        <v>665</v>
      </c>
      <c r="E335" s="35" t="s">
        <v>889</v>
      </c>
      <c r="F335" s="26"/>
      <c r="G335" s="24">
        <f>SUM(G336+G338+G340)+G359</f>
        <v>36834.9</v>
      </c>
      <c r="H335" s="24">
        <f>SUM(H336+H338+H340)</f>
        <v>15047</v>
      </c>
      <c r="I335" s="24">
        <f t="shared" si="7"/>
        <v>40.8498462056365</v>
      </c>
    </row>
    <row r="336" spans="1:9" s="36" customFormat="1" ht="42.75" customHeight="1" hidden="1">
      <c r="A336" s="231" t="s">
        <v>364</v>
      </c>
      <c r="B336" s="34"/>
      <c r="C336" s="35" t="s">
        <v>1050</v>
      </c>
      <c r="D336" s="35" t="s">
        <v>665</v>
      </c>
      <c r="E336" s="35" t="s">
        <v>365</v>
      </c>
      <c r="F336" s="26"/>
      <c r="G336" s="24">
        <f>SUM(G337)</f>
        <v>0</v>
      </c>
      <c r="H336" s="24">
        <f>SUM(H337)</f>
        <v>0</v>
      </c>
      <c r="I336" s="24" t="e">
        <f t="shared" si="7"/>
        <v>#DIV/0!</v>
      </c>
    </row>
    <row r="337" spans="1:9" s="36" customFormat="1" ht="17.25" customHeight="1" hidden="1">
      <c r="A337" s="223" t="s">
        <v>796</v>
      </c>
      <c r="B337" s="21"/>
      <c r="C337" s="22" t="s">
        <v>1050</v>
      </c>
      <c r="D337" s="35" t="s">
        <v>665</v>
      </c>
      <c r="E337" s="35" t="s">
        <v>365</v>
      </c>
      <c r="F337" s="23" t="s">
        <v>797</v>
      </c>
      <c r="G337" s="24"/>
      <c r="H337" s="24"/>
      <c r="I337" s="24" t="e">
        <f t="shared" si="7"/>
        <v>#DIV/0!</v>
      </c>
    </row>
    <row r="338" spans="1:9" s="36" customFormat="1" ht="61.5" customHeight="1" hidden="1">
      <c r="A338" s="231" t="s">
        <v>858</v>
      </c>
      <c r="B338" s="21"/>
      <c r="C338" s="35" t="s">
        <v>1050</v>
      </c>
      <c r="D338" s="35" t="s">
        <v>665</v>
      </c>
      <c r="E338" s="35" t="s">
        <v>859</v>
      </c>
      <c r="F338" s="23"/>
      <c r="G338" s="24">
        <f>SUM(G339)</f>
        <v>0</v>
      </c>
      <c r="H338" s="24">
        <f>SUM(H339)</f>
        <v>0</v>
      </c>
      <c r="I338" s="24" t="e">
        <f t="shared" si="7"/>
        <v>#DIV/0!</v>
      </c>
    </row>
    <row r="339" spans="1:9" s="36" customFormat="1" ht="17.25" customHeight="1" hidden="1">
      <c r="A339" s="223" t="s">
        <v>796</v>
      </c>
      <c r="B339" s="21"/>
      <c r="C339" s="35" t="s">
        <v>1050</v>
      </c>
      <c r="D339" s="35" t="s">
        <v>665</v>
      </c>
      <c r="E339" s="35" t="s">
        <v>859</v>
      </c>
      <c r="F339" s="23" t="s">
        <v>797</v>
      </c>
      <c r="G339" s="24"/>
      <c r="H339" s="24"/>
      <c r="I339" s="24" t="e">
        <f t="shared" si="7"/>
        <v>#DIV/0!</v>
      </c>
    </row>
    <row r="340" spans="1:9" s="36" customFormat="1" ht="21" customHeight="1">
      <c r="A340" s="286" t="s">
        <v>860</v>
      </c>
      <c r="B340" s="34"/>
      <c r="C340" s="35" t="s">
        <v>1050</v>
      </c>
      <c r="D340" s="35" t="s">
        <v>665</v>
      </c>
      <c r="E340" s="35" t="s">
        <v>861</v>
      </c>
      <c r="F340" s="26"/>
      <c r="G340" s="24">
        <f>SUM(G341)+G342+G358</f>
        <v>21752.8</v>
      </c>
      <c r="H340" s="24">
        <f>SUM(H341)+H342</f>
        <v>15047</v>
      </c>
      <c r="I340" s="24">
        <f t="shared" si="7"/>
        <v>69.17270420359678</v>
      </c>
    </row>
    <row r="341" spans="1:10" s="36" customFormat="1" ht="2.25" customHeight="1" hidden="1">
      <c r="A341" s="223" t="s">
        <v>796</v>
      </c>
      <c r="B341" s="34"/>
      <c r="C341" s="35" t="s">
        <v>1050</v>
      </c>
      <c r="D341" s="35" t="s">
        <v>665</v>
      </c>
      <c r="E341" s="35" t="s">
        <v>861</v>
      </c>
      <c r="F341" s="23" t="s">
        <v>797</v>
      </c>
      <c r="G341" s="49"/>
      <c r="H341" s="49">
        <f>878+4272.1+2990.6</f>
        <v>8140.700000000001</v>
      </c>
      <c r="I341" s="24" t="e">
        <f t="shared" si="7"/>
        <v>#DIV/0!</v>
      </c>
      <c r="J341" s="160"/>
    </row>
    <row r="342" spans="1:10" s="36" customFormat="1" ht="17.25" customHeight="1">
      <c r="A342" s="223" t="s">
        <v>1010</v>
      </c>
      <c r="B342" s="34"/>
      <c r="C342" s="35" t="s">
        <v>1050</v>
      </c>
      <c r="D342" s="35" t="s">
        <v>665</v>
      </c>
      <c r="E342" s="35" t="s">
        <v>861</v>
      </c>
      <c r="F342" s="23" t="s">
        <v>1011</v>
      </c>
      <c r="G342" s="49">
        <v>21752.8</v>
      </c>
      <c r="H342" s="49">
        <v>6906.3</v>
      </c>
      <c r="I342" s="24">
        <f t="shared" si="7"/>
        <v>31.749016218601746</v>
      </c>
      <c r="J342" s="160">
        <f>SUM('[1]ведомствен.2012'!G1007)+'[1]ведомствен.2012'!G145</f>
        <v>21752.800000000003</v>
      </c>
    </row>
    <row r="343" spans="1:9" s="36" customFormat="1" ht="15" customHeight="1" hidden="1">
      <c r="A343" s="286" t="s">
        <v>785</v>
      </c>
      <c r="B343" s="45"/>
      <c r="C343" s="35" t="s">
        <v>1050</v>
      </c>
      <c r="D343" s="35" t="s">
        <v>665</v>
      </c>
      <c r="E343" s="46" t="s">
        <v>786</v>
      </c>
      <c r="F343" s="26"/>
      <c r="G343" s="49">
        <f aca="true" t="shared" si="8" ref="G343:H345">SUM(G344)</f>
        <v>0</v>
      </c>
      <c r="H343" s="49">
        <f t="shared" si="8"/>
        <v>0</v>
      </c>
      <c r="I343" s="24" t="e">
        <f t="shared" si="7"/>
        <v>#DIV/0!</v>
      </c>
    </row>
    <row r="344" spans="1:9" s="36" customFormat="1" ht="42.75" customHeight="1" hidden="1">
      <c r="A344" s="223" t="s">
        <v>651</v>
      </c>
      <c r="B344" s="45"/>
      <c r="C344" s="35" t="s">
        <v>1050</v>
      </c>
      <c r="D344" s="35" t="s">
        <v>665</v>
      </c>
      <c r="E344" s="46" t="s">
        <v>652</v>
      </c>
      <c r="F344" s="26"/>
      <c r="G344" s="49">
        <f t="shared" si="8"/>
        <v>0</v>
      </c>
      <c r="H344" s="49">
        <f t="shared" si="8"/>
        <v>0</v>
      </c>
      <c r="I344" s="24" t="e">
        <f t="shared" si="7"/>
        <v>#DIV/0!</v>
      </c>
    </row>
    <row r="345" spans="1:9" s="36" customFormat="1" ht="28.5" customHeight="1" hidden="1">
      <c r="A345" s="286" t="s">
        <v>862</v>
      </c>
      <c r="B345" s="21"/>
      <c r="C345" s="35" t="s">
        <v>1050</v>
      </c>
      <c r="D345" s="35" t="s">
        <v>665</v>
      </c>
      <c r="E345" s="46" t="s">
        <v>863</v>
      </c>
      <c r="F345" s="26"/>
      <c r="G345" s="49">
        <f t="shared" si="8"/>
        <v>0</v>
      </c>
      <c r="H345" s="49">
        <f t="shared" si="8"/>
        <v>0</v>
      </c>
      <c r="I345" s="24" t="e">
        <f t="shared" si="7"/>
        <v>#DIV/0!</v>
      </c>
    </row>
    <row r="346" spans="1:9" s="36" customFormat="1" ht="15" customHeight="1" hidden="1">
      <c r="A346" s="223" t="s">
        <v>1010</v>
      </c>
      <c r="B346" s="34"/>
      <c r="C346" s="35" t="s">
        <v>1050</v>
      </c>
      <c r="D346" s="35" t="s">
        <v>665</v>
      </c>
      <c r="E346" s="46" t="s">
        <v>863</v>
      </c>
      <c r="F346" s="23" t="s">
        <v>1011</v>
      </c>
      <c r="G346" s="49"/>
      <c r="H346" s="49"/>
      <c r="I346" s="24" t="e">
        <f t="shared" si="7"/>
        <v>#DIV/0!</v>
      </c>
    </row>
    <row r="347" spans="1:9" s="36" customFormat="1" ht="15" customHeight="1" hidden="1">
      <c r="A347" s="231" t="s">
        <v>1046</v>
      </c>
      <c r="B347" s="66"/>
      <c r="C347" s="45" t="s">
        <v>1050</v>
      </c>
      <c r="D347" s="45" t="s">
        <v>665</v>
      </c>
      <c r="E347" s="45" t="s">
        <v>1047</v>
      </c>
      <c r="F347" s="50"/>
      <c r="G347" s="49">
        <f>SUM(G348)</f>
        <v>0</v>
      </c>
      <c r="H347" s="49">
        <f>SUM(H348)</f>
        <v>0</v>
      </c>
      <c r="I347" s="24" t="e">
        <f t="shared" si="7"/>
        <v>#DIV/0!</v>
      </c>
    </row>
    <row r="348" spans="1:9" s="36" customFormat="1" ht="15" customHeight="1" hidden="1">
      <c r="A348" s="223" t="s">
        <v>1010</v>
      </c>
      <c r="B348" s="66"/>
      <c r="C348" s="45" t="s">
        <v>1050</v>
      </c>
      <c r="D348" s="45" t="s">
        <v>665</v>
      </c>
      <c r="E348" s="45" t="s">
        <v>1047</v>
      </c>
      <c r="F348" s="23" t="s">
        <v>1011</v>
      </c>
      <c r="G348" s="49">
        <f>SUM(G349:G352)</f>
        <v>0</v>
      </c>
      <c r="H348" s="49">
        <f>SUM(H349:H352)</f>
        <v>0</v>
      </c>
      <c r="I348" s="24" t="e">
        <f t="shared" si="7"/>
        <v>#DIV/0!</v>
      </c>
    </row>
    <row r="349" spans="1:9" s="36" customFormat="1" ht="28.5" customHeight="1" hidden="1">
      <c r="A349" s="223" t="s">
        <v>864</v>
      </c>
      <c r="B349" s="66"/>
      <c r="C349" s="46" t="s">
        <v>1050</v>
      </c>
      <c r="D349" s="46" t="s">
        <v>665</v>
      </c>
      <c r="E349" s="46" t="s">
        <v>865</v>
      </c>
      <c r="F349" s="23" t="s">
        <v>1011</v>
      </c>
      <c r="G349" s="49"/>
      <c r="H349" s="49"/>
      <c r="I349" s="24" t="e">
        <f t="shared" si="7"/>
        <v>#DIV/0!</v>
      </c>
    </row>
    <row r="350" spans="1:9" s="36" customFormat="1" ht="28.5" customHeight="1" hidden="1">
      <c r="A350" s="231" t="s">
        <v>866</v>
      </c>
      <c r="B350" s="66"/>
      <c r="C350" s="46" t="s">
        <v>1050</v>
      </c>
      <c r="D350" s="46" t="s">
        <v>665</v>
      </c>
      <c r="E350" s="46" t="s">
        <v>867</v>
      </c>
      <c r="F350" s="23" t="s">
        <v>1011</v>
      </c>
      <c r="G350" s="49"/>
      <c r="H350" s="49"/>
      <c r="I350" s="24" t="e">
        <f t="shared" si="7"/>
        <v>#DIV/0!</v>
      </c>
    </row>
    <row r="351" spans="1:9" s="36" customFormat="1" ht="28.5" customHeight="1" hidden="1">
      <c r="A351" s="231" t="s">
        <v>868</v>
      </c>
      <c r="B351" s="66"/>
      <c r="C351" s="46" t="s">
        <v>1050</v>
      </c>
      <c r="D351" s="46" t="s">
        <v>665</v>
      </c>
      <c r="E351" s="46" t="s">
        <v>869</v>
      </c>
      <c r="F351" s="23" t="s">
        <v>1011</v>
      </c>
      <c r="G351" s="49"/>
      <c r="H351" s="49"/>
      <c r="I351" s="24" t="e">
        <f t="shared" si="7"/>
        <v>#DIV/0!</v>
      </c>
    </row>
    <row r="352" spans="1:9" s="36" customFormat="1" ht="28.5" customHeight="1" hidden="1">
      <c r="A352" s="273" t="s">
        <v>870</v>
      </c>
      <c r="B352" s="66"/>
      <c r="C352" s="46" t="s">
        <v>1050</v>
      </c>
      <c r="D352" s="46" t="s">
        <v>665</v>
      </c>
      <c r="E352" s="46" t="s">
        <v>871</v>
      </c>
      <c r="F352" s="23"/>
      <c r="G352" s="49">
        <f>SUM(G353)</f>
        <v>0</v>
      </c>
      <c r="H352" s="49">
        <f>SUM(H353)</f>
        <v>0</v>
      </c>
      <c r="I352" s="24" t="e">
        <f t="shared" si="7"/>
        <v>#DIV/0!</v>
      </c>
    </row>
    <row r="353" spans="1:9" s="36" customFormat="1" ht="28.5" customHeight="1" hidden="1">
      <c r="A353" s="231" t="s">
        <v>862</v>
      </c>
      <c r="B353" s="66"/>
      <c r="C353" s="46" t="s">
        <v>1050</v>
      </c>
      <c r="D353" s="46" t="s">
        <v>665</v>
      </c>
      <c r="E353" s="46" t="s">
        <v>872</v>
      </c>
      <c r="F353" s="23"/>
      <c r="G353" s="49">
        <f>SUM(G354)</f>
        <v>0</v>
      </c>
      <c r="H353" s="49">
        <f>SUM(H354)</f>
        <v>0</v>
      </c>
      <c r="I353" s="24" t="e">
        <f t="shared" si="7"/>
        <v>#DIV/0!</v>
      </c>
    </row>
    <row r="354" spans="1:9" s="36" customFormat="1" ht="15" customHeight="1" hidden="1">
      <c r="A354" s="223" t="s">
        <v>1010</v>
      </c>
      <c r="B354" s="66"/>
      <c r="C354" s="46" t="s">
        <v>1050</v>
      </c>
      <c r="D354" s="46" t="s">
        <v>665</v>
      </c>
      <c r="E354" s="46" t="s">
        <v>872</v>
      </c>
      <c r="F354" s="23" t="s">
        <v>1011</v>
      </c>
      <c r="G354" s="49"/>
      <c r="H354" s="49"/>
      <c r="I354" s="24" t="e">
        <f t="shared" si="7"/>
        <v>#DIV/0!</v>
      </c>
    </row>
    <row r="355" spans="1:10" ht="15" hidden="1">
      <c r="A355" s="226" t="s">
        <v>1046</v>
      </c>
      <c r="B355" s="34"/>
      <c r="C355" s="35" t="s">
        <v>1050</v>
      </c>
      <c r="D355" s="35" t="s">
        <v>665</v>
      </c>
      <c r="E355" s="35" t="s">
        <v>1047</v>
      </c>
      <c r="F355" s="23"/>
      <c r="G355" s="49">
        <f>SUM(G356)</f>
        <v>0</v>
      </c>
      <c r="H355" s="24"/>
      <c r="I355" s="24"/>
      <c r="J355"/>
    </row>
    <row r="356" spans="1:10" ht="15" hidden="1">
      <c r="A356" s="220"/>
      <c r="B356" s="34"/>
      <c r="C356" s="35" t="s">
        <v>1050</v>
      </c>
      <c r="D356" s="35" t="s">
        <v>665</v>
      </c>
      <c r="E356" s="35" t="s">
        <v>1047</v>
      </c>
      <c r="F356" s="26"/>
      <c r="G356" s="49">
        <f>SUM(G357)</f>
        <v>0</v>
      </c>
      <c r="H356" s="24"/>
      <c r="I356" s="24"/>
      <c r="J356"/>
    </row>
    <row r="357" spans="1:10" ht="15" hidden="1">
      <c r="A357" s="220" t="s">
        <v>1010</v>
      </c>
      <c r="B357" s="34"/>
      <c r="C357" s="35" t="s">
        <v>1050</v>
      </c>
      <c r="D357" s="35" t="s">
        <v>665</v>
      </c>
      <c r="E357" s="35" t="s">
        <v>1047</v>
      </c>
      <c r="F357" s="26" t="s">
        <v>1011</v>
      </c>
      <c r="G357" s="49">
        <f>6000-6000</f>
        <v>0</v>
      </c>
      <c r="H357" s="24"/>
      <c r="I357" s="24"/>
      <c r="J357"/>
    </row>
    <row r="358" spans="1:10" ht="15" hidden="1">
      <c r="A358" s="223" t="s">
        <v>796</v>
      </c>
      <c r="B358" s="34"/>
      <c r="C358" s="35" t="s">
        <v>1050</v>
      </c>
      <c r="D358" s="35" t="s">
        <v>665</v>
      </c>
      <c r="E358" s="35" t="s">
        <v>861</v>
      </c>
      <c r="F358" s="26" t="s">
        <v>797</v>
      </c>
      <c r="G358" s="49"/>
      <c r="H358" s="24"/>
      <c r="I358" s="24"/>
      <c r="J358">
        <f>SUM('[1]ведомствен.2012'!G144)</f>
        <v>0</v>
      </c>
    </row>
    <row r="359" spans="1:10" ht="36.75" customHeight="1">
      <c r="A359" s="222" t="s">
        <v>811</v>
      </c>
      <c r="B359" s="34"/>
      <c r="C359" s="35" t="s">
        <v>1050</v>
      </c>
      <c r="D359" s="35" t="s">
        <v>665</v>
      </c>
      <c r="E359" s="35" t="s">
        <v>1086</v>
      </c>
      <c r="F359" s="23"/>
      <c r="G359" s="49">
        <f>SUM(G360+G362)</f>
        <v>15082.1</v>
      </c>
      <c r="H359" s="24"/>
      <c r="I359" s="24"/>
      <c r="J359"/>
    </row>
    <row r="360" spans="1:10" ht="28.5">
      <c r="A360" s="223" t="s">
        <v>1232</v>
      </c>
      <c r="B360" s="34"/>
      <c r="C360" s="35" t="s">
        <v>1050</v>
      </c>
      <c r="D360" s="35" t="s">
        <v>665</v>
      </c>
      <c r="E360" s="35" t="s">
        <v>1087</v>
      </c>
      <c r="F360" s="23"/>
      <c r="G360" s="49">
        <f>SUM(G361)</f>
        <v>14946</v>
      </c>
      <c r="H360" s="24"/>
      <c r="I360" s="24"/>
      <c r="J360"/>
    </row>
    <row r="361" spans="1:10" ht="42.75">
      <c r="A361" s="223" t="s">
        <v>1105</v>
      </c>
      <c r="B361" s="34"/>
      <c r="C361" s="35" t="s">
        <v>1050</v>
      </c>
      <c r="D361" s="35" t="s">
        <v>665</v>
      </c>
      <c r="E361" s="35" t="s">
        <v>1087</v>
      </c>
      <c r="F361" s="23" t="s">
        <v>897</v>
      </c>
      <c r="G361" s="49">
        <v>14946</v>
      </c>
      <c r="H361" s="24"/>
      <c r="I361" s="24"/>
      <c r="J361">
        <f>SUM('[1]ведомствен.2012'!G148)</f>
        <v>14946</v>
      </c>
    </row>
    <row r="362" spans="1:9" s="36" customFormat="1" ht="45" customHeight="1">
      <c r="A362" s="222" t="s">
        <v>1112</v>
      </c>
      <c r="B362" s="34"/>
      <c r="C362" s="35" t="s">
        <v>1050</v>
      </c>
      <c r="D362" s="35" t="s">
        <v>665</v>
      </c>
      <c r="E362" s="35" t="s">
        <v>1118</v>
      </c>
      <c r="F362" s="26"/>
      <c r="G362" s="24">
        <f>SUM(G363)+G365</f>
        <v>136.1</v>
      </c>
      <c r="H362" s="24"/>
      <c r="I362" s="24"/>
    </row>
    <row r="363" spans="1:9" s="36" customFormat="1" ht="33" customHeight="1">
      <c r="A363" s="228" t="s">
        <v>1113</v>
      </c>
      <c r="B363" s="34"/>
      <c r="C363" s="35" t="s">
        <v>1050</v>
      </c>
      <c r="D363" s="35" t="s">
        <v>665</v>
      </c>
      <c r="E363" s="35" t="s">
        <v>1114</v>
      </c>
      <c r="F363" s="26"/>
      <c r="G363" s="24">
        <f>SUM(G364)</f>
        <v>47.8</v>
      </c>
      <c r="H363" s="24"/>
      <c r="I363" s="24"/>
    </row>
    <row r="364" spans="1:10" s="36" customFormat="1" ht="28.5">
      <c r="A364" s="228" t="s">
        <v>1126</v>
      </c>
      <c r="B364" s="34"/>
      <c r="C364" s="35" t="s">
        <v>1050</v>
      </c>
      <c r="D364" s="35" t="s">
        <v>665</v>
      </c>
      <c r="E364" s="35" t="s">
        <v>1114</v>
      </c>
      <c r="F364" s="26" t="s">
        <v>978</v>
      </c>
      <c r="G364" s="24">
        <v>47.8</v>
      </c>
      <c r="H364" s="24"/>
      <c r="I364" s="24"/>
      <c r="J364" s="36">
        <f>SUM('[1]ведомствен.2012'!G491)</f>
        <v>47.8</v>
      </c>
    </row>
    <row r="365" spans="1:9" s="36" customFormat="1" ht="28.5">
      <c r="A365" s="222" t="s">
        <v>578</v>
      </c>
      <c r="B365" s="21"/>
      <c r="C365" s="35" t="s">
        <v>1050</v>
      </c>
      <c r="D365" s="35" t="s">
        <v>665</v>
      </c>
      <c r="E365" s="22" t="s">
        <v>701</v>
      </c>
      <c r="F365" s="23"/>
      <c r="G365" s="24">
        <f>SUM(G366)</f>
        <v>88.3</v>
      </c>
      <c r="H365" s="24"/>
      <c r="I365" s="24"/>
    </row>
    <row r="366" spans="1:10" s="36" customFormat="1" ht="28.5">
      <c r="A366" s="222" t="s">
        <v>1126</v>
      </c>
      <c r="B366" s="21"/>
      <c r="C366" s="35" t="s">
        <v>1050</v>
      </c>
      <c r="D366" s="35" t="s">
        <v>665</v>
      </c>
      <c r="E366" s="22" t="s">
        <v>701</v>
      </c>
      <c r="F366" s="23" t="s">
        <v>978</v>
      </c>
      <c r="G366" s="24">
        <v>88.3</v>
      </c>
      <c r="H366" s="24"/>
      <c r="I366" s="24"/>
      <c r="J366" s="36">
        <f>SUM('[1]ведомствен.2012'!G151)</f>
        <v>88.3</v>
      </c>
    </row>
    <row r="367" spans="1:9" s="36" customFormat="1" ht="15">
      <c r="A367" s="239" t="s">
        <v>785</v>
      </c>
      <c r="B367" s="34"/>
      <c r="C367" s="35" t="s">
        <v>1050</v>
      </c>
      <c r="D367" s="35" t="s">
        <v>665</v>
      </c>
      <c r="E367" s="35" t="s">
        <v>786</v>
      </c>
      <c r="F367" s="26"/>
      <c r="G367" s="24">
        <f>SUM(G368)</f>
        <v>114500</v>
      </c>
      <c r="H367" s="24"/>
      <c r="I367" s="24"/>
    </row>
    <row r="368" spans="1:9" s="36" customFormat="1" ht="42.75">
      <c r="A368" s="228" t="s">
        <v>716</v>
      </c>
      <c r="B368" s="34"/>
      <c r="C368" s="35" t="s">
        <v>1050</v>
      </c>
      <c r="D368" s="35" t="s">
        <v>665</v>
      </c>
      <c r="E368" s="35" t="s">
        <v>717</v>
      </c>
      <c r="F368" s="26"/>
      <c r="G368" s="24">
        <f>SUM(G369)</f>
        <v>114500</v>
      </c>
      <c r="H368" s="24"/>
      <c r="I368" s="24"/>
    </row>
    <row r="369" spans="1:10" s="36" customFormat="1" ht="15">
      <c r="A369" s="228" t="s">
        <v>917</v>
      </c>
      <c r="B369" s="34"/>
      <c r="C369" s="35" t="s">
        <v>1050</v>
      </c>
      <c r="D369" s="35" t="s">
        <v>665</v>
      </c>
      <c r="E369" s="35" t="s">
        <v>717</v>
      </c>
      <c r="F369" s="26" t="s">
        <v>1054</v>
      </c>
      <c r="G369" s="24">
        <v>114500</v>
      </c>
      <c r="H369" s="24"/>
      <c r="I369" s="24"/>
      <c r="J369" s="36">
        <f>SUM('[1]ведомствен.2012'!G494)+'[1]ведомствен.2012'!G154+'[1]ведомствен.2012'!G1010</f>
        <v>114500</v>
      </c>
    </row>
    <row r="370" spans="1:9" s="36" customFormat="1" ht="15">
      <c r="A370" s="257" t="s">
        <v>1046</v>
      </c>
      <c r="B370" s="66"/>
      <c r="C370" s="46" t="s">
        <v>1050</v>
      </c>
      <c r="D370" s="46" t="s">
        <v>665</v>
      </c>
      <c r="E370" s="46" t="s">
        <v>1047</v>
      </c>
      <c r="F370" s="47"/>
      <c r="G370" s="49">
        <f>SUM(G371)</f>
        <v>48680.399999999994</v>
      </c>
      <c r="H370" s="24"/>
      <c r="I370" s="24"/>
    </row>
    <row r="371" spans="1:9" s="36" customFormat="1" ht="42.75">
      <c r="A371" s="222" t="s">
        <v>669</v>
      </c>
      <c r="B371" s="66"/>
      <c r="C371" s="46" t="s">
        <v>1050</v>
      </c>
      <c r="D371" s="46" t="s">
        <v>665</v>
      </c>
      <c r="E371" s="46" t="s">
        <v>670</v>
      </c>
      <c r="F371" s="23"/>
      <c r="G371" s="49">
        <f>SUM(G372+G373)</f>
        <v>48680.399999999994</v>
      </c>
      <c r="H371" s="24"/>
      <c r="I371" s="24"/>
    </row>
    <row r="372" spans="1:10" s="36" customFormat="1" ht="15">
      <c r="A372" s="222" t="s">
        <v>796</v>
      </c>
      <c r="B372" s="66"/>
      <c r="C372" s="46" t="s">
        <v>1050</v>
      </c>
      <c r="D372" s="46" t="s">
        <v>665</v>
      </c>
      <c r="E372" s="46" t="s">
        <v>670</v>
      </c>
      <c r="F372" s="23" t="s">
        <v>797</v>
      </c>
      <c r="G372" s="49">
        <v>27559.8</v>
      </c>
      <c r="H372" s="24"/>
      <c r="I372" s="24"/>
      <c r="J372" s="36">
        <f>SUM('[1]ведомствен.2012'!G161)</f>
        <v>27559.8</v>
      </c>
    </row>
    <row r="373" spans="1:10" s="36" customFormat="1" ht="15">
      <c r="A373" s="222" t="s">
        <v>1010</v>
      </c>
      <c r="B373" s="66"/>
      <c r="C373" s="46" t="s">
        <v>1050</v>
      </c>
      <c r="D373" s="46" t="s">
        <v>665</v>
      </c>
      <c r="E373" s="46" t="s">
        <v>670</v>
      </c>
      <c r="F373" s="23" t="s">
        <v>1011</v>
      </c>
      <c r="G373" s="49">
        <v>21120.6</v>
      </c>
      <c r="H373" s="24"/>
      <c r="I373" s="24"/>
      <c r="J373" s="36">
        <f>SUM('[1]ведомствен.2012'!G162)</f>
        <v>21120.6</v>
      </c>
    </row>
    <row r="374" spans="1:9" s="36" customFormat="1" ht="15" hidden="1">
      <c r="A374" s="228"/>
      <c r="B374" s="34"/>
      <c r="C374" s="35"/>
      <c r="D374" s="35"/>
      <c r="E374" s="35"/>
      <c r="F374" s="26"/>
      <c r="G374" s="24"/>
      <c r="H374" s="24"/>
      <c r="I374" s="24"/>
    </row>
    <row r="375" spans="1:10" ht="15" customHeight="1" hidden="1">
      <c r="A375" s="223" t="s">
        <v>1010</v>
      </c>
      <c r="B375" s="21"/>
      <c r="C375" s="35" t="s">
        <v>1050</v>
      </c>
      <c r="D375" s="35" t="s">
        <v>1013</v>
      </c>
      <c r="E375" s="22" t="s">
        <v>1237</v>
      </c>
      <c r="F375" s="27" t="s">
        <v>1011</v>
      </c>
      <c r="G375" s="24"/>
      <c r="H375" s="24">
        <v>5048</v>
      </c>
      <c r="I375" s="24" t="e">
        <f>SUM(H375/G375*100)</f>
        <v>#DIV/0!</v>
      </c>
      <c r="J375"/>
    </row>
    <row r="376" spans="1:10" ht="15" customHeight="1">
      <c r="A376" s="228" t="s">
        <v>873</v>
      </c>
      <c r="B376" s="21"/>
      <c r="C376" s="35" t="s">
        <v>1050</v>
      </c>
      <c r="D376" s="35" t="s">
        <v>1013</v>
      </c>
      <c r="E376" s="22"/>
      <c r="F376" s="27"/>
      <c r="G376" s="24">
        <f>SUM(G377,G401)</f>
        <v>69552.6</v>
      </c>
      <c r="H376" s="24"/>
      <c r="I376" s="24"/>
      <c r="J376"/>
    </row>
    <row r="377" spans="1:9" s="36" customFormat="1" ht="15">
      <c r="A377" s="220" t="s">
        <v>873</v>
      </c>
      <c r="B377" s="45"/>
      <c r="C377" s="35" t="s">
        <v>1050</v>
      </c>
      <c r="D377" s="35" t="s">
        <v>1013</v>
      </c>
      <c r="E377" s="46" t="s">
        <v>954</v>
      </c>
      <c r="F377" s="47"/>
      <c r="G377" s="24">
        <f>SUM(G378+G383+G388+G391)+G386</f>
        <v>68612.3</v>
      </c>
      <c r="H377" s="24">
        <f>SUM(H378+H383+H388+H391)+H386</f>
        <v>71087.2</v>
      </c>
      <c r="I377" s="24">
        <f t="shared" si="7"/>
        <v>103.60707919717018</v>
      </c>
    </row>
    <row r="378" spans="1:9" s="36" customFormat="1" ht="15">
      <c r="A378" s="231" t="s">
        <v>955</v>
      </c>
      <c r="B378" s="66"/>
      <c r="C378" s="35" t="s">
        <v>1050</v>
      </c>
      <c r="D378" s="35" t="s">
        <v>1013</v>
      </c>
      <c r="E378" s="46" t="s">
        <v>956</v>
      </c>
      <c r="F378" s="47"/>
      <c r="G378" s="24">
        <f>SUM(G379:G381)</f>
        <v>38922.8</v>
      </c>
      <c r="H378" s="24">
        <f>SUM(H380:H381)</f>
        <v>20816.7</v>
      </c>
      <c r="I378" s="24">
        <f t="shared" si="7"/>
        <v>53.48202082070149</v>
      </c>
    </row>
    <row r="379" spans="1:10" s="83" customFormat="1" ht="11.25" customHeight="1" hidden="1">
      <c r="A379" s="223" t="s">
        <v>796</v>
      </c>
      <c r="B379" s="66"/>
      <c r="C379" s="35" t="s">
        <v>1050</v>
      </c>
      <c r="D379" s="35" t="s">
        <v>1013</v>
      </c>
      <c r="E379" s="46" t="s">
        <v>956</v>
      </c>
      <c r="F379" s="47" t="s">
        <v>797</v>
      </c>
      <c r="G379" s="24"/>
      <c r="H379" s="24"/>
      <c r="I379" s="24"/>
      <c r="J379" s="160"/>
    </row>
    <row r="380" spans="1:10" s="36" customFormat="1" ht="13.5" customHeight="1">
      <c r="A380" s="223" t="s">
        <v>1010</v>
      </c>
      <c r="B380" s="66"/>
      <c r="C380" s="35" t="s">
        <v>1050</v>
      </c>
      <c r="D380" s="35" t="s">
        <v>1013</v>
      </c>
      <c r="E380" s="46" t="s">
        <v>956</v>
      </c>
      <c r="F380" s="47" t="s">
        <v>1011</v>
      </c>
      <c r="G380" s="24">
        <v>38922.8</v>
      </c>
      <c r="H380" s="24">
        <v>20816.7</v>
      </c>
      <c r="I380" s="24">
        <f t="shared" si="7"/>
        <v>53.48202082070149</v>
      </c>
      <c r="J380" s="160">
        <f>SUM('[1]ведомствен.2012'!G172)</f>
        <v>38922.8</v>
      </c>
    </row>
    <row r="381" spans="1:9" s="36" customFormat="1" ht="10.5" customHeight="1" hidden="1">
      <c r="A381" s="223" t="s">
        <v>272</v>
      </c>
      <c r="B381" s="66"/>
      <c r="C381" s="35" t="s">
        <v>1050</v>
      </c>
      <c r="D381" s="35" t="s">
        <v>1013</v>
      </c>
      <c r="E381" s="46" t="s">
        <v>957</v>
      </c>
      <c r="F381" s="47"/>
      <c r="G381" s="24">
        <f>SUM(G382)</f>
        <v>0</v>
      </c>
      <c r="H381" s="24">
        <f>SUM(H382)</f>
        <v>0</v>
      </c>
      <c r="I381" s="24" t="e">
        <f t="shared" si="7"/>
        <v>#DIV/0!</v>
      </c>
    </row>
    <row r="382" spans="1:9" s="36" customFormat="1" ht="15" customHeight="1" hidden="1">
      <c r="A382" s="223" t="s">
        <v>1010</v>
      </c>
      <c r="B382" s="66"/>
      <c r="C382" s="35" t="s">
        <v>1050</v>
      </c>
      <c r="D382" s="35" t="s">
        <v>1013</v>
      </c>
      <c r="E382" s="46" t="s">
        <v>957</v>
      </c>
      <c r="F382" s="47" t="s">
        <v>1011</v>
      </c>
      <c r="G382" s="24"/>
      <c r="H382" s="24"/>
      <c r="I382" s="24" t="e">
        <f t="shared" si="7"/>
        <v>#DIV/0!</v>
      </c>
    </row>
    <row r="383" spans="1:9" s="36" customFormat="1" ht="42.75" hidden="1">
      <c r="A383" s="231" t="s">
        <v>847</v>
      </c>
      <c r="B383" s="66"/>
      <c r="C383" s="35" t="s">
        <v>1050</v>
      </c>
      <c r="D383" s="35" t="s">
        <v>1013</v>
      </c>
      <c r="E383" s="46" t="s">
        <v>848</v>
      </c>
      <c r="F383" s="47"/>
      <c r="G383" s="24">
        <f>SUM(G385+G384)</f>
        <v>0</v>
      </c>
      <c r="H383" s="24">
        <f>SUM(H385)</f>
        <v>43097.5</v>
      </c>
      <c r="I383" s="24" t="e">
        <f t="shared" si="7"/>
        <v>#DIV/0!</v>
      </c>
    </row>
    <row r="384" spans="1:10" s="36" customFormat="1" ht="15" hidden="1">
      <c r="A384" s="223" t="s">
        <v>1053</v>
      </c>
      <c r="B384" s="66"/>
      <c r="C384" s="35" t="s">
        <v>1050</v>
      </c>
      <c r="D384" s="35" t="s">
        <v>1013</v>
      </c>
      <c r="E384" s="46" t="s">
        <v>848</v>
      </c>
      <c r="F384" s="47" t="s">
        <v>1054</v>
      </c>
      <c r="G384" s="24"/>
      <c r="H384" s="24"/>
      <c r="I384" s="24"/>
      <c r="J384" s="160">
        <f>SUM('[1]ведомствен.2012'!G176)</f>
        <v>0</v>
      </c>
    </row>
    <row r="385" spans="1:10" s="36" customFormat="1" ht="14.25" customHeight="1" hidden="1">
      <c r="A385" s="223" t="s">
        <v>1010</v>
      </c>
      <c r="B385" s="66"/>
      <c r="C385" s="35" t="s">
        <v>1050</v>
      </c>
      <c r="D385" s="35" t="s">
        <v>1013</v>
      </c>
      <c r="E385" s="46" t="s">
        <v>848</v>
      </c>
      <c r="F385" s="47" t="s">
        <v>1011</v>
      </c>
      <c r="G385" s="24"/>
      <c r="H385" s="24">
        <v>43097.5</v>
      </c>
      <c r="I385" s="24" t="e">
        <f t="shared" si="7"/>
        <v>#DIV/0!</v>
      </c>
      <c r="J385" s="160">
        <f>SUM('[1]ведомствен.2012'!G177)</f>
        <v>0</v>
      </c>
    </row>
    <row r="386" spans="1:9" s="36" customFormat="1" ht="12.75" customHeight="1" hidden="1">
      <c r="A386" s="223" t="s">
        <v>849</v>
      </c>
      <c r="B386" s="66"/>
      <c r="C386" s="35" t="s">
        <v>1050</v>
      </c>
      <c r="D386" s="35" t="s">
        <v>1013</v>
      </c>
      <c r="E386" s="46" t="s">
        <v>850</v>
      </c>
      <c r="F386" s="47"/>
      <c r="G386" s="24">
        <f>SUM(G387)</f>
        <v>0</v>
      </c>
      <c r="H386" s="24">
        <f>SUM(H387)</f>
        <v>482.9</v>
      </c>
      <c r="I386" s="24" t="e">
        <f t="shared" si="7"/>
        <v>#DIV/0!</v>
      </c>
    </row>
    <row r="387" spans="1:10" s="36" customFormat="1" ht="15.75" customHeight="1" hidden="1">
      <c r="A387" s="223" t="s">
        <v>1010</v>
      </c>
      <c r="B387" s="66"/>
      <c r="C387" s="35" t="s">
        <v>1050</v>
      </c>
      <c r="D387" s="35" t="s">
        <v>1013</v>
      </c>
      <c r="E387" s="46" t="s">
        <v>850</v>
      </c>
      <c r="F387" s="47" t="s">
        <v>1011</v>
      </c>
      <c r="G387" s="24"/>
      <c r="H387" s="24">
        <v>482.9</v>
      </c>
      <c r="I387" s="24" t="e">
        <f t="shared" si="7"/>
        <v>#DIV/0!</v>
      </c>
      <c r="J387" s="162"/>
    </row>
    <row r="388" spans="1:9" s="36" customFormat="1" ht="15">
      <c r="A388" s="231" t="s">
        <v>851</v>
      </c>
      <c r="B388" s="66"/>
      <c r="C388" s="35" t="s">
        <v>1050</v>
      </c>
      <c r="D388" s="35" t="s">
        <v>1013</v>
      </c>
      <c r="E388" s="45" t="s">
        <v>852</v>
      </c>
      <c r="F388" s="50"/>
      <c r="G388" s="24">
        <f>SUM(G390+G389)</f>
        <v>2970</v>
      </c>
      <c r="H388" s="24">
        <f>SUM(H390)</f>
        <v>489.8</v>
      </c>
      <c r="I388" s="24">
        <f t="shared" si="7"/>
        <v>16.491582491582495</v>
      </c>
    </row>
    <row r="389" spans="1:10" ht="16.5" customHeight="1">
      <c r="A389" s="223" t="s">
        <v>1010</v>
      </c>
      <c r="B389" s="66"/>
      <c r="C389" s="35" t="s">
        <v>1050</v>
      </c>
      <c r="D389" s="35" t="s">
        <v>1013</v>
      </c>
      <c r="E389" s="46" t="s">
        <v>852</v>
      </c>
      <c r="F389" s="50" t="s">
        <v>1011</v>
      </c>
      <c r="G389" s="24">
        <v>2970</v>
      </c>
      <c r="H389" s="24"/>
      <c r="I389" s="24"/>
      <c r="J389" s="160">
        <f>SUM('[1]ведомствен.2012'!G182)</f>
        <v>2970</v>
      </c>
    </row>
    <row r="390" spans="1:9" s="36" customFormat="1" ht="17.25" customHeight="1" hidden="1">
      <c r="A390" s="223" t="s">
        <v>1010</v>
      </c>
      <c r="B390" s="66"/>
      <c r="C390" s="35" t="s">
        <v>1050</v>
      </c>
      <c r="D390" s="35" t="s">
        <v>1013</v>
      </c>
      <c r="E390" s="45" t="s">
        <v>852</v>
      </c>
      <c r="F390" s="50" t="s">
        <v>1011</v>
      </c>
      <c r="G390" s="24"/>
      <c r="H390" s="24">
        <v>489.8</v>
      </c>
      <c r="I390" s="24" t="e">
        <f t="shared" si="7"/>
        <v>#DIV/0!</v>
      </c>
    </row>
    <row r="391" spans="1:9" s="36" customFormat="1" ht="28.5">
      <c r="A391" s="231" t="s">
        <v>853</v>
      </c>
      <c r="B391" s="66"/>
      <c r="C391" s="35" t="s">
        <v>1050</v>
      </c>
      <c r="D391" s="35" t="s">
        <v>1013</v>
      </c>
      <c r="E391" s="46" t="s">
        <v>854</v>
      </c>
      <c r="F391" s="50"/>
      <c r="G391" s="24">
        <f>SUM(G393+G392)</f>
        <v>26719.5</v>
      </c>
      <c r="H391" s="24">
        <f>SUM(H393)</f>
        <v>6200.3</v>
      </c>
      <c r="I391" s="24">
        <f t="shared" si="7"/>
        <v>23.205149796964765</v>
      </c>
    </row>
    <row r="392" spans="1:10" s="145" customFormat="1" ht="15">
      <c r="A392" s="223" t="s">
        <v>1010</v>
      </c>
      <c r="B392" s="66"/>
      <c r="C392" s="35" t="s">
        <v>1050</v>
      </c>
      <c r="D392" s="35" t="s">
        <v>1013</v>
      </c>
      <c r="E392" s="46" t="s">
        <v>854</v>
      </c>
      <c r="F392" s="47" t="s">
        <v>1011</v>
      </c>
      <c r="G392" s="24">
        <v>26719.5</v>
      </c>
      <c r="H392" s="24"/>
      <c r="I392" s="24"/>
      <c r="J392" s="162">
        <f>SUM('[1]ведомствен.2012'!G184)</f>
        <v>26719.5</v>
      </c>
    </row>
    <row r="393" spans="1:10" s="36" customFormat="1" ht="13.5" customHeight="1" hidden="1">
      <c r="A393" s="223" t="s">
        <v>1010</v>
      </c>
      <c r="B393" s="66"/>
      <c r="C393" s="35" t="s">
        <v>1050</v>
      </c>
      <c r="D393" s="35" t="s">
        <v>1013</v>
      </c>
      <c r="E393" s="45" t="s">
        <v>854</v>
      </c>
      <c r="F393" s="50" t="s">
        <v>1011</v>
      </c>
      <c r="G393" s="24"/>
      <c r="H393" s="24">
        <v>6200.3</v>
      </c>
      <c r="I393" s="24" t="e">
        <f t="shared" si="7"/>
        <v>#DIV/0!</v>
      </c>
      <c r="J393" s="162"/>
    </row>
    <row r="394" spans="1:9" s="36" customFormat="1" ht="15" hidden="1">
      <c r="A394" s="231" t="s">
        <v>1046</v>
      </c>
      <c r="B394" s="66"/>
      <c r="C394" s="35" t="s">
        <v>1050</v>
      </c>
      <c r="D394" s="35" t="s">
        <v>1013</v>
      </c>
      <c r="E394" s="45" t="s">
        <v>1047</v>
      </c>
      <c r="F394" s="50"/>
      <c r="G394" s="24">
        <f>SUM(G395,G399)</f>
        <v>0</v>
      </c>
      <c r="H394" s="24">
        <f>SUM(H395)</f>
        <v>395.4</v>
      </c>
      <c r="I394" s="24" t="e">
        <f t="shared" si="7"/>
        <v>#DIV/0!</v>
      </c>
    </row>
    <row r="395" spans="1:9" s="36" customFormat="1" ht="29.25" customHeight="1" hidden="1">
      <c r="A395" s="223" t="s">
        <v>857</v>
      </c>
      <c r="B395" s="66"/>
      <c r="C395" s="35" t="s">
        <v>1050</v>
      </c>
      <c r="D395" s="35" t="s">
        <v>1013</v>
      </c>
      <c r="E395" s="46" t="s">
        <v>865</v>
      </c>
      <c r="F395" s="50"/>
      <c r="G395" s="24">
        <f>SUM(G396:G398)</f>
        <v>0</v>
      </c>
      <c r="H395" s="24">
        <f>SUM(H396:H398)</f>
        <v>395.4</v>
      </c>
      <c r="I395" s="24" t="e">
        <f t="shared" si="7"/>
        <v>#DIV/0!</v>
      </c>
    </row>
    <row r="396" spans="1:9" s="60" customFormat="1" ht="36.75" customHeight="1" hidden="1">
      <c r="A396" s="231" t="s">
        <v>855</v>
      </c>
      <c r="B396" s="67"/>
      <c r="C396" s="35" t="s">
        <v>1050</v>
      </c>
      <c r="D396" s="35" t="s">
        <v>1013</v>
      </c>
      <c r="E396" s="46" t="s">
        <v>856</v>
      </c>
      <c r="F396" s="47" t="s">
        <v>1011</v>
      </c>
      <c r="G396" s="49"/>
      <c r="H396" s="49"/>
      <c r="I396" s="24" t="e">
        <f t="shared" si="7"/>
        <v>#DIV/0!</v>
      </c>
    </row>
    <row r="397" spans="1:9" s="60" customFormat="1" ht="23.25" customHeight="1" hidden="1">
      <c r="A397" s="223" t="s">
        <v>1010</v>
      </c>
      <c r="B397" s="66"/>
      <c r="C397" s="35" t="s">
        <v>1050</v>
      </c>
      <c r="D397" s="35" t="s">
        <v>1013</v>
      </c>
      <c r="E397" s="46" t="s">
        <v>865</v>
      </c>
      <c r="F397" s="23" t="s">
        <v>1011</v>
      </c>
      <c r="G397" s="49"/>
      <c r="H397" s="49">
        <v>395.4</v>
      </c>
      <c r="I397" s="24" t="e">
        <f t="shared" si="7"/>
        <v>#DIV/0!</v>
      </c>
    </row>
    <row r="398" spans="1:9" s="60" customFormat="1" ht="12" customHeight="1" hidden="1">
      <c r="A398" s="273" t="s">
        <v>911</v>
      </c>
      <c r="B398" s="67"/>
      <c r="C398" s="35" t="s">
        <v>1050</v>
      </c>
      <c r="D398" s="35" t="s">
        <v>1013</v>
      </c>
      <c r="E398" s="46" t="s">
        <v>912</v>
      </c>
      <c r="F398" s="47" t="s">
        <v>1011</v>
      </c>
      <c r="G398" s="49"/>
      <c r="H398" s="49"/>
      <c r="I398" s="24" t="e">
        <f t="shared" si="7"/>
        <v>#DIV/0!</v>
      </c>
    </row>
    <row r="399" spans="1:10" ht="28.5" hidden="1">
      <c r="A399" s="220" t="s">
        <v>840</v>
      </c>
      <c r="B399" s="21"/>
      <c r="C399" s="31" t="s">
        <v>1050</v>
      </c>
      <c r="D399" s="31" t="s">
        <v>1013</v>
      </c>
      <c r="E399" s="31" t="s">
        <v>596</v>
      </c>
      <c r="F399" s="26"/>
      <c r="G399" s="49">
        <f>SUM(G400)</f>
        <v>0</v>
      </c>
      <c r="H399" s="49"/>
      <c r="I399" s="24"/>
      <c r="J399"/>
    </row>
    <row r="400" spans="1:10" ht="15" hidden="1">
      <c r="A400" s="220" t="s">
        <v>796</v>
      </c>
      <c r="B400" s="21"/>
      <c r="C400" s="31" t="s">
        <v>1050</v>
      </c>
      <c r="D400" s="31" t="s">
        <v>1013</v>
      </c>
      <c r="E400" s="31" t="s">
        <v>943</v>
      </c>
      <c r="F400" s="26" t="s">
        <v>797</v>
      </c>
      <c r="G400" s="49"/>
      <c r="H400" s="49"/>
      <c r="I400" s="24"/>
      <c r="J400"/>
    </row>
    <row r="401" spans="1:10" ht="15">
      <c r="A401" s="231" t="s">
        <v>1046</v>
      </c>
      <c r="B401" s="66"/>
      <c r="C401" s="35" t="s">
        <v>1050</v>
      </c>
      <c r="D401" s="35" t="s">
        <v>1013</v>
      </c>
      <c r="E401" s="46" t="s">
        <v>1047</v>
      </c>
      <c r="F401" s="47"/>
      <c r="G401" s="24">
        <f>SUM(G402)</f>
        <v>940.3</v>
      </c>
      <c r="H401" s="49"/>
      <c r="I401" s="24"/>
      <c r="J401"/>
    </row>
    <row r="402" spans="1:10" ht="42.75">
      <c r="A402" s="220" t="s">
        <v>1088</v>
      </c>
      <c r="B402" s="21"/>
      <c r="C402" s="31" t="s">
        <v>1050</v>
      </c>
      <c r="D402" s="31" t="s">
        <v>1013</v>
      </c>
      <c r="E402" s="46" t="s">
        <v>1089</v>
      </c>
      <c r="F402" s="26"/>
      <c r="G402" s="49">
        <f>SUM(G403)</f>
        <v>940.3</v>
      </c>
      <c r="H402" s="49"/>
      <c r="I402" s="24"/>
      <c r="J402"/>
    </row>
    <row r="403" spans="1:10" ht="15">
      <c r="A403" s="223" t="s">
        <v>1010</v>
      </c>
      <c r="B403" s="21"/>
      <c r="C403" s="31" t="s">
        <v>1050</v>
      </c>
      <c r="D403" s="31" t="s">
        <v>1013</v>
      </c>
      <c r="E403" s="46" t="s">
        <v>1089</v>
      </c>
      <c r="F403" s="26" t="s">
        <v>1011</v>
      </c>
      <c r="G403" s="49">
        <v>940.3</v>
      </c>
      <c r="H403" s="49"/>
      <c r="I403" s="24"/>
      <c r="J403">
        <f>SUM('[1]ведомствен.2012'!G194)</f>
        <v>940.3</v>
      </c>
    </row>
    <row r="404" spans="1:10" ht="32.25" customHeight="1">
      <c r="A404" s="277" t="s">
        <v>913</v>
      </c>
      <c r="B404" s="21"/>
      <c r="C404" s="35" t="s">
        <v>1050</v>
      </c>
      <c r="D404" s="35" t="s">
        <v>1050</v>
      </c>
      <c r="E404" s="35"/>
      <c r="F404" s="27"/>
      <c r="G404" s="24">
        <f>SUM(G405+G409+G424+G412)+G420</f>
        <v>56425.1</v>
      </c>
      <c r="H404" s="24">
        <f>SUM(H405+H409+H424+H412)+H420</f>
        <v>7261.6</v>
      </c>
      <c r="I404" s="24">
        <f t="shared" si="7"/>
        <v>12.869449943376265</v>
      </c>
      <c r="J404"/>
    </row>
    <row r="405" spans="1:9" s="36" customFormat="1" ht="42.75">
      <c r="A405" s="223" t="s">
        <v>1006</v>
      </c>
      <c r="B405" s="34"/>
      <c r="C405" s="35" t="s">
        <v>1050</v>
      </c>
      <c r="D405" s="35" t="s">
        <v>1050</v>
      </c>
      <c r="E405" s="22" t="s">
        <v>1007</v>
      </c>
      <c r="F405" s="26"/>
      <c r="G405" s="24">
        <f>SUM(G406+G409)</f>
        <v>16465.1</v>
      </c>
      <c r="H405" s="24">
        <f>SUM(H406)</f>
        <v>0</v>
      </c>
      <c r="I405" s="24">
        <f t="shared" si="7"/>
        <v>0</v>
      </c>
    </row>
    <row r="406" spans="1:9" s="36" customFormat="1" ht="24" customHeight="1">
      <c r="A406" s="223" t="s">
        <v>1014</v>
      </c>
      <c r="B406" s="34"/>
      <c r="C406" s="35" t="s">
        <v>1050</v>
      </c>
      <c r="D406" s="35" t="s">
        <v>1050</v>
      </c>
      <c r="E406" s="22" t="s">
        <v>1016</v>
      </c>
      <c r="F406" s="26"/>
      <c r="G406" s="24">
        <f>SUM(G407)</f>
        <v>16465.1</v>
      </c>
      <c r="H406" s="24">
        <f>SUM(H408)</f>
        <v>0</v>
      </c>
      <c r="I406" s="24">
        <f t="shared" si="7"/>
        <v>0</v>
      </c>
    </row>
    <row r="407" spans="1:10" s="36" customFormat="1" ht="21" customHeight="1">
      <c r="A407" s="223" t="s">
        <v>1010</v>
      </c>
      <c r="B407" s="34"/>
      <c r="C407" s="35" t="s">
        <v>1050</v>
      </c>
      <c r="D407" s="35" t="s">
        <v>1050</v>
      </c>
      <c r="E407" s="22" t="s">
        <v>1016</v>
      </c>
      <c r="F407" s="26" t="s">
        <v>1011</v>
      </c>
      <c r="G407" s="24">
        <v>16465.1</v>
      </c>
      <c r="H407" s="24">
        <f>SUM(H408)</f>
        <v>0</v>
      </c>
      <c r="I407" s="24">
        <f aca="true" t="shared" si="9" ref="I407:I475">SUM(H407/G407*100)</f>
        <v>0</v>
      </c>
      <c r="J407" s="160">
        <f>SUM('[1]ведомствен.2012'!G198)+'[1]ведомствен.2012'!G724</f>
        <v>16465.100000000002</v>
      </c>
    </row>
    <row r="408" spans="1:9" s="36" customFormat="1" ht="15" customHeight="1" hidden="1">
      <c r="A408" s="220" t="s">
        <v>917</v>
      </c>
      <c r="B408" s="21"/>
      <c r="C408" s="35" t="s">
        <v>1050</v>
      </c>
      <c r="D408" s="35" t="s">
        <v>1050</v>
      </c>
      <c r="E408" s="35" t="s">
        <v>916</v>
      </c>
      <c r="F408" s="26" t="s">
        <v>1054</v>
      </c>
      <c r="G408" s="49"/>
      <c r="H408" s="49"/>
      <c r="I408" s="24" t="e">
        <f t="shared" si="9"/>
        <v>#DIV/0!</v>
      </c>
    </row>
    <row r="409" spans="1:10" ht="28.5" customHeight="1" hidden="1">
      <c r="A409" s="286" t="s">
        <v>918</v>
      </c>
      <c r="B409" s="21"/>
      <c r="C409" s="35" t="s">
        <v>1050</v>
      </c>
      <c r="D409" s="35" t="s">
        <v>1050</v>
      </c>
      <c r="E409" s="35" t="s">
        <v>919</v>
      </c>
      <c r="F409" s="27"/>
      <c r="G409" s="24">
        <f>SUM(G410)</f>
        <v>0</v>
      </c>
      <c r="H409" s="24">
        <f>SUM(H410)</f>
        <v>0</v>
      </c>
      <c r="I409" s="24" t="e">
        <f t="shared" si="9"/>
        <v>#DIV/0!</v>
      </c>
      <c r="J409"/>
    </row>
    <row r="410" spans="1:10" ht="28.5" customHeight="1" hidden="1">
      <c r="A410" s="286" t="s">
        <v>862</v>
      </c>
      <c r="B410" s="21"/>
      <c r="C410" s="35" t="s">
        <v>1050</v>
      </c>
      <c r="D410" s="35" t="s">
        <v>1050</v>
      </c>
      <c r="E410" s="35" t="s">
        <v>920</v>
      </c>
      <c r="F410" s="27"/>
      <c r="G410" s="24">
        <f>SUM(G411)</f>
        <v>0</v>
      </c>
      <c r="H410" s="24">
        <f>SUM(H411)</f>
        <v>0</v>
      </c>
      <c r="I410" s="24" t="e">
        <f t="shared" si="9"/>
        <v>#DIV/0!</v>
      </c>
      <c r="J410"/>
    </row>
    <row r="411" spans="1:10" ht="15" customHeight="1" hidden="1">
      <c r="A411" s="220" t="s">
        <v>917</v>
      </c>
      <c r="B411" s="21"/>
      <c r="C411" s="35" t="s">
        <v>1050</v>
      </c>
      <c r="D411" s="35" t="s">
        <v>1050</v>
      </c>
      <c r="E411" s="35" t="s">
        <v>920</v>
      </c>
      <c r="F411" s="26" t="s">
        <v>1054</v>
      </c>
      <c r="G411" s="49">
        <f>SUM('[2]Ведомств.'!F241)</f>
        <v>0</v>
      </c>
      <c r="H411" s="49">
        <f>SUM('[2]Ведомств.'!G241)</f>
        <v>0</v>
      </c>
      <c r="I411" s="24" t="e">
        <f t="shared" si="9"/>
        <v>#DIV/0!</v>
      </c>
      <c r="J411"/>
    </row>
    <row r="412" spans="1:10" ht="15" customHeight="1">
      <c r="A412" s="286" t="s">
        <v>785</v>
      </c>
      <c r="B412" s="45"/>
      <c r="C412" s="35" t="s">
        <v>1050</v>
      </c>
      <c r="D412" s="35" t="s">
        <v>1050</v>
      </c>
      <c r="E412" s="46" t="s">
        <v>786</v>
      </c>
      <c r="F412" s="26"/>
      <c r="G412" s="49">
        <f>SUM(G413+G418)</f>
        <v>9308.9</v>
      </c>
      <c r="H412" s="49">
        <f>SUM(H413+H418)</f>
        <v>4731.200000000001</v>
      </c>
      <c r="I412" s="24">
        <f t="shared" si="9"/>
        <v>50.82447979890213</v>
      </c>
      <c r="J412"/>
    </row>
    <row r="413" spans="1:10" ht="42.75" customHeight="1">
      <c r="A413" s="223" t="s">
        <v>651</v>
      </c>
      <c r="B413" s="45"/>
      <c r="C413" s="35" t="s">
        <v>1050</v>
      </c>
      <c r="D413" s="35" t="s">
        <v>1050</v>
      </c>
      <c r="E413" s="46" t="s">
        <v>652</v>
      </c>
      <c r="F413" s="26"/>
      <c r="G413" s="49">
        <f>SUM(G414+G416)</f>
        <v>9308.9</v>
      </c>
      <c r="H413" s="49">
        <f>SUM(H414+H416)</f>
        <v>4731.200000000001</v>
      </c>
      <c r="I413" s="24">
        <f t="shared" si="9"/>
        <v>50.82447979890213</v>
      </c>
      <c r="J413"/>
    </row>
    <row r="414" spans="1:10" ht="28.5" customHeight="1">
      <c r="A414" s="286" t="s">
        <v>862</v>
      </c>
      <c r="B414" s="21"/>
      <c r="C414" s="35" t="s">
        <v>1050</v>
      </c>
      <c r="D414" s="35" t="s">
        <v>1050</v>
      </c>
      <c r="E414" s="46" t="s">
        <v>863</v>
      </c>
      <c r="F414" s="26"/>
      <c r="G414" s="49">
        <f>SUM(G415+G423)</f>
        <v>9308.9</v>
      </c>
      <c r="H414" s="49">
        <f>SUM(H415+H423)</f>
        <v>4731.200000000001</v>
      </c>
      <c r="I414" s="24">
        <f t="shared" si="9"/>
        <v>50.82447979890213</v>
      </c>
      <c r="J414"/>
    </row>
    <row r="415" spans="1:10" ht="15" customHeight="1">
      <c r="A415" s="220" t="s">
        <v>917</v>
      </c>
      <c r="B415" s="21"/>
      <c r="C415" s="35" t="s">
        <v>1050</v>
      </c>
      <c r="D415" s="35" t="s">
        <v>1050</v>
      </c>
      <c r="E415" s="46" t="s">
        <v>863</v>
      </c>
      <c r="F415" s="26" t="s">
        <v>1054</v>
      </c>
      <c r="G415" s="49">
        <v>9308.9</v>
      </c>
      <c r="H415" s="49">
        <v>2740.8</v>
      </c>
      <c r="I415" s="24">
        <f t="shared" si="9"/>
        <v>29.44279130724361</v>
      </c>
      <c r="J415">
        <f>SUM('[1]ведомствен.2012'!G506)</f>
        <v>9308.9</v>
      </c>
    </row>
    <row r="416" spans="1:10" ht="28.5" customHeight="1" hidden="1">
      <c r="A416" s="220" t="s">
        <v>921</v>
      </c>
      <c r="B416" s="21"/>
      <c r="C416" s="35" t="s">
        <v>1050</v>
      </c>
      <c r="D416" s="35" t="s">
        <v>1050</v>
      </c>
      <c r="E416" s="46" t="s">
        <v>922</v>
      </c>
      <c r="F416" s="26"/>
      <c r="G416" s="49"/>
      <c r="H416" s="49">
        <f>SUM(H417)</f>
        <v>0</v>
      </c>
      <c r="I416" s="24" t="e">
        <f t="shared" si="9"/>
        <v>#DIV/0!</v>
      </c>
      <c r="J416"/>
    </row>
    <row r="417" spans="1:10" ht="15" customHeight="1" hidden="1">
      <c r="A417" s="220" t="s">
        <v>917</v>
      </c>
      <c r="B417" s="21"/>
      <c r="C417" s="35" t="s">
        <v>1050</v>
      </c>
      <c r="D417" s="35" t="s">
        <v>1050</v>
      </c>
      <c r="E417" s="46" t="s">
        <v>922</v>
      </c>
      <c r="F417" s="26" t="s">
        <v>1054</v>
      </c>
      <c r="G417" s="49"/>
      <c r="H417" s="49"/>
      <c r="I417" s="24" t="e">
        <f t="shared" si="9"/>
        <v>#DIV/0!</v>
      </c>
      <c r="J417"/>
    </row>
    <row r="418" spans="1:10" ht="28.5" customHeight="1" hidden="1">
      <c r="A418" s="220" t="s">
        <v>923</v>
      </c>
      <c r="B418" s="21"/>
      <c r="C418" s="35" t="s">
        <v>1050</v>
      </c>
      <c r="D418" s="35" t="s">
        <v>1050</v>
      </c>
      <c r="E418" s="46" t="s">
        <v>924</v>
      </c>
      <c r="F418" s="26"/>
      <c r="G418" s="49"/>
      <c r="H418" s="49">
        <f>SUM(H419)</f>
        <v>0</v>
      </c>
      <c r="I418" s="24" t="e">
        <f t="shared" si="9"/>
        <v>#DIV/0!</v>
      </c>
      <c r="J418"/>
    </row>
    <row r="419" spans="1:10" ht="15" customHeight="1" hidden="1">
      <c r="A419" s="220" t="s">
        <v>917</v>
      </c>
      <c r="B419" s="21"/>
      <c r="C419" s="35" t="s">
        <v>1050</v>
      </c>
      <c r="D419" s="35" t="s">
        <v>1050</v>
      </c>
      <c r="E419" s="46" t="s">
        <v>924</v>
      </c>
      <c r="F419" s="26" t="s">
        <v>1054</v>
      </c>
      <c r="G419" s="49"/>
      <c r="H419" s="49"/>
      <c r="I419" s="24" t="e">
        <f t="shared" si="9"/>
        <v>#DIV/0!</v>
      </c>
      <c r="J419"/>
    </row>
    <row r="420" spans="1:10" ht="28.5" customHeight="1" hidden="1">
      <c r="A420" s="220" t="s">
        <v>925</v>
      </c>
      <c r="B420" s="21"/>
      <c r="C420" s="35" t="s">
        <v>1050</v>
      </c>
      <c r="D420" s="35" t="s">
        <v>1050</v>
      </c>
      <c r="E420" s="46" t="s">
        <v>926</v>
      </c>
      <c r="F420" s="26"/>
      <c r="G420" s="49"/>
      <c r="H420" s="49">
        <f>SUM(H421)</f>
        <v>0</v>
      </c>
      <c r="I420" s="24" t="e">
        <f t="shared" si="9"/>
        <v>#DIV/0!</v>
      </c>
      <c r="J420"/>
    </row>
    <row r="421" spans="1:10" ht="15" hidden="1">
      <c r="A421" s="220" t="s">
        <v>927</v>
      </c>
      <c r="B421" s="21"/>
      <c r="C421" s="35" t="s">
        <v>1050</v>
      </c>
      <c r="D421" s="35" t="s">
        <v>1050</v>
      </c>
      <c r="E421" s="46" t="s">
        <v>928</v>
      </c>
      <c r="F421" s="26"/>
      <c r="G421" s="49"/>
      <c r="H421" s="49">
        <f>SUM(H422)</f>
        <v>0</v>
      </c>
      <c r="I421" s="24" t="e">
        <f t="shared" si="9"/>
        <v>#DIV/0!</v>
      </c>
      <c r="J421"/>
    </row>
    <row r="422" spans="1:10" ht="15" hidden="1">
      <c r="A422" s="220" t="s">
        <v>917</v>
      </c>
      <c r="B422" s="21"/>
      <c r="C422" s="35" t="s">
        <v>1050</v>
      </c>
      <c r="D422" s="35" t="s">
        <v>1050</v>
      </c>
      <c r="E422" s="46" t="s">
        <v>928</v>
      </c>
      <c r="F422" s="26" t="s">
        <v>1054</v>
      </c>
      <c r="G422" s="49"/>
      <c r="H422" s="49"/>
      <c r="I422" s="24" t="e">
        <f t="shared" si="9"/>
        <v>#DIV/0!</v>
      </c>
      <c r="J422"/>
    </row>
    <row r="423" spans="1:10" ht="15" hidden="1">
      <c r="A423" s="223" t="s">
        <v>1010</v>
      </c>
      <c r="B423" s="21"/>
      <c r="C423" s="35" t="s">
        <v>1050</v>
      </c>
      <c r="D423" s="35" t="s">
        <v>1050</v>
      </c>
      <c r="E423" s="46" t="s">
        <v>863</v>
      </c>
      <c r="F423" s="26" t="s">
        <v>1011</v>
      </c>
      <c r="G423" s="49"/>
      <c r="H423" s="49">
        <v>1990.4</v>
      </c>
      <c r="I423" s="24" t="e">
        <f t="shared" si="9"/>
        <v>#DIV/0!</v>
      </c>
      <c r="J423"/>
    </row>
    <row r="424" spans="1:10" ht="18" customHeight="1">
      <c r="A424" s="223" t="s">
        <v>1046</v>
      </c>
      <c r="B424" s="21"/>
      <c r="C424" s="35" t="s">
        <v>1050</v>
      </c>
      <c r="D424" s="35" t="s">
        <v>1050</v>
      </c>
      <c r="E424" s="22" t="s">
        <v>1047</v>
      </c>
      <c r="F424" s="27"/>
      <c r="G424" s="24">
        <f>SUM(G426+G435)+G443+G429+G432+G441</f>
        <v>30651.1</v>
      </c>
      <c r="H424" s="24">
        <f>SUM(H426+H435)</f>
        <v>2530.4</v>
      </c>
      <c r="I424" s="24">
        <f t="shared" si="9"/>
        <v>8.255494908828721</v>
      </c>
      <c r="J424"/>
    </row>
    <row r="425" spans="1:10" ht="18" customHeight="1" hidden="1">
      <c r="A425" s="220" t="s">
        <v>917</v>
      </c>
      <c r="B425" s="21"/>
      <c r="C425" s="35" t="s">
        <v>1050</v>
      </c>
      <c r="D425" s="35" t="s">
        <v>1050</v>
      </c>
      <c r="E425" s="22" t="s">
        <v>1047</v>
      </c>
      <c r="F425" s="27" t="s">
        <v>1054</v>
      </c>
      <c r="G425" s="24"/>
      <c r="H425" s="24">
        <f>SUM(H426:H435)</f>
        <v>3022.5</v>
      </c>
      <c r="I425" s="24" t="e">
        <f t="shared" si="9"/>
        <v>#DIV/0!</v>
      </c>
      <c r="J425"/>
    </row>
    <row r="426" spans="1:9" s="70" customFormat="1" ht="19.5" customHeight="1">
      <c r="A426" s="273" t="s">
        <v>929</v>
      </c>
      <c r="B426" s="68"/>
      <c r="C426" s="69" t="s">
        <v>1050</v>
      </c>
      <c r="D426" s="69" t="s">
        <v>1050</v>
      </c>
      <c r="E426" s="42" t="s">
        <v>930</v>
      </c>
      <c r="F426" s="27"/>
      <c r="G426" s="65">
        <f>SUM(G427)</f>
        <v>3145.5</v>
      </c>
      <c r="H426" s="65">
        <f>SUM(H428)</f>
        <v>492.1</v>
      </c>
      <c r="I426" s="24">
        <f t="shared" si="9"/>
        <v>15.644571610236845</v>
      </c>
    </row>
    <row r="427" spans="1:10" s="36" customFormat="1" ht="18.75" customHeight="1">
      <c r="A427" s="231" t="s">
        <v>1053</v>
      </c>
      <c r="B427" s="250"/>
      <c r="C427" s="69" t="s">
        <v>1050</v>
      </c>
      <c r="D427" s="69" t="s">
        <v>1050</v>
      </c>
      <c r="E427" s="69" t="s">
        <v>930</v>
      </c>
      <c r="F427" s="26" t="s">
        <v>1054</v>
      </c>
      <c r="G427" s="65">
        <v>3145.5</v>
      </c>
      <c r="H427" s="65"/>
      <c r="I427" s="24"/>
      <c r="J427" s="36">
        <f>SUM('[1]ведомствен.2012'!G517)</f>
        <v>3145.5</v>
      </c>
    </row>
    <row r="428" spans="1:10" s="70" customFormat="1" ht="0.75" customHeight="1" hidden="1">
      <c r="A428" s="223" t="s">
        <v>812</v>
      </c>
      <c r="B428" s="21"/>
      <c r="C428" s="35" t="s">
        <v>1050</v>
      </c>
      <c r="D428" s="35" t="s">
        <v>1050</v>
      </c>
      <c r="E428" s="42" t="s">
        <v>930</v>
      </c>
      <c r="F428" s="26" t="s">
        <v>897</v>
      </c>
      <c r="G428" s="65"/>
      <c r="H428" s="65">
        <v>492.1</v>
      </c>
      <c r="I428" s="24" t="e">
        <f t="shared" si="9"/>
        <v>#DIV/0!</v>
      </c>
      <c r="J428" s="70">
        <f>SUM('[1]ведомствен.2012'!G518)</f>
        <v>0</v>
      </c>
    </row>
    <row r="429" spans="1:9" s="70" customFormat="1" ht="31.5" customHeight="1">
      <c r="A429" s="231" t="s">
        <v>806</v>
      </c>
      <c r="B429" s="66"/>
      <c r="C429" s="46" t="s">
        <v>1050</v>
      </c>
      <c r="D429" s="46" t="s">
        <v>1050</v>
      </c>
      <c r="E429" s="46" t="s">
        <v>805</v>
      </c>
      <c r="F429" s="23"/>
      <c r="G429" s="24">
        <f>SUM(G430:G431)</f>
        <v>8266.1</v>
      </c>
      <c r="H429" s="24">
        <f>SUM(H431)</f>
        <v>0</v>
      </c>
      <c r="I429" s="24">
        <f t="shared" si="9"/>
        <v>0</v>
      </c>
    </row>
    <row r="430" spans="1:10" s="70" customFormat="1" ht="21.75" customHeight="1">
      <c r="A430" s="231" t="s">
        <v>1053</v>
      </c>
      <c r="B430" s="66"/>
      <c r="C430" s="46" t="s">
        <v>1050</v>
      </c>
      <c r="D430" s="46" t="s">
        <v>1050</v>
      </c>
      <c r="E430" s="46" t="s">
        <v>805</v>
      </c>
      <c r="F430" s="23" t="s">
        <v>1054</v>
      </c>
      <c r="G430" s="24">
        <v>7193.6</v>
      </c>
      <c r="H430" s="24"/>
      <c r="I430" s="24"/>
      <c r="J430" s="70">
        <f>SUM('[1]ведомствен.2012'!G520)</f>
        <v>7193.6</v>
      </c>
    </row>
    <row r="431" spans="1:10" s="70" customFormat="1" ht="30" customHeight="1">
      <c r="A431" s="228" t="s">
        <v>1126</v>
      </c>
      <c r="B431" s="66"/>
      <c r="C431" s="35" t="s">
        <v>1050</v>
      </c>
      <c r="D431" s="35" t="s">
        <v>1050</v>
      </c>
      <c r="E431" s="46" t="s">
        <v>805</v>
      </c>
      <c r="F431" s="47" t="s">
        <v>978</v>
      </c>
      <c r="G431" s="49">
        <v>1072.5</v>
      </c>
      <c r="H431" s="49"/>
      <c r="I431" s="24">
        <f t="shared" si="9"/>
        <v>0</v>
      </c>
      <c r="J431" s="70">
        <f>SUM('[1]ведомствен.2012'!G521)</f>
        <v>1072.5</v>
      </c>
    </row>
    <row r="432" spans="1:9" s="70" customFormat="1" ht="44.25" customHeight="1">
      <c r="A432" s="231" t="s">
        <v>808</v>
      </c>
      <c r="B432" s="66"/>
      <c r="C432" s="46" t="s">
        <v>1050</v>
      </c>
      <c r="D432" s="46" t="s">
        <v>1050</v>
      </c>
      <c r="E432" s="46" t="s">
        <v>807</v>
      </c>
      <c r="F432" s="23"/>
      <c r="G432" s="24">
        <f>SUM(G433)</f>
        <v>3131.6</v>
      </c>
      <c r="H432" s="24">
        <f>SUM(H434)</f>
        <v>0</v>
      </c>
      <c r="I432" s="24">
        <f>SUM(H432/G432*100)</f>
        <v>0</v>
      </c>
    </row>
    <row r="433" spans="1:10" s="70" customFormat="1" ht="24" customHeight="1">
      <c r="A433" s="231" t="s">
        <v>1053</v>
      </c>
      <c r="B433" s="66"/>
      <c r="C433" s="46" t="s">
        <v>1050</v>
      </c>
      <c r="D433" s="46" t="s">
        <v>1050</v>
      </c>
      <c r="E433" s="46" t="s">
        <v>807</v>
      </c>
      <c r="F433" s="23" t="s">
        <v>1054</v>
      </c>
      <c r="G433" s="24">
        <v>3131.6</v>
      </c>
      <c r="H433" s="24"/>
      <c r="I433" s="24"/>
      <c r="J433" s="70">
        <f>SUM('[1]ведомствен.2012'!G523)</f>
        <v>3131.6</v>
      </c>
    </row>
    <row r="434" spans="1:9" s="70" customFormat="1" ht="0.75" customHeight="1" hidden="1">
      <c r="A434" s="223" t="s">
        <v>812</v>
      </c>
      <c r="B434" s="66"/>
      <c r="C434" s="35" t="s">
        <v>1050</v>
      </c>
      <c r="D434" s="35" t="s">
        <v>1050</v>
      </c>
      <c r="E434" s="46" t="s">
        <v>807</v>
      </c>
      <c r="F434" s="47" t="s">
        <v>897</v>
      </c>
      <c r="G434" s="49"/>
      <c r="H434" s="49"/>
      <c r="I434" s="24" t="e">
        <f>SUM(H434/G434*100)</f>
        <v>#DIV/0!</v>
      </c>
    </row>
    <row r="435" spans="1:10" ht="28.5">
      <c r="A435" s="220" t="s">
        <v>638</v>
      </c>
      <c r="B435" s="21"/>
      <c r="C435" s="35" t="s">
        <v>1050</v>
      </c>
      <c r="D435" s="35" t="s">
        <v>1050</v>
      </c>
      <c r="E435" s="22" t="s">
        <v>871</v>
      </c>
      <c r="F435" s="27"/>
      <c r="G435" s="24">
        <f>SUM(G436+G439)</f>
        <v>11220.2</v>
      </c>
      <c r="H435" s="24">
        <f>SUM(H436+H439)</f>
        <v>2038.3</v>
      </c>
      <c r="I435" s="24">
        <f t="shared" si="9"/>
        <v>18.166342845938573</v>
      </c>
      <c r="J435"/>
    </row>
    <row r="436" spans="1:9" s="70" customFormat="1" ht="28.5">
      <c r="A436" s="273" t="s">
        <v>862</v>
      </c>
      <c r="B436" s="68"/>
      <c r="C436" s="35" t="s">
        <v>1050</v>
      </c>
      <c r="D436" s="35" t="s">
        <v>1050</v>
      </c>
      <c r="E436" s="22" t="s">
        <v>872</v>
      </c>
      <c r="F436" s="27"/>
      <c r="G436" s="65">
        <f>SUM(G437:G438)</f>
        <v>8550.2</v>
      </c>
      <c r="H436" s="65">
        <f>SUM(H437:H438)</f>
        <v>1157.5</v>
      </c>
      <c r="I436" s="24">
        <f t="shared" si="9"/>
        <v>13.537695024677785</v>
      </c>
    </row>
    <row r="437" spans="1:10" s="70" customFormat="1" ht="15">
      <c r="A437" s="231" t="s">
        <v>1053</v>
      </c>
      <c r="B437" s="21"/>
      <c r="C437" s="35" t="s">
        <v>1050</v>
      </c>
      <c r="D437" s="35" t="s">
        <v>1050</v>
      </c>
      <c r="E437" s="22" t="s">
        <v>872</v>
      </c>
      <c r="F437" s="26" t="s">
        <v>1054</v>
      </c>
      <c r="G437" s="49">
        <v>8550.2</v>
      </c>
      <c r="H437" s="49">
        <v>1157.5</v>
      </c>
      <c r="I437" s="24">
        <f t="shared" si="9"/>
        <v>13.537695024677785</v>
      </c>
      <c r="J437" s="70">
        <f>SUM('[1]ведомствен.2012'!G527)</f>
        <v>8550.2</v>
      </c>
    </row>
    <row r="438" spans="1:9" s="70" customFormat="1" ht="20.25" customHeight="1" hidden="1">
      <c r="A438" s="223" t="s">
        <v>1010</v>
      </c>
      <c r="B438" s="66"/>
      <c r="C438" s="35" t="s">
        <v>1050</v>
      </c>
      <c r="D438" s="35" t="s">
        <v>1050</v>
      </c>
      <c r="E438" s="22" t="s">
        <v>872</v>
      </c>
      <c r="F438" s="50" t="s">
        <v>1011</v>
      </c>
      <c r="G438" s="65"/>
      <c r="H438" s="65"/>
      <c r="I438" s="24" t="e">
        <f t="shared" si="9"/>
        <v>#DIV/0!</v>
      </c>
    </row>
    <row r="439" spans="1:10" ht="28.5">
      <c r="A439" s="231" t="s">
        <v>921</v>
      </c>
      <c r="B439" s="21"/>
      <c r="C439" s="35" t="s">
        <v>1050</v>
      </c>
      <c r="D439" s="35" t="s">
        <v>1050</v>
      </c>
      <c r="E439" s="22" t="s">
        <v>618</v>
      </c>
      <c r="F439" s="27"/>
      <c r="G439" s="24">
        <f>SUM(G440)</f>
        <v>2670</v>
      </c>
      <c r="H439" s="24">
        <f>SUM(H440)</f>
        <v>880.8</v>
      </c>
      <c r="I439" s="24">
        <f t="shared" si="9"/>
        <v>32.98876404494382</v>
      </c>
      <c r="J439"/>
    </row>
    <row r="440" spans="1:10" ht="15">
      <c r="A440" s="231" t="s">
        <v>1053</v>
      </c>
      <c r="B440" s="21"/>
      <c r="C440" s="35" t="s">
        <v>1050</v>
      </c>
      <c r="D440" s="35" t="s">
        <v>1050</v>
      </c>
      <c r="E440" s="22" t="s">
        <v>618</v>
      </c>
      <c r="F440" s="26" t="s">
        <v>1054</v>
      </c>
      <c r="G440" s="24">
        <v>2670</v>
      </c>
      <c r="H440" s="24">
        <v>880.8</v>
      </c>
      <c r="I440" s="24">
        <f t="shared" si="9"/>
        <v>32.98876404494382</v>
      </c>
      <c r="J440" s="70">
        <f>SUM('[1]ведомствен.2012'!G530)</f>
        <v>2670</v>
      </c>
    </row>
    <row r="441" spans="1:10" ht="28.5">
      <c r="A441" s="233" t="s">
        <v>741</v>
      </c>
      <c r="B441" s="45"/>
      <c r="C441" s="46" t="s">
        <v>1050</v>
      </c>
      <c r="D441" s="46" t="s">
        <v>663</v>
      </c>
      <c r="E441" s="46" t="s">
        <v>742</v>
      </c>
      <c r="F441" s="47"/>
      <c r="G441" s="24">
        <f>SUM(G442)</f>
        <v>40</v>
      </c>
      <c r="H441" s="24"/>
      <c r="I441" s="24"/>
      <c r="J441" s="70"/>
    </row>
    <row r="442" spans="1:10" ht="15">
      <c r="A442" s="222" t="s">
        <v>1010</v>
      </c>
      <c r="B442" s="45"/>
      <c r="C442" s="46" t="s">
        <v>1050</v>
      </c>
      <c r="D442" s="46" t="s">
        <v>663</v>
      </c>
      <c r="E442" s="46" t="s">
        <v>742</v>
      </c>
      <c r="F442" s="47" t="s">
        <v>1011</v>
      </c>
      <c r="G442" s="24">
        <v>40</v>
      </c>
      <c r="H442" s="24"/>
      <c r="I442" s="24"/>
      <c r="J442" s="70">
        <f>SUM('[1]ведомствен.2012'!G129)</f>
        <v>40</v>
      </c>
    </row>
    <row r="443" spans="1:10" ht="51.75" customHeight="1">
      <c r="A443" s="231" t="s">
        <v>1083</v>
      </c>
      <c r="B443" s="21"/>
      <c r="C443" s="35" t="s">
        <v>1050</v>
      </c>
      <c r="D443" s="35" t="s">
        <v>1050</v>
      </c>
      <c r="E443" s="46" t="s">
        <v>886</v>
      </c>
      <c r="F443" s="26"/>
      <c r="G443" s="49">
        <f>SUM(G444)</f>
        <v>4847.7</v>
      </c>
      <c r="H443" s="49">
        <f>SUM(H444)</f>
        <v>0</v>
      </c>
      <c r="I443" s="24">
        <f t="shared" si="9"/>
        <v>0</v>
      </c>
      <c r="J443"/>
    </row>
    <row r="444" spans="1:10" ht="15">
      <c r="A444" s="231" t="s">
        <v>1053</v>
      </c>
      <c r="B444" s="21"/>
      <c r="C444" s="35" t="s">
        <v>1050</v>
      </c>
      <c r="D444" s="35" t="s">
        <v>1050</v>
      </c>
      <c r="E444" s="46" t="s">
        <v>886</v>
      </c>
      <c r="F444" s="26" t="s">
        <v>1054</v>
      </c>
      <c r="G444" s="49">
        <v>4847.7</v>
      </c>
      <c r="H444" s="49"/>
      <c r="I444" s="24">
        <f t="shared" si="9"/>
        <v>0</v>
      </c>
      <c r="J444" s="70">
        <f>SUM('[1]ведомствен.2012'!G532)</f>
        <v>4847.7</v>
      </c>
    </row>
    <row r="445" spans="1:12" s="20" customFormat="1" ht="15.75">
      <c r="A445" s="287" t="s">
        <v>932</v>
      </c>
      <c r="B445" s="37"/>
      <c r="C445" s="54" t="s">
        <v>549</v>
      </c>
      <c r="D445" s="54"/>
      <c r="E445" s="54"/>
      <c r="F445" s="55"/>
      <c r="G445" s="40">
        <f>SUM(G446)+G450</f>
        <v>6729.8</v>
      </c>
      <c r="H445" s="40">
        <f>SUM(H446)+H450</f>
        <v>2547</v>
      </c>
      <c r="I445" s="40">
        <f t="shared" si="9"/>
        <v>37.84659276650123</v>
      </c>
      <c r="K445" s="20">
        <f>SUM(J446:J461)</f>
        <v>6729.8</v>
      </c>
      <c r="L445" s="20">
        <f>SUM('[1]ведомствен.2012'!G533+'[1]ведомствен.2012'!G725)</f>
        <v>6729.8</v>
      </c>
    </row>
    <row r="446" spans="1:10" ht="27.75" customHeight="1">
      <c r="A446" s="223" t="s">
        <v>933</v>
      </c>
      <c r="B446" s="21"/>
      <c r="C446" s="22" t="s">
        <v>549</v>
      </c>
      <c r="D446" s="22" t="s">
        <v>1013</v>
      </c>
      <c r="E446" s="22"/>
      <c r="F446" s="23"/>
      <c r="G446" s="24">
        <f>SUM(G449)</f>
        <v>4709.8</v>
      </c>
      <c r="H446" s="24">
        <f>SUM(H449)</f>
        <v>2199.7</v>
      </c>
      <c r="I446" s="24">
        <f t="shared" si="9"/>
        <v>46.704743301201745</v>
      </c>
      <c r="J446"/>
    </row>
    <row r="447" spans="1:10" ht="15">
      <c r="A447" s="223" t="s">
        <v>934</v>
      </c>
      <c r="B447" s="21"/>
      <c r="C447" s="22" t="s">
        <v>549</v>
      </c>
      <c r="D447" s="22" t="s">
        <v>1013</v>
      </c>
      <c r="E447" s="22" t="s">
        <v>935</v>
      </c>
      <c r="F447" s="23"/>
      <c r="G447" s="24">
        <f>SUM(G448)</f>
        <v>4709.8</v>
      </c>
      <c r="H447" s="24">
        <f>SUM(H448)</f>
        <v>2199.7</v>
      </c>
      <c r="I447" s="24">
        <f t="shared" si="9"/>
        <v>46.704743301201745</v>
      </c>
      <c r="J447"/>
    </row>
    <row r="448" spans="1:10" ht="28.5" customHeight="1">
      <c r="A448" s="223" t="s">
        <v>894</v>
      </c>
      <c r="B448" s="71"/>
      <c r="C448" s="52" t="s">
        <v>549</v>
      </c>
      <c r="D448" s="52" t="s">
        <v>1013</v>
      </c>
      <c r="E448" s="52" t="s">
        <v>936</v>
      </c>
      <c r="F448" s="27"/>
      <c r="G448" s="24">
        <f>SUM(G449)</f>
        <v>4709.8</v>
      </c>
      <c r="H448" s="24">
        <f>SUM(H449)</f>
        <v>2199.7</v>
      </c>
      <c r="I448" s="24">
        <f t="shared" si="9"/>
        <v>46.704743301201745</v>
      </c>
      <c r="J448"/>
    </row>
    <row r="449" spans="1:10" ht="15.75" customHeight="1">
      <c r="A449" s="226" t="s">
        <v>895</v>
      </c>
      <c r="B449" s="21"/>
      <c r="C449" s="22" t="s">
        <v>549</v>
      </c>
      <c r="D449" s="22" t="s">
        <v>1013</v>
      </c>
      <c r="E449" s="52" t="s">
        <v>936</v>
      </c>
      <c r="F449" s="27" t="s">
        <v>238</v>
      </c>
      <c r="G449" s="24">
        <v>4709.8</v>
      </c>
      <c r="H449" s="24">
        <v>2199.7</v>
      </c>
      <c r="I449" s="24">
        <f t="shared" si="9"/>
        <v>46.704743301201745</v>
      </c>
      <c r="J449" s="160">
        <f>SUM('[1]ведомствен.2012'!G537)+'[1]ведомствен.2012'!G729</f>
        <v>4709.8</v>
      </c>
    </row>
    <row r="450" spans="1:10" ht="17.25" customHeight="1">
      <c r="A450" s="274" t="s">
        <v>937</v>
      </c>
      <c r="B450" s="21"/>
      <c r="C450" s="72" t="s">
        <v>549</v>
      </c>
      <c r="D450" s="72" t="s">
        <v>1050</v>
      </c>
      <c r="E450" s="72"/>
      <c r="F450" s="44"/>
      <c r="G450" s="49">
        <f>SUM(G454)+G451</f>
        <v>2020</v>
      </c>
      <c r="H450" s="49">
        <f>SUM(H454)+H451</f>
        <v>347.3</v>
      </c>
      <c r="I450" s="24">
        <f t="shared" si="9"/>
        <v>17.193069306930695</v>
      </c>
      <c r="J450"/>
    </row>
    <row r="451" spans="1:10" ht="16.5" customHeight="1" hidden="1">
      <c r="A451" s="286" t="s">
        <v>785</v>
      </c>
      <c r="B451" s="21"/>
      <c r="C451" s="72" t="s">
        <v>549</v>
      </c>
      <c r="D451" s="72" t="s">
        <v>1050</v>
      </c>
      <c r="E451" s="22" t="s">
        <v>786</v>
      </c>
      <c r="F451" s="44"/>
      <c r="G451" s="49">
        <f>SUM(G452)</f>
        <v>0</v>
      </c>
      <c r="H451" s="49">
        <f>SUM(H452)</f>
        <v>0</v>
      </c>
      <c r="I451" s="24" t="e">
        <f t="shared" si="9"/>
        <v>#DIV/0!</v>
      </c>
      <c r="J451"/>
    </row>
    <row r="452" spans="1:10" ht="42" customHeight="1" hidden="1">
      <c r="A452" s="286" t="s">
        <v>938</v>
      </c>
      <c r="B452" s="21"/>
      <c r="C452" s="72" t="s">
        <v>549</v>
      </c>
      <c r="D452" s="72" t="s">
        <v>1050</v>
      </c>
      <c r="E452" s="22" t="s">
        <v>939</v>
      </c>
      <c r="F452" s="27"/>
      <c r="G452" s="49">
        <f>SUM(G453)</f>
        <v>0</v>
      </c>
      <c r="H452" s="49">
        <f>SUM(H453)</f>
        <v>0</v>
      </c>
      <c r="I452" s="24" t="e">
        <f t="shared" si="9"/>
        <v>#DIV/0!</v>
      </c>
      <c r="J452"/>
    </row>
    <row r="453" spans="1:9" s="73" customFormat="1" ht="16.5" customHeight="1" hidden="1">
      <c r="A453" s="220" t="s">
        <v>917</v>
      </c>
      <c r="B453" s="21"/>
      <c r="C453" s="72" t="s">
        <v>549</v>
      </c>
      <c r="D453" s="72" t="s">
        <v>1050</v>
      </c>
      <c r="E453" s="22" t="s">
        <v>939</v>
      </c>
      <c r="F453" s="27" t="s">
        <v>1054</v>
      </c>
      <c r="G453" s="49"/>
      <c r="H453" s="49"/>
      <c r="I453" s="24" t="e">
        <f t="shared" si="9"/>
        <v>#DIV/0!</v>
      </c>
    </row>
    <row r="454" spans="1:10" ht="14.25" customHeight="1">
      <c r="A454" s="223" t="s">
        <v>1046</v>
      </c>
      <c r="B454" s="21"/>
      <c r="C454" s="72" t="s">
        <v>549</v>
      </c>
      <c r="D454" s="72" t="s">
        <v>1050</v>
      </c>
      <c r="E454" s="22" t="s">
        <v>1047</v>
      </c>
      <c r="F454" s="44"/>
      <c r="G454" s="49">
        <f>SUM(G457+G458+G462)</f>
        <v>2020</v>
      </c>
      <c r="H454" s="49">
        <f>SUM(H457+H458+H462)</f>
        <v>347.3</v>
      </c>
      <c r="I454" s="24">
        <f t="shared" si="9"/>
        <v>17.193069306930695</v>
      </c>
      <c r="J454"/>
    </row>
    <row r="455" spans="1:10" ht="15" customHeight="1" hidden="1">
      <c r="A455" s="286" t="s">
        <v>940</v>
      </c>
      <c r="B455" s="21"/>
      <c r="C455" s="72" t="s">
        <v>549</v>
      </c>
      <c r="D455" s="72" t="s">
        <v>1050</v>
      </c>
      <c r="E455" s="22" t="s">
        <v>1047</v>
      </c>
      <c r="F455" s="44" t="s">
        <v>941</v>
      </c>
      <c r="G455" s="49"/>
      <c r="H455" s="49"/>
      <c r="I455" s="24" t="e">
        <f t="shared" si="9"/>
        <v>#DIV/0!</v>
      </c>
      <c r="J455"/>
    </row>
    <row r="456" spans="1:10" ht="26.25" customHeight="1" hidden="1">
      <c r="A456" s="292" t="s">
        <v>942</v>
      </c>
      <c r="B456" s="21"/>
      <c r="C456" s="72" t="s">
        <v>549</v>
      </c>
      <c r="D456" s="72" t="s">
        <v>1050</v>
      </c>
      <c r="E456" s="74" t="s">
        <v>1047</v>
      </c>
      <c r="F456" s="75" t="s">
        <v>941</v>
      </c>
      <c r="G456" s="76">
        <v>300</v>
      </c>
      <c r="H456" s="76">
        <v>300</v>
      </c>
      <c r="I456" s="24">
        <f t="shared" si="9"/>
        <v>100</v>
      </c>
      <c r="J456"/>
    </row>
    <row r="457" spans="1:10" ht="15" customHeight="1" hidden="1">
      <c r="A457" s="226" t="s">
        <v>237</v>
      </c>
      <c r="B457" s="21"/>
      <c r="C457" s="72" t="s">
        <v>549</v>
      </c>
      <c r="D457" s="72" t="s">
        <v>1050</v>
      </c>
      <c r="E457" s="72" t="s">
        <v>1047</v>
      </c>
      <c r="F457" s="44" t="s">
        <v>238</v>
      </c>
      <c r="G457" s="49"/>
      <c r="H457" s="49"/>
      <c r="I457" s="24" t="e">
        <f t="shared" si="9"/>
        <v>#DIV/0!</v>
      </c>
      <c r="J457"/>
    </row>
    <row r="458" spans="1:10" ht="27.75" customHeight="1">
      <c r="A458" s="274" t="s">
        <v>840</v>
      </c>
      <c r="B458" s="21"/>
      <c r="C458" s="72" t="s">
        <v>549</v>
      </c>
      <c r="D458" s="72" t="s">
        <v>1050</v>
      </c>
      <c r="E458" s="72" t="s">
        <v>943</v>
      </c>
      <c r="F458" s="44"/>
      <c r="G458" s="49">
        <f>SUM(G459:G461)</f>
        <v>2020</v>
      </c>
      <c r="H458" s="49">
        <f>SUM(H459:H461)</f>
        <v>347.3</v>
      </c>
      <c r="I458" s="24">
        <f t="shared" si="9"/>
        <v>17.193069306930695</v>
      </c>
      <c r="J458"/>
    </row>
    <row r="459" spans="1:10" ht="15">
      <c r="A459" s="231" t="s">
        <v>1053</v>
      </c>
      <c r="B459" s="21"/>
      <c r="C459" s="72" t="s">
        <v>549</v>
      </c>
      <c r="D459" s="72" t="s">
        <v>1050</v>
      </c>
      <c r="E459" s="72" t="s">
        <v>943</v>
      </c>
      <c r="F459" s="27" t="s">
        <v>1054</v>
      </c>
      <c r="G459" s="49">
        <v>420</v>
      </c>
      <c r="H459" s="49"/>
      <c r="I459" s="24">
        <f t="shared" si="9"/>
        <v>0</v>
      </c>
      <c r="J459" s="160">
        <f>SUM('[1]ведомствен.2012'!G547)</f>
        <v>420</v>
      </c>
    </row>
    <row r="460" spans="1:10" ht="15" hidden="1">
      <c r="A460" s="220" t="s">
        <v>796</v>
      </c>
      <c r="B460" s="21"/>
      <c r="C460" s="31" t="s">
        <v>549</v>
      </c>
      <c r="D460" s="31" t="s">
        <v>1050</v>
      </c>
      <c r="E460" s="31" t="s">
        <v>596</v>
      </c>
      <c r="F460" s="26" t="s">
        <v>797</v>
      </c>
      <c r="G460" s="49">
        <f>1300-1300</f>
        <v>0</v>
      </c>
      <c r="H460" s="49"/>
      <c r="I460" s="24"/>
      <c r="J460"/>
    </row>
    <row r="461" spans="1:10" ht="13.5" customHeight="1">
      <c r="A461" s="226" t="s">
        <v>944</v>
      </c>
      <c r="B461" s="21"/>
      <c r="C461" s="72" t="s">
        <v>549</v>
      </c>
      <c r="D461" s="72" t="s">
        <v>1050</v>
      </c>
      <c r="E461" s="72" t="s">
        <v>943</v>
      </c>
      <c r="F461" s="44" t="s">
        <v>945</v>
      </c>
      <c r="G461" s="49">
        <v>1600</v>
      </c>
      <c r="H461" s="49">
        <v>347.3</v>
      </c>
      <c r="I461" s="24">
        <f t="shared" si="9"/>
        <v>21.70625</v>
      </c>
      <c r="J461" s="160">
        <f>SUM('[1]ведомствен.2012'!G549)</f>
        <v>1600</v>
      </c>
    </row>
    <row r="462" spans="1:10" ht="25.5" customHeight="1" hidden="1">
      <c r="A462" s="274" t="s">
        <v>946</v>
      </c>
      <c r="B462" s="21"/>
      <c r="C462" s="72" t="s">
        <v>549</v>
      </c>
      <c r="D462" s="72" t="s">
        <v>1050</v>
      </c>
      <c r="E462" s="72" t="s">
        <v>947</v>
      </c>
      <c r="F462" s="44"/>
      <c r="G462" s="49">
        <f>SUM(G463+G464)</f>
        <v>0</v>
      </c>
      <c r="H462" s="49">
        <f>SUM(H463+H464)</f>
        <v>0</v>
      </c>
      <c r="I462" s="24" t="e">
        <f t="shared" si="9"/>
        <v>#DIV/0!</v>
      </c>
      <c r="J462"/>
    </row>
    <row r="463" spans="1:10" ht="18" customHeight="1" hidden="1">
      <c r="A463" s="220" t="s">
        <v>917</v>
      </c>
      <c r="B463" s="21"/>
      <c r="C463" s="72" t="s">
        <v>549</v>
      </c>
      <c r="D463" s="72" t="s">
        <v>1050</v>
      </c>
      <c r="E463" s="72" t="s">
        <v>947</v>
      </c>
      <c r="F463" s="27" t="s">
        <v>1054</v>
      </c>
      <c r="G463" s="49"/>
      <c r="H463" s="49"/>
      <c r="I463" s="24" t="e">
        <f t="shared" si="9"/>
        <v>#DIV/0!</v>
      </c>
      <c r="J463"/>
    </row>
    <row r="464" spans="1:10" ht="21.75" customHeight="1" hidden="1">
      <c r="A464" s="226" t="s">
        <v>944</v>
      </c>
      <c r="B464" s="21"/>
      <c r="C464" s="72" t="s">
        <v>549</v>
      </c>
      <c r="D464" s="72" t="s">
        <v>1050</v>
      </c>
      <c r="E464" s="72" t="s">
        <v>947</v>
      </c>
      <c r="F464" s="44" t="s">
        <v>948</v>
      </c>
      <c r="G464" s="49"/>
      <c r="H464" s="49"/>
      <c r="I464" s="24" t="e">
        <f t="shared" si="9"/>
        <v>#DIV/0!</v>
      </c>
      <c r="J464"/>
    </row>
    <row r="465" spans="1:9" s="73" customFormat="1" ht="12" customHeight="1" hidden="1">
      <c r="A465" s="292" t="s">
        <v>949</v>
      </c>
      <c r="B465" s="77"/>
      <c r="C465" s="74" t="s">
        <v>663</v>
      </c>
      <c r="D465" s="74" t="s">
        <v>568</v>
      </c>
      <c r="E465" s="74" t="s">
        <v>546</v>
      </c>
      <c r="F465" s="78" t="s">
        <v>566</v>
      </c>
      <c r="G465" s="79">
        <v>5000</v>
      </c>
      <c r="H465" s="79">
        <v>5000</v>
      </c>
      <c r="I465" s="24">
        <f t="shared" si="9"/>
        <v>100</v>
      </c>
    </row>
    <row r="466" spans="1:9" s="73" customFormat="1" ht="12" customHeight="1" hidden="1">
      <c r="A466" s="292" t="s">
        <v>456</v>
      </c>
      <c r="B466" s="28"/>
      <c r="C466" s="74" t="s">
        <v>663</v>
      </c>
      <c r="D466" s="74" t="s">
        <v>568</v>
      </c>
      <c r="E466" s="74" t="s">
        <v>546</v>
      </c>
      <c r="F466" s="78" t="s">
        <v>566</v>
      </c>
      <c r="G466" s="79">
        <v>2000</v>
      </c>
      <c r="H466" s="79">
        <v>2000</v>
      </c>
      <c r="I466" s="24">
        <f t="shared" si="9"/>
        <v>100</v>
      </c>
    </row>
    <row r="467" spans="1:10" ht="42.75" customHeight="1" hidden="1">
      <c r="A467" s="223" t="s">
        <v>1032</v>
      </c>
      <c r="B467" s="21"/>
      <c r="C467" s="22" t="s">
        <v>663</v>
      </c>
      <c r="D467" s="22" t="s">
        <v>1020</v>
      </c>
      <c r="E467" s="22" t="s">
        <v>1033</v>
      </c>
      <c r="F467" s="23"/>
      <c r="G467" s="24">
        <f>SUM(G468)</f>
        <v>0</v>
      </c>
      <c r="H467" s="24">
        <f>SUM(H468)</f>
        <v>0</v>
      </c>
      <c r="I467" s="24" t="e">
        <f t="shared" si="9"/>
        <v>#DIV/0!</v>
      </c>
      <c r="J467"/>
    </row>
    <row r="468" spans="1:10" ht="42.75" customHeight="1" hidden="1">
      <c r="A468" s="223" t="s">
        <v>1034</v>
      </c>
      <c r="B468" s="21"/>
      <c r="C468" s="22" t="s">
        <v>663</v>
      </c>
      <c r="D468" s="22" t="s">
        <v>1020</v>
      </c>
      <c r="E468" s="22" t="s">
        <v>1033</v>
      </c>
      <c r="F468" s="23" t="s">
        <v>1035</v>
      </c>
      <c r="G468" s="24"/>
      <c r="H468" s="24"/>
      <c r="I468" s="24" t="e">
        <f t="shared" si="9"/>
        <v>#DIV/0!</v>
      </c>
      <c r="J468"/>
    </row>
    <row r="469" spans="1:10" ht="14.25" customHeight="1" hidden="1">
      <c r="A469" s="223" t="s">
        <v>1036</v>
      </c>
      <c r="B469" s="21"/>
      <c r="C469" s="22" t="s">
        <v>1037</v>
      </c>
      <c r="D469" s="22"/>
      <c r="E469" s="22"/>
      <c r="F469" s="26"/>
      <c r="G469" s="24">
        <f>SUM(G473+G470)</f>
        <v>0</v>
      </c>
      <c r="H469" s="24">
        <f>SUM(H473+H470)</f>
        <v>0</v>
      </c>
      <c r="I469" s="24" t="e">
        <f t="shared" si="9"/>
        <v>#DIV/0!</v>
      </c>
      <c r="J469"/>
    </row>
    <row r="470" spans="1:10" ht="15" customHeight="1" hidden="1">
      <c r="A470" s="223" t="s">
        <v>1038</v>
      </c>
      <c r="B470" s="21"/>
      <c r="C470" s="22" t="s">
        <v>1037</v>
      </c>
      <c r="D470" s="22" t="s">
        <v>1039</v>
      </c>
      <c r="E470" s="22"/>
      <c r="F470" s="26"/>
      <c r="G470" s="24">
        <f>SUM(G471)</f>
        <v>0</v>
      </c>
      <c r="H470" s="24">
        <f>SUM(H471)</f>
        <v>0</v>
      </c>
      <c r="I470" s="24" t="e">
        <f t="shared" si="9"/>
        <v>#DIV/0!</v>
      </c>
      <c r="J470"/>
    </row>
    <row r="471" spans="1:10" ht="15" customHeight="1" hidden="1">
      <c r="A471" s="223" t="s">
        <v>1040</v>
      </c>
      <c r="B471" s="21"/>
      <c r="C471" s="22" t="s">
        <v>1037</v>
      </c>
      <c r="D471" s="22" t="s">
        <v>1039</v>
      </c>
      <c r="E471" s="22" t="s">
        <v>581</v>
      </c>
      <c r="F471" s="23"/>
      <c r="G471" s="24">
        <f>SUM(G472)</f>
        <v>0</v>
      </c>
      <c r="H471" s="24">
        <f>SUM(H472)</f>
        <v>0</v>
      </c>
      <c r="I471" s="24" t="e">
        <f t="shared" si="9"/>
        <v>#DIV/0!</v>
      </c>
      <c r="J471"/>
    </row>
    <row r="472" spans="1:10" ht="15" customHeight="1" hidden="1">
      <c r="A472" s="223" t="s">
        <v>582</v>
      </c>
      <c r="B472" s="21"/>
      <c r="C472" s="22" t="s">
        <v>1037</v>
      </c>
      <c r="D472" s="22" t="s">
        <v>1039</v>
      </c>
      <c r="E472" s="22" t="s">
        <v>581</v>
      </c>
      <c r="F472" s="23" t="s">
        <v>583</v>
      </c>
      <c r="G472" s="24"/>
      <c r="H472" s="24"/>
      <c r="I472" s="24" t="e">
        <f t="shared" si="9"/>
        <v>#DIV/0!</v>
      </c>
      <c r="J472"/>
    </row>
    <row r="473" spans="1:10" ht="15" customHeight="1" hidden="1">
      <c r="A473" s="220" t="s">
        <v>584</v>
      </c>
      <c r="B473" s="34"/>
      <c r="C473" s="35" t="s">
        <v>1037</v>
      </c>
      <c r="D473" s="35" t="s">
        <v>585</v>
      </c>
      <c r="E473" s="35"/>
      <c r="F473" s="26"/>
      <c r="G473" s="24">
        <f>SUM(G474+G476)</f>
        <v>0</v>
      </c>
      <c r="H473" s="24">
        <f>SUM(H474+H476)</f>
        <v>0</v>
      </c>
      <c r="I473" s="24" t="e">
        <f t="shared" si="9"/>
        <v>#DIV/0!</v>
      </c>
      <c r="J473"/>
    </row>
    <row r="474" spans="1:10" ht="28.5" customHeight="1" hidden="1">
      <c r="A474" s="223" t="s">
        <v>586</v>
      </c>
      <c r="B474" s="21"/>
      <c r="C474" s="22" t="s">
        <v>1037</v>
      </c>
      <c r="D474" s="22" t="s">
        <v>585</v>
      </c>
      <c r="E474" s="22" t="s">
        <v>587</v>
      </c>
      <c r="F474" s="26"/>
      <c r="G474" s="24">
        <f>SUM(G475)</f>
        <v>0</v>
      </c>
      <c r="H474" s="24">
        <f>SUM(H475)</f>
        <v>0</v>
      </c>
      <c r="I474" s="24" t="e">
        <f t="shared" si="9"/>
        <v>#DIV/0!</v>
      </c>
      <c r="J474"/>
    </row>
    <row r="475" spans="1:10" ht="15" customHeight="1" hidden="1">
      <c r="A475" s="223" t="s">
        <v>615</v>
      </c>
      <c r="B475" s="21"/>
      <c r="C475" s="22" t="s">
        <v>1037</v>
      </c>
      <c r="D475" s="22" t="s">
        <v>585</v>
      </c>
      <c r="E475" s="22" t="s">
        <v>587</v>
      </c>
      <c r="F475" s="26" t="s">
        <v>603</v>
      </c>
      <c r="G475" s="24"/>
      <c r="H475" s="24"/>
      <c r="I475" s="24" t="e">
        <f t="shared" si="9"/>
        <v>#DIV/0!</v>
      </c>
      <c r="J475"/>
    </row>
    <row r="476" spans="1:10" ht="15" customHeight="1" hidden="1">
      <c r="A476" s="220" t="s">
        <v>604</v>
      </c>
      <c r="B476" s="34"/>
      <c r="C476" s="35" t="s">
        <v>1037</v>
      </c>
      <c r="D476" s="35" t="s">
        <v>585</v>
      </c>
      <c r="E476" s="35" t="s">
        <v>605</v>
      </c>
      <c r="F476" s="26"/>
      <c r="G476" s="24">
        <f>SUM(G477)</f>
        <v>0</v>
      </c>
      <c r="H476" s="24">
        <f>SUM(H477)</f>
        <v>0</v>
      </c>
      <c r="I476" s="24" t="e">
        <f aca="true" t="shared" si="10" ref="I476:I496">SUM(H476/G476*100)</f>
        <v>#DIV/0!</v>
      </c>
      <c r="J476"/>
    </row>
    <row r="477" spans="1:10" ht="15" customHeight="1" hidden="1">
      <c r="A477" s="220" t="s">
        <v>606</v>
      </c>
      <c r="B477" s="34"/>
      <c r="C477" s="35" t="s">
        <v>1037</v>
      </c>
      <c r="D477" s="35" t="s">
        <v>585</v>
      </c>
      <c r="E477" s="35" t="s">
        <v>605</v>
      </c>
      <c r="F477" s="26" t="s">
        <v>607</v>
      </c>
      <c r="G477" s="24"/>
      <c r="H477" s="24"/>
      <c r="I477" s="24" t="e">
        <f t="shared" si="10"/>
        <v>#DIV/0!</v>
      </c>
      <c r="J477"/>
    </row>
    <row r="478" spans="1:10" ht="15" customHeight="1" hidden="1">
      <c r="A478" s="274" t="s">
        <v>1025</v>
      </c>
      <c r="B478" s="30"/>
      <c r="C478" s="31" t="s">
        <v>1026</v>
      </c>
      <c r="D478" s="22"/>
      <c r="E478" s="22"/>
      <c r="F478" s="23"/>
      <c r="G478" s="24">
        <f aca="true" t="shared" si="11" ref="G478:H480">SUM(G479)</f>
        <v>0</v>
      </c>
      <c r="H478" s="24">
        <f t="shared" si="11"/>
        <v>0</v>
      </c>
      <c r="I478" s="24" t="e">
        <f t="shared" si="10"/>
        <v>#DIV/0!</v>
      </c>
      <c r="J478"/>
    </row>
    <row r="479" spans="1:10" ht="15" customHeight="1" hidden="1">
      <c r="A479" s="223" t="s">
        <v>1027</v>
      </c>
      <c r="B479" s="28"/>
      <c r="C479" s="22" t="s">
        <v>1026</v>
      </c>
      <c r="D479" s="22" t="s">
        <v>1026</v>
      </c>
      <c r="E479" s="22"/>
      <c r="F479" s="23"/>
      <c r="G479" s="24">
        <f t="shared" si="11"/>
        <v>0</v>
      </c>
      <c r="H479" s="24">
        <f t="shared" si="11"/>
        <v>0</v>
      </c>
      <c r="I479" s="24" t="e">
        <f t="shared" si="10"/>
        <v>#DIV/0!</v>
      </c>
      <c r="J479"/>
    </row>
    <row r="480" spans="1:10" ht="28.5" customHeight="1" hidden="1">
      <c r="A480" s="223" t="s">
        <v>1028</v>
      </c>
      <c r="B480" s="28"/>
      <c r="C480" s="22" t="s">
        <v>1026</v>
      </c>
      <c r="D480" s="22" t="s">
        <v>1026</v>
      </c>
      <c r="E480" s="22" t="s">
        <v>1029</v>
      </c>
      <c r="F480" s="23"/>
      <c r="G480" s="24">
        <f t="shared" si="11"/>
        <v>0</v>
      </c>
      <c r="H480" s="24">
        <f t="shared" si="11"/>
        <v>0</v>
      </c>
      <c r="I480" s="24" t="e">
        <f t="shared" si="10"/>
        <v>#DIV/0!</v>
      </c>
      <c r="J480"/>
    </row>
    <row r="481" spans="1:10" ht="15" customHeight="1" hidden="1">
      <c r="A481" s="223" t="s">
        <v>1030</v>
      </c>
      <c r="B481" s="28"/>
      <c r="C481" s="22" t="s">
        <v>1026</v>
      </c>
      <c r="D481" s="22" t="s">
        <v>1026</v>
      </c>
      <c r="E481" s="22" t="s">
        <v>1029</v>
      </c>
      <c r="F481" s="23" t="s">
        <v>1031</v>
      </c>
      <c r="G481" s="24"/>
      <c r="H481" s="24"/>
      <c r="I481" s="24" t="e">
        <f t="shared" si="10"/>
        <v>#DIV/0!</v>
      </c>
      <c r="J481"/>
    </row>
    <row r="482" spans="1:10" ht="15" customHeight="1" hidden="1">
      <c r="A482" s="223" t="s">
        <v>1036</v>
      </c>
      <c r="B482" s="21"/>
      <c r="C482" s="22" t="s">
        <v>1037</v>
      </c>
      <c r="D482" s="22"/>
      <c r="E482" s="22"/>
      <c r="F482" s="23"/>
      <c r="G482" s="24">
        <f aca="true" t="shared" si="12" ref="G482:H484">SUM(G483)</f>
        <v>0</v>
      </c>
      <c r="H482" s="24">
        <f t="shared" si="12"/>
        <v>0</v>
      </c>
      <c r="I482" s="24" t="e">
        <f t="shared" si="10"/>
        <v>#DIV/0!</v>
      </c>
      <c r="J482"/>
    </row>
    <row r="483" spans="1:10" ht="15" customHeight="1" hidden="1">
      <c r="A483" s="223" t="s">
        <v>457</v>
      </c>
      <c r="B483" s="21"/>
      <c r="C483" s="22" t="s">
        <v>1037</v>
      </c>
      <c r="D483" s="35" t="s">
        <v>663</v>
      </c>
      <c r="E483" s="80"/>
      <c r="F483" s="81"/>
      <c r="G483" s="24">
        <f t="shared" si="12"/>
        <v>0</v>
      </c>
      <c r="H483" s="24">
        <f t="shared" si="12"/>
        <v>0</v>
      </c>
      <c r="I483" s="24" t="e">
        <f t="shared" si="10"/>
        <v>#DIV/0!</v>
      </c>
      <c r="J483"/>
    </row>
    <row r="484" spans="1:10" ht="15" customHeight="1" hidden="1">
      <c r="A484" s="223" t="s">
        <v>458</v>
      </c>
      <c r="B484" s="21"/>
      <c r="C484" s="22" t="s">
        <v>1037</v>
      </c>
      <c r="D484" s="35" t="s">
        <v>663</v>
      </c>
      <c r="E484" s="41" t="s">
        <v>459</v>
      </c>
      <c r="F484" s="81"/>
      <c r="G484" s="24">
        <f t="shared" si="12"/>
        <v>0</v>
      </c>
      <c r="H484" s="24">
        <f t="shared" si="12"/>
        <v>0</v>
      </c>
      <c r="I484" s="24" t="e">
        <f t="shared" si="10"/>
        <v>#DIV/0!</v>
      </c>
      <c r="J484"/>
    </row>
    <row r="485" spans="1:10" ht="15" customHeight="1" hidden="1">
      <c r="A485" s="223" t="s">
        <v>460</v>
      </c>
      <c r="B485" s="21"/>
      <c r="C485" s="22" t="s">
        <v>1037</v>
      </c>
      <c r="D485" s="35" t="s">
        <v>663</v>
      </c>
      <c r="E485" s="41" t="s">
        <v>459</v>
      </c>
      <c r="F485" s="81">
        <v>273</v>
      </c>
      <c r="G485" s="24"/>
      <c r="H485" s="24"/>
      <c r="I485" s="24" t="e">
        <f t="shared" si="10"/>
        <v>#DIV/0!</v>
      </c>
      <c r="J485"/>
    </row>
    <row r="486" spans="1:12" s="20" customFormat="1" ht="15.75">
      <c r="A486" s="287" t="s">
        <v>1025</v>
      </c>
      <c r="B486" s="37"/>
      <c r="C486" s="38" t="s">
        <v>1026</v>
      </c>
      <c r="D486" s="38"/>
      <c r="E486" s="38"/>
      <c r="F486" s="39"/>
      <c r="G486" s="40">
        <f>SUM(G487+G545+G664+G700)</f>
        <v>1411600.2999999998</v>
      </c>
      <c r="H486" s="40">
        <f>SUM(H487+H545+H664+H700)</f>
        <v>716542.6</v>
      </c>
      <c r="I486" s="40">
        <f t="shared" si="10"/>
        <v>50.761012164704134</v>
      </c>
      <c r="L486" s="20">
        <f>SUM('[1]ведомствен.2012'!G553+'[1]ведомствен.2012'!G730+'[1]ведомствен.2012'!G1054+'[1]ведомствен.2012'!G1165+'[1]ведомствен.2012'!G1403)</f>
        <v>1411600.2999999998</v>
      </c>
    </row>
    <row r="487" spans="1:13" s="83" customFormat="1" ht="15.75">
      <c r="A487" s="223" t="s">
        <v>461</v>
      </c>
      <c r="B487" s="82"/>
      <c r="C487" s="35" t="s">
        <v>1026</v>
      </c>
      <c r="D487" s="35" t="s">
        <v>663</v>
      </c>
      <c r="E487" s="35"/>
      <c r="F487" s="26"/>
      <c r="G487" s="24">
        <f>SUM(G496+G536)+G528+G488+G492</f>
        <v>491856.3</v>
      </c>
      <c r="H487" s="24">
        <f>SUM(H496+H528)</f>
        <v>222557.3</v>
      </c>
      <c r="I487" s="24">
        <f t="shared" si="10"/>
        <v>45.24843943241146</v>
      </c>
      <c r="K487" s="83">
        <f>SUM(J487:J754)</f>
        <v>1411600.2999999996</v>
      </c>
      <c r="L487" s="301">
        <f>SUM(G486-K487)</f>
        <v>2.3283064365386963E-10</v>
      </c>
      <c r="M487" s="83">
        <f>SUM(J487:J544)</f>
        <v>491856.3</v>
      </c>
    </row>
    <row r="488" spans="1:12" s="83" customFormat="1" ht="28.5">
      <c r="A488" s="222" t="s">
        <v>1021</v>
      </c>
      <c r="B488" s="21"/>
      <c r="C488" s="35" t="s">
        <v>1026</v>
      </c>
      <c r="D488" s="35" t="s">
        <v>663</v>
      </c>
      <c r="E488" s="22" t="s">
        <v>1022</v>
      </c>
      <c r="F488" s="27"/>
      <c r="G488" s="24">
        <f>SUM(G489)</f>
        <v>5815.8</v>
      </c>
      <c r="H488" s="24"/>
      <c r="I488" s="24"/>
      <c r="L488" s="301"/>
    </row>
    <row r="489" spans="1:12" s="83" customFormat="1" ht="28.5">
      <c r="A489" s="239" t="s">
        <v>745</v>
      </c>
      <c r="B489" s="21"/>
      <c r="C489" s="35" t="s">
        <v>1026</v>
      </c>
      <c r="D489" s="35" t="s">
        <v>663</v>
      </c>
      <c r="E489" s="22" t="s">
        <v>746</v>
      </c>
      <c r="F489" s="26"/>
      <c r="G489" s="24">
        <f>SUM(G490:G491)</f>
        <v>5815.8</v>
      </c>
      <c r="H489" s="24"/>
      <c r="I489" s="24"/>
      <c r="L489" s="301"/>
    </row>
    <row r="490" spans="1:12" s="83" customFormat="1" ht="15">
      <c r="A490" s="228" t="s">
        <v>895</v>
      </c>
      <c r="B490" s="21"/>
      <c r="C490" s="35" t="s">
        <v>1026</v>
      </c>
      <c r="D490" s="35" t="s">
        <v>663</v>
      </c>
      <c r="E490" s="22" t="s">
        <v>746</v>
      </c>
      <c r="F490" s="88" t="s">
        <v>238</v>
      </c>
      <c r="G490" s="24">
        <v>1210.2</v>
      </c>
      <c r="H490" s="24"/>
      <c r="I490" s="24"/>
      <c r="J490" s="83">
        <f>SUM('[1]ведомствен.2012'!G1169)</f>
        <v>1210.2</v>
      </c>
      <c r="L490" s="301"/>
    </row>
    <row r="491" spans="1:12" s="83" customFormat="1" ht="28.5">
      <c r="A491" s="234" t="s">
        <v>1080</v>
      </c>
      <c r="B491" s="21"/>
      <c r="C491" s="35" t="s">
        <v>1026</v>
      </c>
      <c r="D491" s="35" t="s">
        <v>663</v>
      </c>
      <c r="E491" s="22" t="s">
        <v>746</v>
      </c>
      <c r="F491" s="23" t="s">
        <v>978</v>
      </c>
      <c r="G491" s="24">
        <v>4605.6</v>
      </c>
      <c r="H491" s="24"/>
      <c r="I491" s="24"/>
      <c r="J491" s="83">
        <f>SUM('[1]ведомствен.2012'!G1170)</f>
        <v>4605.6</v>
      </c>
      <c r="L491" s="301"/>
    </row>
    <row r="492" spans="1:12" s="83" customFormat="1" ht="15">
      <c r="A492" s="236" t="s">
        <v>1103</v>
      </c>
      <c r="B492" s="21"/>
      <c r="C492" s="35" t="s">
        <v>1026</v>
      </c>
      <c r="D492" s="35" t="s">
        <v>663</v>
      </c>
      <c r="E492" s="22" t="s">
        <v>1104</v>
      </c>
      <c r="F492" s="23"/>
      <c r="G492" s="24">
        <f>SUM(G493)</f>
        <v>354</v>
      </c>
      <c r="H492" s="24"/>
      <c r="I492" s="24"/>
      <c r="L492" s="301"/>
    </row>
    <row r="493" spans="1:12" s="83" customFormat="1" ht="28.5">
      <c r="A493" s="234" t="s">
        <v>726</v>
      </c>
      <c r="B493" s="21"/>
      <c r="C493" s="35" t="s">
        <v>1026</v>
      </c>
      <c r="D493" s="35" t="s">
        <v>663</v>
      </c>
      <c r="E493" s="22" t="s">
        <v>727</v>
      </c>
      <c r="F493" s="23"/>
      <c r="G493" s="24">
        <f>SUM(G494:G495)</f>
        <v>354</v>
      </c>
      <c r="H493" s="24"/>
      <c r="I493" s="24"/>
      <c r="L493" s="301"/>
    </row>
    <row r="494" spans="1:12" s="83" customFormat="1" ht="15">
      <c r="A494" s="228" t="s">
        <v>895</v>
      </c>
      <c r="B494" s="21"/>
      <c r="C494" s="35" t="s">
        <v>1026</v>
      </c>
      <c r="D494" s="35" t="s">
        <v>663</v>
      </c>
      <c r="E494" s="22" t="s">
        <v>727</v>
      </c>
      <c r="F494" s="88" t="s">
        <v>238</v>
      </c>
      <c r="G494" s="24">
        <v>12</v>
      </c>
      <c r="H494" s="24"/>
      <c r="I494" s="24"/>
      <c r="J494" s="83">
        <f>SUM('[1]ведомствен.2012'!G1173)</f>
        <v>12</v>
      </c>
      <c r="L494" s="301"/>
    </row>
    <row r="495" spans="1:12" s="83" customFormat="1" ht="28.5">
      <c r="A495" s="234" t="s">
        <v>1080</v>
      </c>
      <c r="B495" s="21"/>
      <c r="C495" s="35" t="s">
        <v>1026</v>
      </c>
      <c r="D495" s="35" t="s">
        <v>663</v>
      </c>
      <c r="E495" s="22" t="s">
        <v>727</v>
      </c>
      <c r="F495" s="23" t="s">
        <v>978</v>
      </c>
      <c r="G495" s="24">
        <v>342</v>
      </c>
      <c r="H495" s="24"/>
      <c r="I495" s="24"/>
      <c r="J495" s="83">
        <f>SUM('[1]ведомствен.2012'!G1174)</f>
        <v>342</v>
      </c>
      <c r="L495" s="301"/>
    </row>
    <row r="496" spans="1:11" s="83" customFormat="1" ht="15.75">
      <c r="A496" s="223" t="s">
        <v>462</v>
      </c>
      <c r="B496" s="82"/>
      <c r="C496" s="35" t="s">
        <v>1026</v>
      </c>
      <c r="D496" s="35" t="s">
        <v>663</v>
      </c>
      <c r="E496" s="35" t="s">
        <v>463</v>
      </c>
      <c r="F496" s="26"/>
      <c r="G496" s="24">
        <f>SUM(G497+G511)</f>
        <v>456469.2</v>
      </c>
      <c r="H496" s="24">
        <f>SUM(H512)</f>
        <v>213007.5</v>
      </c>
      <c r="I496" s="24">
        <f t="shared" si="10"/>
        <v>46.6641560920211</v>
      </c>
      <c r="K496" s="83">
        <f>SUM('[1]ведомствен.2012'!G731+'[1]ведомствен.2012'!G1166+'[1]ведомствен.2012'!G558)</f>
        <v>491856.30000000005</v>
      </c>
    </row>
    <row r="497" spans="1:11" s="83" customFormat="1" ht="28.5">
      <c r="A497" s="223" t="s">
        <v>811</v>
      </c>
      <c r="B497" s="82"/>
      <c r="C497" s="35" t="s">
        <v>1026</v>
      </c>
      <c r="D497" s="35" t="s">
        <v>663</v>
      </c>
      <c r="E497" s="35" t="s">
        <v>983</v>
      </c>
      <c r="F497" s="26"/>
      <c r="G497" s="24">
        <f>SUM(G500)+G509+G502+G498</f>
        <v>396185</v>
      </c>
      <c r="H497" s="24"/>
      <c r="I497" s="24"/>
      <c r="K497" s="83">
        <f>SUM(J498:J544)</f>
        <v>485686.49999999994</v>
      </c>
    </row>
    <row r="498" spans="1:10" ht="64.5" customHeight="1">
      <c r="A498" s="223" t="s">
        <v>1253</v>
      </c>
      <c r="B498" s="82"/>
      <c r="C498" s="35" t="s">
        <v>1026</v>
      </c>
      <c r="D498" s="35" t="s">
        <v>663</v>
      </c>
      <c r="E498" s="35" t="s">
        <v>1254</v>
      </c>
      <c r="F498" s="26"/>
      <c r="G498" s="24">
        <f>SUM(G499)</f>
        <v>486.6</v>
      </c>
      <c r="H498" s="24"/>
      <c r="I498" s="24"/>
      <c r="J498"/>
    </row>
    <row r="499" spans="1:10" ht="28.5" customHeight="1">
      <c r="A499" s="223" t="s">
        <v>1126</v>
      </c>
      <c r="B499" s="82"/>
      <c r="C499" s="35" t="s">
        <v>1026</v>
      </c>
      <c r="D499" s="35" t="s">
        <v>663</v>
      </c>
      <c r="E499" s="35" t="s">
        <v>1254</v>
      </c>
      <c r="F499" s="26" t="s">
        <v>978</v>
      </c>
      <c r="G499" s="24">
        <v>486.6</v>
      </c>
      <c r="H499" s="24"/>
      <c r="I499" s="24"/>
      <c r="J499">
        <f>SUM('[1]ведомствен.2012'!G1178)</f>
        <v>486.6</v>
      </c>
    </row>
    <row r="500" spans="1:9" s="83" customFormat="1" ht="28.5">
      <c r="A500" s="223" t="s">
        <v>1232</v>
      </c>
      <c r="B500" s="82"/>
      <c r="C500" s="35" t="s">
        <v>1026</v>
      </c>
      <c r="D500" s="35" t="s">
        <v>663</v>
      </c>
      <c r="E500" s="35" t="s">
        <v>984</v>
      </c>
      <c r="F500" s="26"/>
      <c r="G500" s="24">
        <f>SUM(G501)</f>
        <v>390533.7</v>
      </c>
      <c r="H500" s="24"/>
      <c r="I500" s="24"/>
    </row>
    <row r="501" spans="1:10" s="83" customFormat="1" ht="42.75">
      <c r="A501" s="226" t="s">
        <v>1125</v>
      </c>
      <c r="B501" s="51"/>
      <c r="C501" s="35" t="s">
        <v>1026</v>
      </c>
      <c r="D501" s="35" t="s">
        <v>663</v>
      </c>
      <c r="E501" s="35" t="s">
        <v>984</v>
      </c>
      <c r="F501" s="27" t="s">
        <v>897</v>
      </c>
      <c r="G501" s="24">
        <v>390533.7</v>
      </c>
      <c r="H501" s="24"/>
      <c r="I501" s="24"/>
      <c r="J501" s="83">
        <f>SUM('[1]ведомствен.2012'!G1180)</f>
        <v>390533.7</v>
      </c>
    </row>
    <row r="502" spans="1:9" s="83" customFormat="1" ht="28.5">
      <c r="A502" s="226" t="s">
        <v>1126</v>
      </c>
      <c r="B502" s="82"/>
      <c r="C502" s="35" t="s">
        <v>1026</v>
      </c>
      <c r="D502" s="35" t="s">
        <v>663</v>
      </c>
      <c r="E502" s="35" t="s">
        <v>1098</v>
      </c>
      <c r="F502" s="26"/>
      <c r="G502" s="24">
        <f>SUM(G508)+G504+G506</f>
        <v>3013.2</v>
      </c>
      <c r="H502" s="24"/>
      <c r="I502" s="24"/>
    </row>
    <row r="503" spans="1:10" ht="30" customHeight="1">
      <c r="A503" s="234" t="s">
        <v>1081</v>
      </c>
      <c r="B503" s="82"/>
      <c r="C503" s="35" t="s">
        <v>1026</v>
      </c>
      <c r="D503" s="35" t="s">
        <v>663</v>
      </c>
      <c r="E503" s="35" t="s">
        <v>1240</v>
      </c>
      <c r="F503" s="26"/>
      <c r="G503" s="24">
        <f>SUM(G504)</f>
        <v>420</v>
      </c>
      <c r="H503" s="24"/>
      <c r="I503" s="24"/>
      <c r="J503"/>
    </row>
    <row r="504" spans="1:10" ht="30" customHeight="1">
      <c r="A504" s="234" t="s">
        <v>1080</v>
      </c>
      <c r="B504" s="82"/>
      <c r="C504" s="35" t="s">
        <v>1026</v>
      </c>
      <c r="D504" s="35" t="s">
        <v>663</v>
      </c>
      <c r="E504" s="35" t="s">
        <v>1240</v>
      </c>
      <c r="F504" s="26" t="s">
        <v>978</v>
      </c>
      <c r="G504" s="24">
        <v>420</v>
      </c>
      <c r="H504" s="24"/>
      <c r="I504" s="24"/>
      <c r="J504">
        <f>SUM('[1]ведомствен.2012'!G1183)</f>
        <v>420</v>
      </c>
    </row>
    <row r="505" spans="1:10" ht="30" customHeight="1">
      <c r="A505" s="234" t="s">
        <v>578</v>
      </c>
      <c r="B505" s="82"/>
      <c r="C505" s="35" t="s">
        <v>1026</v>
      </c>
      <c r="D505" s="35" t="s">
        <v>663</v>
      </c>
      <c r="E505" s="35" t="s">
        <v>1241</v>
      </c>
      <c r="F505" s="26"/>
      <c r="G505" s="24">
        <f>SUM(G506)</f>
        <v>371.5</v>
      </c>
      <c r="H505" s="24"/>
      <c r="I505" s="24"/>
      <c r="J505"/>
    </row>
    <row r="506" spans="1:10" ht="30" customHeight="1">
      <c r="A506" s="234" t="s">
        <v>1080</v>
      </c>
      <c r="B506" s="82"/>
      <c r="C506" s="35" t="s">
        <v>1026</v>
      </c>
      <c r="D506" s="35" t="s">
        <v>663</v>
      </c>
      <c r="E506" s="35" t="s">
        <v>1241</v>
      </c>
      <c r="F506" s="26" t="s">
        <v>978</v>
      </c>
      <c r="G506" s="24">
        <v>371.5</v>
      </c>
      <c r="H506" s="24"/>
      <c r="I506" s="24"/>
      <c r="J506">
        <f>SUM('[1]ведомствен.2012'!G1185)</f>
        <v>371.5</v>
      </c>
    </row>
    <row r="507" spans="1:9" s="83" customFormat="1" ht="28.5">
      <c r="A507" s="222" t="s">
        <v>1261</v>
      </c>
      <c r="B507" s="82"/>
      <c r="C507" s="35" t="s">
        <v>1026</v>
      </c>
      <c r="D507" s="35" t="s">
        <v>663</v>
      </c>
      <c r="E507" s="35" t="s">
        <v>1268</v>
      </c>
      <c r="F507" s="26"/>
      <c r="G507" s="24">
        <f>SUM(G508)</f>
        <v>2221.7</v>
      </c>
      <c r="H507" s="24"/>
      <c r="I507" s="24"/>
    </row>
    <row r="508" spans="1:10" s="83" customFormat="1" ht="28.5">
      <c r="A508" s="226" t="s">
        <v>1080</v>
      </c>
      <c r="B508" s="82"/>
      <c r="C508" s="35" t="s">
        <v>1026</v>
      </c>
      <c r="D508" s="35" t="s">
        <v>663</v>
      </c>
      <c r="E508" s="35" t="s">
        <v>1268</v>
      </c>
      <c r="F508" s="26" t="s">
        <v>978</v>
      </c>
      <c r="G508" s="24">
        <v>2221.7</v>
      </c>
      <c r="H508" s="24"/>
      <c r="I508" s="24"/>
      <c r="J508" s="83">
        <f>SUM('[1]ведомствен.2012'!G1187)</f>
        <v>2221.7</v>
      </c>
    </row>
    <row r="509" spans="1:9" s="83" customFormat="1" ht="28.5">
      <c r="A509" s="226" t="s">
        <v>472</v>
      </c>
      <c r="B509" s="21"/>
      <c r="C509" s="52" t="s">
        <v>1026</v>
      </c>
      <c r="D509" s="52" t="s">
        <v>663</v>
      </c>
      <c r="E509" s="52" t="s">
        <v>986</v>
      </c>
      <c r="F509" s="26"/>
      <c r="G509" s="24">
        <f>SUM(G510)</f>
        <v>2151.5</v>
      </c>
      <c r="H509" s="24"/>
      <c r="I509" s="24"/>
    </row>
    <row r="510" spans="1:10" s="83" customFormat="1" ht="28.5">
      <c r="A510" s="220" t="s">
        <v>1126</v>
      </c>
      <c r="B510" s="51"/>
      <c r="C510" s="35" t="s">
        <v>1026</v>
      </c>
      <c r="D510" s="35" t="s">
        <v>663</v>
      </c>
      <c r="E510" s="52" t="s">
        <v>986</v>
      </c>
      <c r="F510" s="27" t="s">
        <v>978</v>
      </c>
      <c r="G510" s="24">
        <v>2151.5</v>
      </c>
      <c r="H510" s="24"/>
      <c r="I510" s="24"/>
      <c r="J510" s="83">
        <f>SUM('[1]ведомствен.2012'!G1189)</f>
        <v>2151.5</v>
      </c>
    </row>
    <row r="511" spans="1:9" s="83" customFormat="1" ht="28.5">
      <c r="A511" s="223" t="s">
        <v>894</v>
      </c>
      <c r="B511" s="82"/>
      <c r="C511" s="35" t="s">
        <v>1026</v>
      </c>
      <c r="D511" s="35" t="s">
        <v>663</v>
      </c>
      <c r="E511" s="35" t="s">
        <v>464</v>
      </c>
      <c r="F511" s="26"/>
      <c r="G511" s="24">
        <f>SUM(G519+G512)+G514+G515</f>
        <v>60284.200000000004</v>
      </c>
      <c r="H511" s="24"/>
      <c r="I511" s="24"/>
    </row>
    <row r="512" spans="1:10" s="83" customFormat="1" ht="18.75" customHeight="1">
      <c r="A512" s="226" t="s">
        <v>895</v>
      </c>
      <c r="B512" s="51"/>
      <c r="C512" s="52" t="s">
        <v>1026</v>
      </c>
      <c r="D512" s="52" t="s">
        <v>663</v>
      </c>
      <c r="E512" s="52" t="s">
        <v>464</v>
      </c>
      <c r="F512" s="27" t="s">
        <v>238</v>
      </c>
      <c r="G512" s="24">
        <v>59661.3</v>
      </c>
      <c r="H512" s="24">
        <f>SUM(H518+H522+H524+H526+H520)</f>
        <v>213007.5</v>
      </c>
      <c r="I512" s="24">
        <f>SUM(H512/G512*100)</f>
        <v>357.027922623208</v>
      </c>
      <c r="J512" s="83">
        <f>SUM('[1]ведомствен.2012'!G1191)+'[1]ведомствен.2012'!G734</f>
        <v>59661.3</v>
      </c>
    </row>
    <row r="513" spans="1:10" ht="57" customHeight="1">
      <c r="A513" s="223" t="s">
        <v>1253</v>
      </c>
      <c r="B513" s="51"/>
      <c r="C513" s="52" t="s">
        <v>1026</v>
      </c>
      <c r="D513" s="52" t="s">
        <v>663</v>
      </c>
      <c r="E513" s="52" t="s">
        <v>467</v>
      </c>
      <c r="F513" s="27"/>
      <c r="G513" s="24">
        <f>SUM(G514)</f>
        <v>176.3</v>
      </c>
      <c r="H513" s="24"/>
      <c r="I513" s="24"/>
      <c r="J513"/>
    </row>
    <row r="514" spans="1:10" ht="18.75" customHeight="1">
      <c r="A514" s="226" t="s">
        <v>895</v>
      </c>
      <c r="B514" s="51"/>
      <c r="C514" s="52" t="s">
        <v>1026</v>
      </c>
      <c r="D514" s="52" t="s">
        <v>663</v>
      </c>
      <c r="E514" s="52" t="s">
        <v>467</v>
      </c>
      <c r="F514" s="27" t="s">
        <v>238</v>
      </c>
      <c r="G514" s="24">
        <v>176.3</v>
      </c>
      <c r="H514" s="24">
        <v>187516.5</v>
      </c>
      <c r="I514" s="24">
        <f>SUM(H514/G514*100)</f>
        <v>106362.16676120248</v>
      </c>
      <c r="J514">
        <f>SUM('[1]ведомствен.2012'!G1193)</f>
        <v>176.3</v>
      </c>
    </row>
    <row r="515" spans="1:9" s="36" customFormat="1" ht="32.25" customHeight="1">
      <c r="A515" s="228" t="s">
        <v>1242</v>
      </c>
      <c r="B515" s="34"/>
      <c r="C515" s="35" t="s">
        <v>1026</v>
      </c>
      <c r="D515" s="35" t="s">
        <v>663</v>
      </c>
      <c r="E515" s="35" t="s">
        <v>1243</v>
      </c>
      <c r="F515" s="26"/>
      <c r="G515" s="24">
        <f>SUM(G516:G517)</f>
        <v>61.4</v>
      </c>
      <c r="H515" s="24"/>
      <c r="I515" s="24"/>
    </row>
    <row r="516" spans="1:10" s="36" customFormat="1" ht="18.75" customHeight="1">
      <c r="A516" s="228" t="s">
        <v>895</v>
      </c>
      <c r="B516" s="140"/>
      <c r="C516" s="35" t="s">
        <v>1026</v>
      </c>
      <c r="D516" s="35" t="s">
        <v>663</v>
      </c>
      <c r="E516" s="35" t="s">
        <v>1243</v>
      </c>
      <c r="F516" s="26" t="s">
        <v>238</v>
      </c>
      <c r="G516" s="24">
        <v>8.4</v>
      </c>
      <c r="H516" s="24">
        <v>187516.5</v>
      </c>
      <c r="I516" s="24">
        <f>SUM(H516/G516*100)</f>
        <v>2232339.2857142854</v>
      </c>
      <c r="J516" s="36">
        <f>SUM('[1]ведомствен.2012'!G1195)</f>
        <v>8.4</v>
      </c>
    </row>
    <row r="517" spans="1:10" s="36" customFormat="1" ht="18.75" customHeight="1">
      <c r="A517" s="228" t="s">
        <v>1126</v>
      </c>
      <c r="B517" s="51"/>
      <c r="C517" s="35" t="s">
        <v>1026</v>
      </c>
      <c r="D517" s="35" t="s">
        <v>663</v>
      </c>
      <c r="E517" s="35" t="s">
        <v>1243</v>
      </c>
      <c r="F517" s="27" t="s">
        <v>978</v>
      </c>
      <c r="G517" s="24">
        <v>53</v>
      </c>
      <c r="H517" s="24"/>
      <c r="I517" s="24"/>
      <c r="J517" s="36">
        <f>SUM('[1]ведомствен.2012'!G1196)</f>
        <v>53</v>
      </c>
    </row>
    <row r="518" spans="1:10" s="83" customFormat="1" ht="35.25" customHeight="1">
      <c r="A518" s="226" t="s">
        <v>472</v>
      </c>
      <c r="B518" s="21"/>
      <c r="C518" s="52" t="s">
        <v>1026</v>
      </c>
      <c r="D518" s="52" t="s">
        <v>663</v>
      </c>
      <c r="E518" s="52" t="s">
        <v>473</v>
      </c>
      <c r="F518" s="26"/>
      <c r="G518" s="24">
        <f>SUM(G519)</f>
        <v>385.2</v>
      </c>
      <c r="H518" s="24">
        <v>187516.5</v>
      </c>
      <c r="I518" s="24">
        <f aca="true" t="shared" si="13" ref="I518:I529">SUM(H518/G518*100)</f>
        <v>48680.29595015576</v>
      </c>
      <c r="J518" s="163"/>
    </row>
    <row r="519" spans="1:10" s="83" customFormat="1" ht="15.75" customHeight="1">
      <c r="A519" s="226" t="s">
        <v>895</v>
      </c>
      <c r="B519" s="51"/>
      <c r="C519" s="52" t="s">
        <v>1026</v>
      </c>
      <c r="D519" s="52" t="s">
        <v>663</v>
      </c>
      <c r="E519" s="52" t="s">
        <v>473</v>
      </c>
      <c r="F519" s="27" t="s">
        <v>238</v>
      </c>
      <c r="G519" s="24">
        <v>385.2</v>
      </c>
      <c r="H519" s="24"/>
      <c r="I519" s="24">
        <f t="shared" si="13"/>
        <v>0</v>
      </c>
      <c r="J519" s="83">
        <f>SUM('[1]ведомствен.2012'!G1198)</f>
        <v>385.2</v>
      </c>
    </row>
    <row r="520" spans="1:10" ht="19.5" customHeight="1" hidden="1">
      <c r="A520" s="226" t="s">
        <v>1253</v>
      </c>
      <c r="B520" s="51"/>
      <c r="C520" s="52" t="s">
        <v>1026</v>
      </c>
      <c r="D520" s="52" t="s">
        <v>663</v>
      </c>
      <c r="E520" s="52" t="s">
        <v>467</v>
      </c>
      <c r="F520" s="27"/>
      <c r="G520" s="24">
        <f>SUM(G521)</f>
        <v>0</v>
      </c>
      <c r="H520" s="24">
        <f>SUM(H521)</f>
        <v>120.3</v>
      </c>
      <c r="I520" s="24" t="e">
        <f t="shared" si="13"/>
        <v>#DIV/0!</v>
      </c>
      <c r="J520"/>
    </row>
    <row r="521" spans="1:10" ht="17.25" customHeight="1" hidden="1">
      <c r="A521" s="226" t="s">
        <v>468</v>
      </c>
      <c r="B521" s="51"/>
      <c r="C521" s="52" t="s">
        <v>1026</v>
      </c>
      <c r="D521" s="52" t="s">
        <v>663</v>
      </c>
      <c r="E521" s="52" t="s">
        <v>467</v>
      </c>
      <c r="F521" s="27" t="s">
        <v>469</v>
      </c>
      <c r="G521" s="24"/>
      <c r="H521" s="24">
        <v>120.3</v>
      </c>
      <c r="I521" s="24" t="e">
        <f t="shared" si="13"/>
        <v>#DIV/0!</v>
      </c>
      <c r="J521"/>
    </row>
    <row r="522" spans="1:9" s="83" customFormat="1" ht="32.25" customHeight="1" hidden="1">
      <c r="A522" s="226" t="s">
        <v>470</v>
      </c>
      <c r="B522" s="21"/>
      <c r="C522" s="52" t="s">
        <v>1026</v>
      </c>
      <c r="D522" s="52" t="s">
        <v>663</v>
      </c>
      <c r="E522" s="52" t="s">
        <v>471</v>
      </c>
      <c r="F522" s="26"/>
      <c r="G522" s="24">
        <f>SUM(G523)</f>
        <v>0</v>
      </c>
      <c r="H522" s="24">
        <f>SUM(H523)</f>
        <v>24134</v>
      </c>
      <c r="I522" s="24" t="e">
        <f t="shared" si="13"/>
        <v>#DIV/0!</v>
      </c>
    </row>
    <row r="523" spans="1:10" s="83" customFormat="1" ht="17.25" customHeight="1" hidden="1">
      <c r="A523" s="226" t="s">
        <v>237</v>
      </c>
      <c r="B523" s="51"/>
      <c r="C523" s="52" t="s">
        <v>1026</v>
      </c>
      <c r="D523" s="52" t="s">
        <v>663</v>
      </c>
      <c r="E523" s="52" t="s">
        <v>471</v>
      </c>
      <c r="F523" s="27" t="s">
        <v>238</v>
      </c>
      <c r="G523" s="24"/>
      <c r="H523" s="24">
        <v>24134</v>
      </c>
      <c r="I523" s="24" t="e">
        <f t="shared" si="13"/>
        <v>#DIV/0!</v>
      </c>
      <c r="J523" s="163"/>
    </row>
    <row r="524" spans="1:10" s="83" customFormat="1" ht="33" customHeight="1" hidden="1">
      <c r="A524" s="226" t="s">
        <v>472</v>
      </c>
      <c r="B524" s="51"/>
      <c r="C524" s="52" t="s">
        <v>1026</v>
      </c>
      <c r="D524" s="52" t="s">
        <v>663</v>
      </c>
      <c r="E524" s="52" t="s">
        <v>473</v>
      </c>
      <c r="F524" s="27"/>
      <c r="G524" s="24">
        <f>SUM(G525)</f>
        <v>0</v>
      </c>
      <c r="H524" s="24">
        <f>SUM(H525)</f>
        <v>1236.7</v>
      </c>
      <c r="I524" s="24" t="e">
        <f t="shared" si="13"/>
        <v>#DIV/0!</v>
      </c>
      <c r="J524" s="163"/>
    </row>
    <row r="525" spans="1:10" s="83" customFormat="1" ht="15.75" customHeight="1" hidden="1">
      <c r="A525" s="226" t="s">
        <v>237</v>
      </c>
      <c r="B525" s="51"/>
      <c r="C525" s="52" t="s">
        <v>1026</v>
      </c>
      <c r="D525" s="52" t="s">
        <v>663</v>
      </c>
      <c r="E525" s="52" t="s">
        <v>473</v>
      </c>
      <c r="F525" s="27" t="s">
        <v>238</v>
      </c>
      <c r="G525" s="24"/>
      <c r="H525" s="24">
        <v>1236.7</v>
      </c>
      <c r="I525" s="24" t="e">
        <f t="shared" si="13"/>
        <v>#DIV/0!</v>
      </c>
      <c r="J525" s="163"/>
    </row>
    <row r="526" spans="1:10" s="83" customFormat="1" ht="26.25" customHeight="1" hidden="1">
      <c r="A526" s="223" t="s">
        <v>474</v>
      </c>
      <c r="B526" s="28"/>
      <c r="C526" s="52" t="s">
        <v>1026</v>
      </c>
      <c r="D526" s="52" t="s">
        <v>663</v>
      </c>
      <c r="E526" s="52" t="s">
        <v>475</v>
      </c>
      <c r="F526" s="27"/>
      <c r="G526" s="24">
        <f>SUM(G527)</f>
        <v>0</v>
      </c>
      <c r="H526" s="24">
        <f>SUM(H527)</f>
        <v>0</v>
      </c>
      <c r="I526" s="24" t="e">
        <f t="shared" si="13"/>
        <v>#DIV/0!</v>
      </c>
      <c r="J526" s="163"/>
    </row>
    <row r="527" spans="1:10" s="83" customFormat="1" ht="21" customHeight="1" hidden="1">
      <c r="A527" s="226" t="s">
        <v>237</v>
      </c>
      <c r="B527" s="28"/>
      <c r="C527" s="52" t="s">
        <v>1026</v>
      </c>
      <c r="D527" s="52" t="s">
        <v>663</v>
      </c>
      <c r="E527" s="52" t="s">
        <v>475</v>
      </c>
      <c r="F527" s="27" t="s">
        <v>238</v>
      </c>
      <c r="G527" s="24"/>
      <c r="H527" s="24"/>
      <c r="I527" s="24" t="e">
        <f t="shared" si="13"/>
        <v>#DIV/0!</v>
      </c>
      <c r="J527" s="163"/>
    </row>
    <row r="528" spans="1:15" s="83" customFormat="1" ht="15.75" customHeight="1">
      <c r="A528" s="223" t="s">
        <v>785</v>
      </c>
      <c r="B528" s="51"/>
      <c r="C528" s="52" t="s">
        <v>1026</v>
      </c>
      <c r="D528" s="52" t="s">
        <v>663</v>
      </c>
      <c r="E528" s="35" t="s">
        <v>786</v>
      </c>
      <c r="F528" s="27"/>
      <c r="G528" s="24">
        <f>SUM(G529)+G533</f>
        <v>12081.2</v>
      </c>
      <c r="H528" s="24">
        <f>SUM(H529)</f>
        <v>9549.8</v>
      </c>
      <c r="I528" s="24">
        <f t="shared" si="13"/>
        <v>79.04678343210938</v>
      </c>
      <c r="O528" s="301">
        <f>SUM(G528+G536)</f>
        <v>29217.3</v>
      </c>
    </row>
    <row r="529" spans="1:9" s="83" customFormat="1" ht="45" customHeight="1">
      <c r="A529" s="223" t="s">
        <v>1072</v>
      </c>
      <c r="B529" s="51"/>
      <c r="C529" s="52" t="s">
        <v>1026</v>
      </c>
      <c r="D529" s="52" t="s">
        <v>663</v>
      </c>
      <c r="E529" s="35" t="s">
        <v>477</v>
      </c>
      <c r="F529" s="27"/>
      <c r="G529" s="24">
        <f>SUM(G532+G530)+G531</f>
        <v>11970.2</v>
      </c>
      <c r="H529" s="24">
        <f>SUM(H530)</f>
        <v>9549.8</v>
      </c>
      <c r="I529" s="24">
        <f t="shared" si="13"/>
        <v>79.77978646973315</v>
      </c>
    </row>
    <row r="530" spans="1:10" ht="18.75" customHeight="1">
      <c r="A530" s="226" t="s">
        <v>237</v>
      </c>
      <c r="B530" s="51"/>
      <c r="C530" s="52" t="s">
        <v>1026</v>
      </c>
      <c r="D530" s="52" t="s">
        <v>663</v>
      </c>
      <c r="E530" s="35" t="s">
        <v>477</v>
      </c>
      <c r="F530" s="27" t="s">
        <v>238</v>
      </c>
      <c r="G530" s="24">
        <v>1722.1</v>
      </c>
      <c r="H530" s="24">
        <v>9549.8</v>
      </c>
      <c r="I530" s="24">
        <f aca="true" t="shared" si="14" ref="I530:I542">SUM(H530/G530*100)</f>
        <v>554.543870855351</v>
      </c>
      <c r="J530">
        <f>SUM('[1]ведомствен.2012'!G1215)</f>
        <v>1722.1</v>
      </c>
    </row>
    <row r="531" spans="1:10" ht="18.75" customHeight="1" hidden="1">
      <c r="A531" s="231" t="s">
        <v>1053</v>
      </c>
      <c r="B531" s="51"/>
      <c r="C531" s="52" t="s">
        <v>1026</v>
      </c>
      <c r="D531" s="52" t="s">
        <v>663</v>
      </c>
      <c r="E531" s="35" t="s">
        <v>477</v>
      </c>
      <c r="F531" s="27" t="s">
        <v>1054</v>
      </c>
      <c r="G531" s="24"/>
      <c r="H531" s="24">
        <v>9549.8</v>
      </c>
      <c r="I531" s="24" t="e">
        <f t="shared" si="14"/>
        <v>#DIV/0!</v>
      </c>
      <c r="J531">
        <f>SUM('[1]ведомствен.2012'!G557)</f>
        <v>0</v>
      </c>
    </row>
    <row r="532" spans="1:10" ht="31.5" customHeight="1">
      <c r="A532" s="220" t="s">
        <v>1126</v>
      </c>
      <c r="B532" s="51"/>
      <c r="C532" s="35" t="s">
        <v>1026</v>
      </c>
      <c r="D532" s="35" t="s">
        <v>663</v>
      </c>
      <c r="E532" s="35" t="s">
        <v>477</v>
      </c>
      <c r="F532" s="27" t="s">
        <v>978</v>
      </c>
      <c r="G532" s="24">
        <v>10248.1</v>
      </c>
      <c r="H532" s="24">
        <v>56722</v>
      </c>
      <c r="I532" s="24">
        <f t="shared" si="14"/>
        <v>553.4879636225252</v>
      </c>
      <c r="J532">
        <f>SUM('[1]ведомствен.2012'!G1216)</f>
        <v>10248.1</v>
      </c>
    </row>
    <row r="533" spans="1:10" ht="31.5" customHeight="1">
      <c r="A533" s="228" t="s">
        <v>749</v>
      </c>
      <c r="B533" s="51"/>
      <c r="C533" s="52" t="s">
        <v>1026</v>
      </c>
      <c r="D533" s="52" t="s">
        <v>663</v>
      </c>
      <c r="E533" s="35" t="s">
        <v>1067</v>
      </c>
      <c r="F533" s="27"/>
      <c r="G533" s="24">
        <f>SUM(G534:G535)</f>
        <v>111</v>
      </c>
      <c r="H533" s="24"/>
      <c r="I533" s="24"/>
      <c r="J533"/>
    </row>
    <row r="534" spans="1:10" ht="31.5" customHeight="1">
      <c r="A534" s="234" t="s">
        <v>237</v>
      </c>
      <c r="B534" s="51"/>
      <c r="C534" s="52" t="s">
        <v>1026</v>
      </c>
      <c r="D534" s="52" t="s">
        <v>663</v>
      </c>
      <c r="E534" s="35" t="s">
        <v>1067</v>
      </c>
      <c r="F534" s="27" t="s">
        <v>238</v>
      </c>
      <c r="G534" s="24">
        <v>14</v>
      </c>
      <c r="H534" s="24"/>
      <c r="I534" s="24"/>
      <c r="J534">
        <f>SUM('[1]ведомствен.2012'!G1218)</f>
        <v>14</v>
      </c>
    </row>
    <row r="535" spans="1:10" ht="31.5" customHeight="1">
      <c r="A535" s="228" t="s">
        <v>1126</v>
      </c>
      <c r="B535" s="51"/>
      <c r="C535" s="35" t="s">
        <v>1026</v>
      </c>
      <c r="D535" s="35" t="s">
        <v>663</v>
      </c>
      <c r="E535" s="35" t="s">
        <v>1067</v>
      </c>
      <c r="F535" s="27" t="s">
        <v>978</v>
      </c>
      <c r="G535" s="24">
        <v>97</v>
      </c>
      <c r="H535" s="24"/>
      <c r="I535" s="24"/>
      <c r="J535">
        <f>SUM('[1]ведомствен.2012'!G1219)</f>
        <v>97</v>
      </c>
    </row>
    <row r="536" spans="1:10" ht="15.75">
      <c r="A536" s="223" t="s">
        <v>1046</v>
      </c>
      <c r="B536" s="82"/>
      <c r="C536" s="31" t="s">
        <v>1026</v>
      </c>
      <c r="D536" s="31" t="s">
        <v>663</v>
      </c>
      <c r="E536" s="31" t="s">
        <v>1047</v>
      </c>
      <c r="F536" s="88"/>
      <c r="G536" s="24">
        <f>SUM(G540)+G537</f>
        <v>17136.1</v>
      </c>
      <c r="H536" s="24">
        <f>SUM(H540)</f>
        <v>0</v>
      </c>
      <c r="I536" s="24">
        <f t="shared" si="14"/>
        <v>0</v>
      </c>
      <c r="J536"/>
    </row>
    <row r="537" spans="1:9" s="36" customFormat="1" ht="42" customHeight="1">
      <c r="A537" s="228" t="s">
        <v>1244</v>
      </c>
      <c r="B537" s="140"/>
      <c r="C537" s="31" t="s">
        <v>1026</v>
      </c>
      <c r="D537" s="31" t="s">
        <v>663</v>
      </c>
      <c r="E537" s="31" t="s">
        <v>383</v>
      </c>
      <c r="F537" s="88"/>
      <c r="G537" s="24">
        <f>SUM(G539)+G538</f>
        <v>2978.1</v>
      </c>
      <c r="H537" s="24"/>
      <c r="I537" s="24"/>
    </row>
    <row r="538" spans="1:10" s="36" customFormat="1" ht="21" customHeight="1">
      <c r="A538" s="228" t="s">
        <v>1301</v>
      </c>
      <c r="B538" s="140"/>
      <c r="C538" s="31" t="s">
        <v>1026</v>
      </c>
      <c r="D538" s="31" t="s">
        <v>663</v>
      </c>
      <c r="E538" s="31" t="s">
        <v>383</v>
      </c>
      <c r="F538" s="88" t="s">
        <v>1302</v>
      </c>
      <c r="G538" s="24">
        <v>196.1</v>
      </c>
      <c r="H538" s="24"/>
      <c r="I538" s="24"/>
      <c r="J538" s="36">
        <f>SUM('[1]ведомствен.2012'!G1222)</f>
        <v>196.1</v>
      </c>
    </row>
    <row r="539" spans="1:10" s="36" customFormat="1" ht="28.5" customHeight="1">
      <c r="A539" s="228" t="s">
        <v>1126</v>
      </c>
      <c r="B539" s="140"/>
      <c r="C539" s="31" t="s">
        <v>1026</v>
      </c>
      <c r="D539" s="31" t="s">
        <v>663</v>
      </c>
      <c r="E539" s="31" t="s">
        <v>383</v>
      </c>
      <c r="F539" s="88" t="s">
        <v>978</v>
      </c>
      <c r="G539" s="24">
        <v>2782</v>
      </c>
      <c r="H539" s="24"/>
      <c r="I539" s="24"/>
      <c r="J539" s="36">
        <f>SUM('[1]ведомствен.2012'!G1223)</f>
        <v>2782</v>
      </c>
    </row>
    <row r="540" spans="1:10" ht="42.75">
      <c r="A540" s="223" t="s">
        <v>898</v>
      </c>
      <c r="B540" s="82"/>
      <c r="C540" s="31" t="s">
        <v>1026</v>
      </c>
      <c r="D540" s="31" t="s">
        <v>663</v>
      </c>
      <c r="E540" s="31" t="s">
        <v>899</v>
      </c>
      <c r="F540" s="88"/>
      <c r="G540" s="24">
        <f>SUM(G542,G543,G544)+G541</f>
        <v>14158</v>
      </c>
      <c r="H540" s="24">
        <f>SUM(H542)</f>
        <v>0</v>
      </c>
      <c r="I540" s="24">
        <f t="shared" si="14"/>
        <v>0</v>
      </c>
      <c r="J540" s="36"/>
    </row>
    <row r="541" spans="1:10" ht="18.75" customHeight="1">
      <c r="A541" s="231" t="s">
        <v>1053</v>
      </c>
      <c r="B541" s="51"/>
      <c r="C541" s="52" t="s">
        <v>1026</v>
      </c>
      <c r="D541" s="52" t="s">
        <v>663</v>
      </c>
      <c r="E541" s="31" t="s">
        <v>899</v>
      </c>
      <c r="F541" s="27" t="s">
        <v>1054</v>
      </c>
      <c r="G541" s="24">
        <v>368.4</v>
      </c>
      <c r="H541" s="24">
        <v>9549.8</v>
      </c>
      <c r="I541" s="24">
        <f t="shared" si="14"/>
        <v>2592.2366992399566</v>
      </c>
      <c r="J541">
        <f>SUM('[1]ведомствен.2012'!G560)</f>
        <v>368.4</v>
      </c>
    </row>
    <row r="542" spans="1:10" s="36" customFormat="1" ht="15.75">
      <c r="A542" s="220" t="s">
        <v>1301</v>
      </c>
      <c r="B542" s="140"/>
      <c r="C542" s="31" t="s">
        <v>1026</v>
      </c>
      <c r="D542" s="31" t="s">
        <v>663</v>
      </c>
      <c r="E542" s="31" t="s">
        <v>899</v>
      </c>
      <c r="F542" s="88" t="s">
        <v>1302</v>
      </c>
      <c r="G542" s="24">
        <v>1796</v>
      </c>
      <c r="H542" s="24"/>
      <c r="I542" s="24">
        <f t="shared" si="14"/>
        <v>0</v>
      </c>
      <c r="J542" s="36">
        <f>SUM('[1]ведомствен.2012'!G1225)</f>
        <v>1796</v>
      </c>
    </row>
    <row r="543" spans="1:10" ht="42.75">
      <c r="A543" s="223" t="s">
        <v>812</v>
      </c>
      <c r="B543" s="51"/>
      <c r="C543" s="146" t="s">
        <v>1026</v>
      </c>
      <c r="D543" s="146" t="s">
        <v>663</v>
      </c>
      <c r="E543" s="31" t="s">
        <v>899</v>
      </c>
      <c r="F543" s="147" t="s">
        <v>897</v>
      </c>
      <c r="G543" s="24">
        <v>3574</v>
      </c>
      <c r="H543" s="24"/>
      <c r="I543" s="24"/>
      <c r="J543" s="36">
        <f>SUM('[1]ведомствен.2012'!G1226)</f>
        <v>3574</v>
      </c>
    </row>
    <row r="544" spans="1:10" ht="28.5">
      <c r="A544" s="223" t="s">
        <v>1126</v>
      </c>
      <c r="B544" s="51"/>
      <c r="C544" s="146" t="s">
        <v>1026</v>
      </c>
      <c r="D544" s="146" t="s">
        <v>663</v>
      </c>
      <c r="E544" s="31" t="s">
        <v>899</v>
      </c>
      <c r="F544" s="147" t="s">
        <v>978</v>
      </c>
      <c r="G544" s="24">
        <v>8419.6</v>
      </c>
      <c r="H544" s="24"/>
      <c r="I544" s="24"/>
      <c r="J544" s="36">
        <f>SUM('[1]ведомствен.2012'!G1227)</f>
        <v>8419.6</v>
      </c>
    </row>
    <row r="545" spans="1:12" s="83" customFormat="1" ht="15" customHeight="1">
      <c r="A545" s="223" t="s">
        <v>478</v>
      </c>
      <c r="B545" s="82"/>
      <c r="C545" s="35" t="s">
        <v>1026</v>
      </c>
      <c r="D545" s="35" t="s">
        <v>665</v>
      </c>
      <c r="E545" s="35"/>
      <c r="F545" s="26"/>
      <c r="G545" s="24">
        <f>SUM(G554+G597+G628+G647)+G654+G621+G640+G637+G546+G656+G644+G661+G551+G657+G547</f>
        <v>816973.7999999999</v>
      </c>
      <c r="H545" s="24">
        <f>SUM(H554+H597+H628+H647)+H654+H621+H640+H637+H546+H656</f>
        <v>422006.39999999997</v>
      </c>
      <c r="I545" s="24">
        <f aca="true" t="shared" si="15" ref="I545:I550">SUM(H545/G545*100)</f>
        <v>51.654826629691186</v>
      </c>
      <c r="L545" s="83">
        <f>SUM(J546:J663)</f>
        <v>816973.7999999998</v>
      </c>
    </row>
    <row r="546" spans="1:12" s="83" customFormat="1" ht="16.5" customHeight="1" hidden="1">
      <c r="A546" s="222" t="s">
        <v>478</v>
      </c>
      <c r="B546" s="82"/>
      <c r="C546" s="35" t="s">
        <v>1026</v>
      </c>
      <c r="D546" s="35" t="s">
        <v>665</v>
      </c>
      <c r="E546" s="35"/>
      <c r="F546" s="26"/>
      <c r="G546" s="24"/>
      <c r="H546" s="24">
        <f>SUM(H547+H549)</f>
        <v>0</v>
      </c>
      <c r="I546" s="24" t="e">
        <f t="shared" si="15"/>
        <v>#DIV/0!</v>
      </c>
      <c r="L546" s="301">
        <f>SUM(L545-G545)</f>
        <v>-1.1641532182693481E-10</v>
      </c>
    </row>
    <row r="547" spans="1:10" ht="33.75" customHeight="1">
      <c r="A547" s="222" t="s">
        <v>1021</v>
      </c>
      <c r="B547" s="21"/>
      <c r="C547" s="35" t="s">
        <v>1026</v>
      </c>
      <c r="D547" s="35" t="s">
        <v>665</v>
      </c>
      <c r="E547" s="22" t="s">
        <v>1022</v>
      </c>
      <c r="F547" s="27"/>
      <c r="G547" s="24">
        <f>SUM(G548)</f>
        <v>3650.5</v>
      </c>
      <c r="H547" s="24">
        <f>SUM(H548)</f>
        <v>0</v>
      </c>
      <c r="I547" s="24">
        <f t="shared" si="15"/>
        <v>0</v>
      </c>
      <c r="J547"/>
    </row>
    <row r="548" spans="1:10" ht="30.75" customHeight="1">
      <c r="A548" s="239" t="s">
        <v>745</v>
      </c>
      <c r="B548" s="21"/>
      <c r="C548" s="35" t="s">
        <v>1026</v>
      </c>
      <c r="D548" s="35" t="s">
        <v>665</v>
      </c>
      <c r="E548" s="22" t="s">
        <v>746</v>
      </c>
      <c r="F548" s="26"/>
      <c r="G548" s="24">
        <f>SUM(G549:G550)</f>
        <v>3650.5</v>
      </c>
      <c r="H548" s="24"/>
      <c r="I548" s="24">
        <f t="shared" si="15"/>
        <v>0</v>
      </c>
      <c r="J548"/>
    </row>
    <row r="549" spans="1:10" ht="19.5" customHeight="1">
      <c r="A549" s="228" t="s">
        <v>895</v>
      </c>
      <c r="B549" s="21"/>
      <c r="C549" s="35" t="s">
        <v>1026</v>
      </c>
      <c r="D549" s="35" t="s">
        <v>665</v>
      </c>
      <c r="E549" s="22" t="s">
        <v>746</v>
      </c>
      <c r="F549" s="88" t="s">
        <v>238</v>
      </c>
      <c r="G549" s="24">
        <v>2326.5</v>
      </c>
      <c r="H549" s="24">
        <f>SUM(H550)</f>
        <v>0</v>
      </c>
      <c r="I549" s="24">
        <f t="shared" si="15"/>
        <v>0</v>
      </c>
      <c r="J549">
        <f>SUM('[1]ведомствен.2012'!G1407+'[1]ведомствен.2012'!G1231)</f>
        <v>2326.5</v>
      </c>
    </row>
    <row r="550" spans="1:10" ht="20.25" customHeight="1">
      <c r="A550" s="228" t="s">
        <v>1126</v>
      </c>
      <c r="B550" s="82"/>
      <c r="C550" s="35" t="s">
        <v>1026</v>
      </c>
      <c r="D550" s="35" t="s">
        <v>665</v>
      </c>
      <c r="E550" s="22" t="s">
        <v>746</v>
      </c>
      <c r="F550" s="26" t="s">
        <v>978</v>
      </c>
      <c r="G550" s="24">
        <v>1324</v>
      </c>
      <c r="H550" s="24"/>
      <c r="I550" s="24">
        <f t="shared" si="15"/>
        <v>0</v>
      </c>
      <c r="J550" s="336">
        <f>SUM('[1]ведомствен.2012'!G1232)+'[1]ведомствен.2012'!G1058</f>
        <v>1324</v>
      </c>
    </row>
    <row r="551" spans="1:12" ht="20.25" customHeight="1">
      <c r="A551" s="222" t="s">
        <v>1103</v>
      </c>
      <c r="B551" s="82"/>
      <c r="C551" s="35" t="s">
        <v>1026</v>
      </c>
      <c r="D551" s="35" t="s">
        <v>665</v>
      </c>
      <c r="E551" s="35" t="s">
        <v>1104</v>
      </c>
      <c r="F551" s="26"/>
      <c r="G551" s="24">
        <f>SUM(G552)</f>
        <v>2000</v>
      </c>
      <c r="H551" s="24"/>
      <c r="I551" s="24"/>
      <c r="J551"/>
      <c r="L551" s="208">
        <f>SUM(L545-G545)</f>
        <v>-1.1641532182693481E-10</v>
      </c>
    </row>
    <row r="552" spans="1:10" ht="28.5" customHeight="1">
      <c r="A552" s="222" t="s">
        <v>726</v>
      </c>
      <c r="B552" s="82"/>
      <c r="C552" s="35" t="s">
        <v>1026</v>
      </c>
      <c r="D552" s="35" t="s">
        <v>665</v>
      </c>
      <c r="E552" s="35" t="s">
        <v>727</v>
      </c>
      <c r="F552" s="26"/>
      <c r="G552" s="24">
        <f>SUM(G553)</f>
        <v>2000</v>
      </c>
      <c r="H552" s="24"/>
      <c r="I552" s="24"/>
      <c r="J552"/>
    </row>
    <row r="553" spans="1:10" ht="20.25" customHeight="1">
      <c r="A553" s="228" t="s">
        <v>1126</v>
      </c>
      <c r="B553" s="82"/>
      <c r="C553" s="35" t="s">
        <v>1026</v>
      </c>
      <c r="D553" s="35" t="s">
        <v>665</v>
      </c>
      <c r="E553" s="35" t="s">
        <v>727</v>
      </c>
      <c r="F553" s="26" t="s">
        <v>978</v>
      </c>
      <c r="G553" s="24">
        <v>2000</v>
      </c>
      <c r="H553" s="24"/>
      <c r="I553" s="24"/>
      <c r="J553">
        <f>SUM('[1]ведомствен.2012'!G1236)</f>
        <v>2000</v>
      </c>
    </row>
    <row r="554" spans="1:9" s="83" customFormat="1" ht="28.5" customHeight="1">
      <c r="A554" s="223" t="s">
        <v>479</v>
      </c>
      <c r="B554" s="82"/>
      <c r="C554" s="35" t="s">
        <v>1026</v>
      </c>
      <c r="D554" s="35" t="s">
        <v>665</v>
      </c>
      <c r="E554" s="35" t="s">
        <v>480</v>
      </c>
      <c r="F554" s="26"/>
      <c r="G554" s="24">
        <f>SUM(G555+G576)</f>
        <v>554100.7000000001</v>
      </c>
      <c r="H554" s="24">
        <f>SUM(H576)</f>
        <v>260775.1</v>
      </c>
      <c r="I554" s="24">
        <f>SUM(H554/G554*100)</f>
        <v>47.06276314034615</v>
      </c>
    </row>
    <row r="555" spans="1:9" s="83" customFormat="1" ht="28.5" customHeight="1">
      <c r="A555" s="223" t="s">
        <v>811</v>
      </c>
      <c r="B555" s="82"/>
      <c r="C555" s="35" t="s">
        <v>1026</v>
      </c>
      <c r="D555" s="35" t="s">
        <v>665</v>
      </c>
      <c r="E555" s="35" t="s">
        <v>987</v>
      </c>
      <c r="F555" s="26"/>
      <c r="G555" s="24">
        <f>SUM(G558+G569+G571+G573)+G560+G556</f>
        <v>253443.4</v>
      </c>
      <c r="H555" s="24"/>
      <c r="I555" s="24"/>
    </row>
    <row r="556" spans="1:10" ht="54" customHeight="1">
      <c r="A556" s="223" t="s">
        <v>1253</v>
      </c>
      <c r="B556" s="82"/>
      <c r="C556" s="35" t="s">
        <v>1026</v>
      </c>
      <c r="D556" s="35" t="s">
        <v>665</v>
      </c>
      <c r="E556" s="35" t="s">
        <v>1255</v>
      </c>
      <c r="F556" s="26"/>
      <c r="G556" s="24">
        <f>SUM(G557)</f>
        <v>397.7</v>
      </c>
      <c r="H556" s="24"/>
      <c r="I556" s="24"/>
      <c r="J556"/>
    </row>
    <row r="557" spans="1:10" ht="28.5" customHeight="1">
      <c r="A557" s="223" t="s">
        <v>1126</v>
      </c>
      <c r="B557" s="82"/>
      <c r="C557" s="35" t="s">
        <v>1026</v>
      </c>
      <c r="D557" s="35" t="s">
        <v>665</v>
      </c>
      <c r="E557" s="35" t="s">
        <v>1255</v>
      </c>
      <c r="F557" s="26" t="s">
        <v>978</v>
      </c>
      <c r="G557" s="24">
        <v>397.7</v>
      </c>
      <c r="H557" s="24"/>
      <c r="I557" s="24"/>
      <c r="J557">
        <f>SUM('[1]ведомствен.2012'!G1240)</f>
        <v>397.7</v>
      </c>
    </row>
    <row r="558" spans="1:9" s="83" customFormat="1" ht="39.75" customHeight="1">
      <c r="A558" s="223" t="s">
        <v>1232</v>
      </c>
      <c r="B558" s="82"/>
      <c r="C558" s="35" t="s">
        <v>1026</v>
      </c>
      <c r="D558" s="35" t="s">
        <v>665</v>
      </c>
      <c r="E558" s="35" t="s">
        <v>988</v>
      </c>
      <c r="F558" s="26"/>
      <c r="G558" s="24">
        <f>SUM(G559)</f>
        <v>52760.9</v>
      </c>
      <c r="H558" s="24"/>
      <c r="I558" s="24"/>
    </row>
    <row r="559" spans="1:10" s="83" customFormat="1" ht="48" customHeight="1">
      <c r="A559" s="223" t="s">
        <v>812</v>
      </c>
      <c r="B559" s="51"/>
      <c r="C559" s="35" t="s">
        <v>1026</v>
      </c>
      <c r="D559" s="35" t="s">
        <v>665</v>
      </c>
      <c r="E559" s="35" t="s">
        <v>988</v>
      </c>
      <c r="F559" s="27" t="s">
        <v>897</v>
      </c>
      <c r="G559" s="24">
        <v>52760.9</v>
      </c>
      <c r="H559" s="24"/>
      <c r="I559" s="24"/>
      <c r="J559" s="83">
        <f>SUM('[1]ведомствен.2012'!G1242)</f>
        <v>52760.9</v>
      </c>
    </row>
    <row r="560" spans="1:9" s="83" customFormat="1" ht="31.5" customHeight="1">
      <c r="A560" s="226" t="s">
        <v>1126</v>
      </c>
      <c r="B560" s="82"/>
      <c r="C560" s="35" t="s">
        <v>1026</v>
      </c>
      <c r="D560" s="35" t="s">
        <v>665</v>
      </c>
      <c r="E560" s="35" t="s">
        <v>1099</v>
      </c>
      <c r="F560" s="26"/>
      <c r="G560" s="24">
        <f>SUM(G568)+G566+G562+G564</f>
        <v>935.3</v>
      </c>
      <c r="H560" s="24"/>
      <c r="I560" s="24"/>
    </row>
    <row r="561" spans="1:9" s="36" customFormat="1" ht="33" customHeight="1" hidden="1">
      <c r="A561" s="228" t="s">
        <v>1117</v>
      </c>
      <c r="B561" s="34"/>
      <c r="C561" s="35" t="s">
        <v>1026</v>
      </c>
      <c r="D561" s="35" t="s">
        <v>665</v>
      </c>
      <c r="E561" s="35" t="s">
        <v>1116</v>
      </c>
      <c r="F561" s="26"/>
      <c r="G561" s="24">
        <f>SUM(G562)</f>
        <v>0</v>
      </c>
      <c r="H561" s="24"/>
      <c r="I561" s="24"/>
    </row>
    <row r="562" spans="1:10" s="36" customFormat="1" ht="28.5" hidden="1">
      <c r="A562" s="228" t="s">
        <v>1126</v>
      </c>
      <c r="B562" s="34"/>
      <c r="C562" s="35" t="s">
        <v>1026</v>
      </c>
      <c r="D562" s="35" t="s">
        <v>665</v>
      </c>
      <c r="E562" s="35" t="s">
        <v>1116</v>
      </c>
      <c r="F562" s="26" t="s">
        <v>978</v>
      </c>
      <c r="G562" s="24"/>
      <c r="H562" s="24"/>
      <c r="I562" s="24"/>
      <c r="J562" s="36">
        <f>SUM('[1]ведомствен.2012'!G566)</f>
        <v>0</v>
      </c>
    </row>
    <row r="563" spans="1:9" s="36" customFormat="1" ht="28.5">
      <c r="A563" s="234" t="s">
        <v>666</v>
      </c>
      <c r="B563" s="82"/>
      <c r="C563" s="35" t="s">
        <v>1026</v>
      </c>
      <c r="D563" s="35" t="s">
        <v>665</v>
      </c>
      <c r="E563" s="35" t="s">
        <v>671</v>
      </c>
      <c r="F563" s="26"/>
      <c r="G563" s="24">
        <f>SUM(G564)</f>
        <v>296.5</v>
      </c>
      <c r="H563" s="24"/>
      <c r="I563" s="24"/>
    </row>
    <row r="564" spans="1:10" s="36" customFormat="1" ht="28.5">
      <c r="A564" s="234" t="s">
        <v>1126</v>
      </c>
      <c r="B564" s="82"/>
      <c r="C564" s="35" t="s">
        <v>1026</v>
      </c>
      <c r="D564" s="35" t="s">
        <v>665</v>
      </c>
      <c r="E564" s="35" t="s">
        <v>671</v>
      </c>
      <c r="F564" s="26" t="s">
        <v>978</v>
      </c>
      <c r="G564" s="24">
        <v>296.5</v>
      </c>
      <c r="H564" s="24"/>
      <c r="I564" s="24"/>
      <c r="J564" s="36">
        <f>SUM('[1]ведомствен.2012'!G1245)</f>
        <v>296.5</v>
      </c>
    </row>
    <row r="565" spans="1:10" ht="33.75" customHeight="1">
      <c r="A565" s="222" t="s">
        <v>578</v>
      </c>
      <c r="B565" s="82"/>
      <c r="C565" s="35" t="s">
        <v>1026</v>
      </c>
      <c r="D565" s="35" t="s">
        <v>665</v>
      </c>
      <c r="E565" s="35" t="s">
        <v>1245</v>
      </c>
      <c r="F565" s="26"/>
      <c r="G565" s="24">
        <f>SUM(G566)</f>
        <v>115</v>
      </c>
      <c r="H565" s="24"/>
      <c r="I565" s="24"/>
      <c r="J565"/>
    </row>
    <row r="566" spans="1:10" ht="29.25" customHeight="1">
      <c r="A566" s="234" t="s">
        <v>1080</v>
      </c>
      <c r="B566" s="82"/>
      <c r="C566" s="35" t="s">
        <v>1026</v>
      </c>
      <c r="D566" s="35" t="s">
        <v>665</v>
      </c>
      <c r="E566" s="35" t="s">
        <v>1245</v>
      </c>
      <c r="F566" s="26" t="s">
        <v>978</v>
      </c>
      <c r="G566" s="24">
        <v>115</v>
      </c>
      <c r="H566" s="24"/>
      <c r="I566" s="24"/>
      <c r="J566">
        <f>SUM('[1]ведомствен.2012'!G1247)</f>
        <v>115</v>
      </c>
    </row>
    <row r="567" spans="1:9" s="83" customFormat="1" ht="31.5" customHeight="1">
      <c r="A567" s="222" t="s">
        <v>1261</v>
      </c>
      <c r="B567" s="82"/>
      <c r="C567" s="35" t="s">
        <v>1026</v>
      </c>
      <c r="D567" s="35" t="s">
        <v>665</v>
      </c>
      <c r="E567" s="35" t="s">
        <v>1269</v>
      </c>
      <c r="F567" s="26"/>
      <c r="G567" s="24">
        <f>SUM(G568)</f>
        <v>523.8</v>
      </c>
      <c r="H567" s="24"/>
      <c r="I567" s="24"/>
    </row>
    <row r="568" spans="1:10" s="83" customFormat="1" ht="39.75" customHeight="1">
      <c r="A568" s="226" t="s">
        <v>1080</v>
      </c>
      <c r="B568" s="82"/>
      <c r="C568" s="35" t="s">
        <v>1026</v>
      </c>
      <c r="D568" s="35" t="s">
        <v>665</v>
      </c>
      <c r="E568" s="35" t="s">
        <v>1269</v>
      </c>
      <c r="F568" s="26" t="s">
        <v>978</v>
      </c>
      <c r="G568" s="24">
        <v>523.8</v>
      </c>
      <c r="H568" s="24"/>
      <c r="I568" s="24"/>
      <c r="J568" s="83">
        <f>SUM('[1]ведомствен.2012'!G1249)</f>
        <v>523.8</v>
      </c>
    </row>
    <row r="569" spans="1:9" s="83" customFormat="1" ht="67.5" customHeight="1">
      <c r="A569" s="226" t="s">
        <v>903</v>
      </c>
      <c r="B569" s="51"/>
      <c r="C569" s="35" t="s">
        <v>1026</v>
      </c>
      <c r="D569" s="35" t="s">
        <v>665</v>
      </c>
      <c r="E569" s="35" t="s">
        <v>989</v>
      </c>
      <c r="F569" s="27"/>
      <c r="G569" s="24">
        <f>SUM(G570)</f>
        <v>4384.1</v>
      </c>
      <c r="H569" s="24"/>
      <c r="I569" s="24"/>
    </row>
    <row r="570" spans="1:10" s="83" customFormat="1" ht="48" customHeight="1">
      <c r="A570" s="223" t="s">
        <v>812</v>
      </c>
      <c r="B570" s="51"/>
      <c r="C570" s="35" t="s">
        <v>1026</v>
      </c>
      <c r="D570" s="35" t="s">
        <v>665</v>
      </c>
      <c r="E570" s="35" t="s">
        <v>989</v>
      </c>
      <c r="F570" s="27" t="s">
        <v>897</v>
      </c>
      <c r="G570" s="24">
        <v>4384.1</v>
      </c>
      <c r="H570" s="24"/>
      <c r="I570" s="24"/>
      <c r="J570" s="83">
        <f>SUM('[1]ведомствен.2012'!G1251)</f>
        <v>4384.1</v>
      </c>
    </row>
    <row r="571" spans="1:9" s="83" customFormat="1" ht="51.75" customHeight="1">
      <c r="A571" s="226" t="s">
        <v>906</v>
      </c>
      <c r="B571" s="51"/>
      <c r="C571" s="35" t="s">
        <v>1026</v>
      </c>
      <c r="D571" s="35" t="s">
        <v>665</v>
      </c>
      <c r="E571" s="35" t="s">
        <v>990</v>
      </c>
      <c r="F571" s="27"/>
      <c r="G571" s="24">
        <f>SUM(G572)</f>
        <v>341.5</v>
      </c>
      <c r="H571" s="24"/>
      <c r="I571" s="24"/>
    </row>
    <row r="572" spans="1:10" s="83" customFormat="1" ht="36.75" customHeight="1">
      <c r="A572" s="220" t="s">
        <v>1126</v>
      </c>
      <c r="B572" s="51"/>
      <c r="C572" s="35" t="s">
        <v>1026</v>
      </c>
      <c r="D572" s="35" t="s">
        <v>665</v>
      </c>
      <c r="E572" s="52" t="s">
        <v>990</v>
      </c>
      <c r="F572" s="27" t="s">
        <v>978</v>
      </c>
      <c r="G572" s="24">
        <v>341.5</v>
      </c>
      <c r="H572" s="24"/>
      <c r="I572" s="24"/>
      <c r="J572" s="83">
        <f>SUM('[1]ведомствен.2012'!G1253)</f>
        <v>341.5</v>
      </c>
    </row>
    <row r="573" spans="1:9" s="83" customFormat="1" ht="51" customHeight="1">
      <c r="A573" s="226" t="s">
        <v>996</v>
      </c>
      <c r="B573" s="51"/>
      <c r="C573" s="35" t="s">
        <v>1026</v>
      </c>
      <c r="D573" s="35" t="s">
        <v>665</v>
      </c>
      <c r="E573" s="35" t="s">
        <v>991</v>
      </c>
      <c r="F573" s="27"/>
      <c r="G573" s="24">
        <f>SUM(G574+G575)</f>
        <v>194623.9</v>
      </c>
      <c r="H573" s="24"/>
      <c r="I573" s="24"/>
    </row>
    <row r="574" spans="1:10" s="83" customFormat="1" ht="45.75" customHeight="1">
      <c r="A574" s="226" t="s">
        <v>813</v>
      </c>
      <c r="B574" s="51"/>
      <c r="C574" s="35" t="s">
        <v>1026</v>
      </c>
      <c r="D574" s="35" t="s">
        <v>665</v>
      </c>
      <c r="E574" s="35" t="s">
        <v>991</v>
      </c>
      <c r="F574" s="27" t="s">
        <v>1300</v>
      </c>
      <c r="G574" s="24">
        <v>192730.3</v>
      </c>
      <c r="H574" s="24"/>
      <c r="I574" s="24"/>
      <c r="J574" s="83">
        <f>SUM('[1]ведомствен.2012'!G1255)</f>
        <v>192730.3</v>
      </c>
    </row>
    <row r="575" spans="1:10" ht="33.75" customHeight="1">
      <c r="A575" s="226" t="s">
        <v>1126</v>
      </c>
      <c r="B575" s="51"/>
      <c r="C575" s="35" t="s">
        <v>1026</v>
      </c>
      <c r="D575" s="35" t="s">
        <v>665</v>
      </c>
      <c r="E575" s="35" t="s">
        <v>991</v>
      </c>
      <c r="F575" s="27" t="s">
        <v>978</v>
      </c>
      <c r="G575" s="24">
        <v>1893.6</v>
      </c>
      <c r="H575" s="24"/>
      <c r="I575" s="24"/>
      <c r="J575" s="20">
        <f>SUM('[1]ведомствен.2012'!G1256)</f>
        <v>1893.6</v>
      </c>
    </row>
    <row r="576" spans="1:9" s="83" customFormat="1" ht="32.25" customHeight="1">
      <c r="A576" s="223" t="s">
        <v>894</v>
      </c>
      <c r="B576" s="82"/>
      <c r="C576" s="35" t="s">
        <v>1026</v>
      </c>
      <c r="D576" s="35" t="s">
        <v>665</v>
      </c>
      <c r="E576" s="35" t="s">
        <v>481</v>
      </c>
      <c r="F576" s="26"/>
      <c r="G576" s="24">
        <f>SUM(G577+G584+G586+G590+G595+G580+G582)+G593+G588</f>
        <v>300657.30000000005</v>
      </c>
      <c r="H576" s="24">
        <f>SUM(H577+H584+H586+H590+H595+H580+H582)+H593</f>
        <v>260775.1</v>
      </c>
      <c r="I576" s="24">
        <f aca="true" t="shared" si="16" ref="I576:I654">SUM(H576/G576*100)</f>
        <v>86.7349969550049</v>
      </c>
    </row>
    <row r="577" spans="1:10" s="83" customFormat="1" ht="19.5" customHeight="1">
      <c r="A577" s="226" t="s">
        <v>895</v>
      </c>
      <c r="B577" s="51"/>
      <c r="C577" s="35" t="s">
        <v>1026</v>
      </c>
      <c r="D577" s="35" t="s">
        <v>665</v>
      </c>
      <c r="E577" s="35" t="s">
        <v>481</v>
      </c>
      <c r="F577" s="27" t="s">
        <v>238</v>
      </c>
      <c r="G577" s="24">
        <v>62871.4</v>
      </c>
      <c r="H577" s="24">
        <v>53118.9</v>
      </c>
      <c r="I577" s="24">
        <f t="shared" si="16"/>
        <v>84.4881774542956</v>
      </c>
      <c r="J577" s="83">
        <f>SUM('[1]ведомствен.2012'!G1258)+'[1]ведомствен.2012'!G738</f>
        <v>62871.4</v>
      </c>
    </row>
    <row r="578" spans="1:9" s="83" customFormat="1" ht="47.25" customHeight="1" hidden="1">
      <c r="A578" s="226" t="s">
        <v>465</v>
      </c>
      <c r="B578" s="51"/>
      <c r="C578" s="35" t="s">
        <v>1026</v>
      </c>
      <c r="D578" s="35" t="s">
        <v>665</v>
      </c>
      <c r="E578" s="35" t="s">
        <v>481</v>
      </c>
      <c r="F578" s="26" t="s">
        <v>466</v>
      </c>
      <c r="G578" s="24"/>
      <c r="H578" s="24"/>
      <c r="I578" s="24" t="e">
        <f t="shared" si="16"/>
        <v>#DIV/0!</v>
      </c>
    </row>
    <row r="579" spans="1:9" s="83" customFormat="1" ht="49.5" customHeight="1" hidden="1">
      <c r="A579" s="226" t="s">
        <v>482</v>
      </c>
      <c r="B579" s="51"/>
      <c r="C579" s="35" t="s">
        <v>1026</v>
      </c>
      <c r="D579" s="35" t="s">
        <v>665</v>
      </c>
      <c r="E579" s="35" t="s">
        <v>481</v>
      </c>
      <c r="F579" s="27" t="s">
        <v>483</v>
      </c>
      <c r="G579" s="24"/>
      <c r="H579" s="24"/>
      <c r="I579" s="24" t="e">
        <f t="shared" si="16"/>
        <v>#DIV/0!</v>
      </c>
    </row>
    <row r="580" spans="1:9" s="83" customFormat="1" ht="67.5" customHeight="1">
      <c r="A580" s="226" t="s">
        <v>1253</v>
      </c>
      <c r="B580" s="51"/>
      <c r="C580" s="35" t="s">
        <v>1026</v>
      </c>
      <c r="D580" s="35" t="s">
        <v>665</v>
      </c>
      <c r="E580" s="52" t="s">
        <v>484</v>
      </c>
      <c r="F580" s="27"/>
      <c r="G580" s="24">
        <f>SUM(G581)</f>
        <v>482.4</v>
      </c>
      <c r="H580" s="24">
        <f>SUM(H581)</f>
        <v>392.5</v>
      </c>
      <c r="I580" s="24">
        <f t="shared" si="16"/>
        <v>81.36401326699834</v>
      </c>
    </row>
    <row r="581" spans="1:10" s="83" customFormat="1" ht="18" customHeight="1">
      <c r="A581" s="226" t="s">
        <v>237</v>
      </c>
      <c r="B581" s="51"/>
      <c r="C581" s="35" t="s">
        <v>1026</v>
      </c>
      <c r="D581" s="35" t="s">
        <v>665</v>
      </c>
      <c r="E581" s="52" t="s">
        <v>484</v>
      </c>
      <c r="F581" s="27" t="s">
        <v>238</v>
      </c>
      <c r="G581" s="24">
        <v>482.4</v>
      </c>
      <c r="H581" s="24">
        <v>392.5</v>
      </c>
      <c r="I581" s="24">
        <f t="shared" si="16"/>
        <v>81.36401326699834</v>
      </c>
      <c r="J581" s="83">
        <f>SUM('[1]ведомствен.2012'!G1260)</f>
        <v>482.4</v>
      </c>
    </row>
    <row r="582" spans="1:9" s="83" customFormat="1" ht="32.25" customHeight="1" hidden="1">
      <c r="A582" s="226" t="s">
        <v>485</v>
      </c>
      <c r="B582" s="51"/>
      <c r="C582" s="35" t="s">
        <v>1026</v>
      </c>
      <c r="D582" s="35" t="s">
        <v>665</v>
      </c>
      <c r="E582" s="52" t="s">
        <v>486</v>
      </c>
      <c r="F582" s="27"/>
      <c r="G582" s="24">
        <f>SUM(G583)</f>
        <v>0</v>
      </c>
      <c r="H582" s="24">
        <f>SUM(H583)</f>
        <v>0</v>
      </c>
      <c r="I582" s="24" t="e">
        <f t="shared" si="16"/>
        <v>#DIV/0!</v>
      </c>
    </row>
    <row r="583" spans="1:9" s="83" customFormat="1" ht="26.25" customHeight="1" hidden="1">
      <c r="A583" s="226" t="s">
        <v>237</v>
      </c>
      <c r="B583" s="51"/>
      <c r="C583" s="35" t="s">
        <v>1026</v>
      </c>
      <c r="D583" s="35" t="s">
        <v>665</v>
      </c>
      <c r="E583" s="52" t="s">
        <v>486</v>
      </c>
      <c r="F583" s="27" t="s">
        <v>238</v>
      </c>
      <c r="G583" s="24"/>
      <c r="H583" s="24"/>
      <c r="I583" s="24" t="e">
        <f t="shared" si="16"/>
        <v>#DIV/0!</v>
      </c>
    </row>
    <row r="584" spans="1:9" s="83" customFormat="1" ht="60.75" customHeight="1">
      <c r="A584" s="226" t="s">
        <v>903</v>
      </c>
      <c r="B584" s="51"/>
      <c r="C584" s="35" t="s">
        <v>1026</v>
      </c>
      <c r="D584" s="35" t="s">
        <v>665</v>
      </c>
      <c r="E584" s="35" t="s">
        <v>904</v>
      </c>
      <c r="F584" s="27"/>
      <c r="G584" s="24">
        <f>SUM(G585)</f>
        <v>5466.6</v>
      </c>
      <c r="H584" s="24">
        <f>SUM(H585)</f>
        <v>5014</v>
      </c>
      <c r="I584" s="24">
        <f t="shared" si="16"/>
        <v>91.72063073939925</v>
      </c>
    </row>
    <row r="585" spans="1:10" s="83" customFormat="1" ht="22.5" customHeight="1">
      <c r="A585" s="226" t="s">
        <v>895</v>
      </c>
      <c r="B585" s="51"/>
      <c r="C585" s="35" t="s">
        <v>1026</v>
      </c>
      <c r="D585" s="35" t="s">
        <v>665</v>
      </c>
      <c r="E585" s="35" t="s">
        <v>904</v>
      </c>
      <c r="F585" s="27" t="s">
        <v>238</v>
      </c>
      <c r="G585" s="24">
        <v>5466.6</v>
      </c>
      <c r="H585" s="24">
        <v>5014</v>
      </c>
      <c r="I585" s="24">
        <f t="shared" si="16"/>
        <v>91.72063073939925</v>
      </c>
      <c r="J585" s="83">
        <f>SUM('[1]ведомствен.2012'!G1266)</f>
        <v>5466.6</v>
      </c>
    </row>
    <row r="586" spans="1:10" ht="58.5" customHeight="1" hidden="1">
      <c r="A586" s="223" t="s">
        <v>282</v>
      </c>
      <c r="B586" s="28"/>
      <c r="C586" s="35" t="s">
        <v>1026</v>
      </c>
      <c r="D586" s="35" t="s">
        <v>665</v>
      </c>
      <c r="E586" s="35" t="s">
        <v>905</v>
      </c>
      <c r="F586" s="27"/>
      <c r="G586" s="24">
        <f>SUM(G587)</f>
        <v>0</v>
      </c>
      <c r="H586" s="24">
        <f>SUM(H587)</f>
        <v>0</v>
      </c>
      <c r="I586" s="24" t="e">
        <f t="shared" si="16"/>
        <v>#DIV/0!</v>
      </c>
      <c r="J586"/>
    </row>
    <row r="587" spans="1:9" s="83" customFormat="1" ht="18" customHeight="1" hidden="1">
      <c r="A587" s="226" t="s">
        <v>237</v>
      </c>
      <c r="B587" s="51"/>
      <c r="C587" s="35" t="s">
        <v>1026</v>
      </c>
      <c r="D587" s="35" t="s">
        <v>665</v>
      </c>
      <c r="E587" s="35" t="s">
        <v>905</v>
      </c>
      <c r="F587" s="27" t="s">
        <v>238</v>
      </c>
      <c r="G587" s="24"/>
      <c r="H587" s="24"/>
      <c r="I587" s="24" t="e">
        <f t="shared" si="16"/>
        <v>#DIV/0!</v>
      </c>
    </row>
    <row r="588" spans="1:10" ht="42.75">
      <c r="A588" s="222" t="s">
        <v>1242</v>
      </c>
      <c r="B588" s="28"/>
      <c r="C588" s="35" t="s">
        <v>1026</v>
      </c>
      <c r="D588" s="35" t="s">
        <v>665</v>
      </c>
      <c r="E588" s="35" t="s">
        <v>1246</v>
      </c>
      <c r="F588" s="27"/>
      <c r="G588" s="24">
        <f>SUM(G589)</f>
        <v>70.2</v>
      </c>
      <c r="H588" s="24">
        <f>SUM(H589)</f>
        <v>0</v>
      </c>
      <c r="I588" s="24">
        <f>SUM(H588/G588*100)</f>
        <v>0</v>
      </c>
      <c r="J588"/>
    </row>
    <row r="589" spans="1:10" ht="15">
      <c r="A589" s="234" t="s">
        <v>237</v>
      </c>
      <c r="B589" s="28"/>
      <c r="C589" s="35" t="s">
        <v>1026</v>
      </c>
      <c r="D589" s="35" t="s">
        <v>665</v>
      </c>
      <c r="E589" s="35" t="s">
        <v>1246</v>
      </c>
      <c r="F589" s="27" t="s">
        <v>238</v>
      </c>
      <c r="G589" s="24">
        <v>70.2</v>
      </c>
      <c r="H589" s="24"/>
      <c r="I589" s="24">
        <f>SUM(H589/G589*100)</f>
        <v>0</v>
      </c>
      <c r="J589">
        <f>SUM('[1]ведомствен.2012'!G1269)</f>
        <v>70.2</v>
      </c>
    </row>
    <row r="590" spans="1:10" ht="45" customHeight="1">
      <c r="A590" s="226" t="s">
        <v>906</v>
      </c>
      <c r="B590" s="51"/>
      <c r="C590" s="35" t="s">
        <v>1026</v>
      </c>
      <c r="D590" s="35" t="s">
        <v>665</v>
      </c>
      <c r="E590" s="35" t="s">
        <v>907</v>
      </c>
      <c r="F590" s="27"/>
      <c r="G590" s="24">
        <f>SUM(G591)</f>
        <v>504.2</v>
      </c>
      <c r="H590" s="24">
        <f>SUM(H591)</f>
        <v>454</v>
      </c>
      <c r="I590" s="24">
        <f t="shared" si="16"/>
        <v>90.04363347877826</v>
      </c>
      <c r="J590"/>
    </row>
    <row r="591" spans="1:10" s="83" customFormat="1" ht="18.75" customHeight="1">
      <c r="A591" s="226" t="s">
        <v>895</v>
      </c>
      <c r="B591" s="51"/>
      <c r="C591" s="35" t="s">
        <v>1026</v>
      </c>
      <c r="D591" s="35" t="s">
        <v>665</v>
      </c>
      <c r="E591" s="35" t="s">
        <v>907</v>
      </c>
      <c r="F591" s="27" t="s">
        <v>238</v>
      </c>
      <c r="G591" s="24">
        <v>504.2</v>
      </c>
      <c r="H591" s="24">
        <v>454</v>
      </c>
      <c r="I591" s="24">
        <f t="shared" si="16"/>
        <v>90.04363347877826</v>
      </c>
      <c r="J591" s="83">
        <f>SUM('[1]ведомствен.2012'!G1270)</f>
        <v>504.2</v>
      </c>
    </row>
    <row r="592" spans="1:10" ht="27" customHeight="1" hidden="1">
      <c r="A592" s="223" t="s">
        <v>424</v>
      </c>
      <c r="B592" s="51"/>
      <c r="C592" s="35" t="s">
        <v>1026</v>
      </c>
      <c r="D592" s="35" t="s">
        <v>665</v>
      </c>
      <c r="E592" s="35" t="s">
        <v>481</v>
      </c>
      <c r="F592" s="27" t="s">
        <v>425</v>
      </c>
      <c r="G592" s="24"/>
      <c r="H592" s="24"/>
      <c r="I592" s="24" t="e">
        <f t="shared" si="16"/>
        <v>#DIV/0!</v>
      </c>
      <c r="J592"/>
    </row>
    <row r="593" spans="1:10" ht="57" customHeight="1" hidden="1">
      <c r="A593" s="226" t="s">
        <v>426</v>
      </c>
      <c r="B593" s="51"/>
      <c r="C593" s="35" t="s">
        <v>1026</v>
      </c>
      <c r="D593" s="35" t="s">
        <v>665</v>
      </c>
      <c r="E593" s="35" t="s">
        <v>427</v>
      </c>
      <c r="F593" s="27"/>
      <c r="G593" s="24">
        <f>SUM(G594)</f>
        <v>0</v>
      </c>
      <c r="H593" s="24">
        <f>SUM(H594)</f>
        <v>0</v>
      </c>
      <c r="I593" s="24" t="e">
        <f t="shared" si="16"/>
        <v>#DIV/0!</v>
      </c>
      <c r="J593"/>
    </row>
    <row r="594" spans="1:10" ht="25.5" customHeight="1" hidden="1">
      <c r="A594" s="226" t="s">
        <v>428</v>
      </c>
      <c r="B594" s="51"/>
      <c r="C594" s="35" t="s">
        <v>1026</v>
      </c>
      <c r="D594" s="35" t="s">
        <v>665</v>
      </c>
      <c r="E594" s="35" t="s">
        <v>427</v>
      </c>
      <c r="F594" s="27" t="s">
        <v>429</v>
      </c>
      <c r="G594" s="24"/>
      <c r="H594" s="24"/>
      <c r="I594" s="24" t="e">
        <f t="shared" si="16"/>
        <v>#DIV/0!</v>
      </c>
      <c r="J594"/>
    </row>
    <row r="595" spans="1:10" ht="62.25" customHeight="1">
      <c r="A595" s="226" t="s">
        <v>430</v>
      </c>
      <c r="B595" s="51"/>
      <c r="C595" s="35" t="s">
        <v>1026</v>
      </c>
      <c r="D595" s="35" t="s">
        <v>665</v>
      </c>
      <c r="E595" s="35" t="s">
        <v>431</v>
      </c>
      <c r="F595" s="27"/>
      <c r="G595" s="24">
        <f>SUM(G596)</f>
        <v>231262.5</v>
      </c>
      <c r="H595" s="24">
        <f>SUM(H596)</f>
        <v>201795.7</v>
      </c>
      <c r="I595" s="24">
        <f t="shared" si="16"/>
        <v>87.25828874114913</v>
      </c>
      <c r="J595"/>
    </row>
    <row r="596" spans="1:10" ht="20.25" customHeight="1">
      <c r="A596" s="226" t="s">
        <v>895</v>
      </c>
      <c r="B596" s="51"/>
      <c r="C596" s="35" t="s">
        <v>1026</v>
      </c>
      <c r="D596" s="35" t="s">
        <v>665</v>
      </c>
      <c r="E596" s="35" t="s">
        <v>431</v>
      </c>
      <c r="F596" s="27" t="s">
        <v>238</v>
      </c>
      <c r="G596" s="24">
        <v>231262.5</v>
      </c>
      <c r="H596" s="24">
        <v>201795.7</v>
      </c>
      <c r="I596" s="24">
        <f t="shared" si="16"/>
        <v>87.25828874114913</v>
      </c>
      <c r="J596" s="83">
        <f>SUM('[1]ведомствен.2012'!G1275)</f>
        <v>231262.5</v>
      </c>
    </row>
    <row r="597" spans="1:10" ht="18" customHeight="1">
      <c r="A597" s="223" t="s">
        <v>432</v>
      </c>
      <c r="B597" s="21"/>
      <c r="C597" s="35" t="s">
        <v>1026</v>
      </c>
      <c r="D597" s="35" t="s">
        <v>665</v>
      </c>
      <c r="E597" s="35" t="s">
        <v>433</v>
      </c>
      <c r="F597" s="26"/>
      <c r="G597" s="24">
        <f>SUM(G612)+G598</f>
        <v>111038.4</v>
      </c>
      <c r="H597" s="24">
        <f>SUM(H612)</f>
        <v>113444</v>
      </c>
      <c r="I597" s="24">
        <f t="shared" si="16"/>
        <v>102.16645772993849</v>
      </c>
      <c r="J597"/>
    </row>
    <row r="598" spans="1:10" ht="28.5" customHeight="1">
      <c r="A598" s="223" t="s">
        <v>811</v>
      </c>
      <c r="B598" s="82"/>
      <c r="C598" s="35" t="s">
        <v>1026</v>
      </c>
      <c r="D598" s="35" t="s">
        <v>665</v>
      </c>
      <c r="E598" s="35" t="s">
        <v>971</v>
      </c>
      <c r="F598" s="26"/>
      <c r="G598" s="24">
        <f>SUM(G601)+G610+G603+G599</f>
        <v>109652.4</v>
      </c>
      <c r="H598" s="24">
        <f>SUM(H602+H635+H633)</f>
        <v>70597.40000000001</v>
      </c>
      <c r="I598" s="24">
        <f t="shared" si="16"/>
        <v>64.3829045237496</v>
      </c>
      <c r="J598"/>
    </row>
    <row r="599" spans="1:10" ht="28.5" customHeight="1">
      <c r="A599" s="223" t="s">
        <v>1253</v>
      </c>
      <c r="B599" s="82"/>
      <c r="C599" s="35" t="s">
        <v>1026</v>
      </c>
      <c r="D599" s="35" t="s">
        <v>665</v>
      </c>
      <c r="E599" s="35" t="s">
        <v>1256</v>
      </c>
      <c r="F599" s="26"/>
      <c r="G599" s="24">
        <f>SUM(G600)</f>
        <v>126.1</v>
      </c>
      <c r="H599" s="24"/>
      <c r="I599" s="24"/>
      <c r="J599"/>
    </row>
    <row r="600" spans="1:10" ht="28.5" customHeight="1">
      <c r="A600" s="223" t="s">
        <v>1126</v>
      </c>
      <c r="B600" s="82"/>
      <c r="C600" s="35" t="s">
        <v>1026</v>
      </c>
      <c r="D600" s="35" t="s">
        <v>665</v>
      </c>
      <c r="E600" s="35" t="s">
        <v>1256</v>
      </c>
      <c r="F600" s="26" t="s">
        <v>978</v>
      </c>
      <c r="G600" s="24">
        <v>126.1</v>
      </c>
      <c r="H600" s="24"/>
      <c r="I600" s="24"/>
      <c r="J600">
        <f>SUM('[1]ведомствен.2012'!G1280)</f>
        <v>126.1</v>
      </c>
    </row>
    <row r="601" spans="1:10" ht="43.5" customHeight="1">
      <c r="A601" s="223" t="s">
        <v>997</v>
      </c>
      <c r="B601" s="82"/>
      <c r="C601" s="35" t="s">
        <v>1026</v>
      </c>
      <c r="D601" s="35" t="s">
        <v>665</v>
      </c>
      <c r="E601" s="35" t="s">
        <v>972</v>
      </c>
      <c r="F601" s="26"/>
      <c r="G601" s="24">
        <f>SUM(G602)</f>
        <v>108637</v>
      </c>
      <c r="H601" s="24"/>
      <c r="I601" s="24"/>
      <c r="J601"/>
    </row>
    <row r="602" spans="1:10" ht="44.25" customHeight="1">
      <c r="A602" s="226" t="s">
        <v>1125</v>
      </c>
      <c r="B602" s="51"/>
      <c r="C602" s="35" t="s">
        <v>1026</v>
      </c>
      <c r="D602" s="35" t="s">
        <v>665</v>
      </c>
      <c r="E602" s="35" t="s">
        <v>972</v>
      </c>
      <c r="F602" s="27" t="s">
        <v>897</v>
      </c>
      <c r="G602" s="24">
        <v>108637</v>
      </c>
      <c r="H602" s="24">
        <v>56722</v>
      </c>
      <c r="I602" s="24">
        <f t="shared" si="16"/>
        <v>52.21241381849646</v>
      </c>
      <c r="J602">
        <f>SUM('[1]ведомствен.2012'!G1411)+'[1]ведомствен.2012'!G1282+'[1]ведомствен.2012'!G1062</f>
        <v>108637</v>
      </c>
    </row>
    <row r="603" spans="1:10" ht="34.5" customHeight="1">
      <c r="A603" s="226" t="s">
        <v>1126</v>
      </c>
      <c r="B603" s="82"/>
      <c r="C603" s="35" t="s">
        <v>1026</v>
      </c>
      <c r="D603" s="35" t="s">
        <v>665</v>
      </c>
      <c r="E603" s="35" t="s">
        <v>1094</v>
      </c>
      <c r="F603" s="26"/>
      <c r="G603" s="24">
        <f>SUM(G609+G606+G604)</f>
        <v>848.9</v>
      </c>
      <c r="H603" s="24"/>
      <c r="I603" s="24"/>
      <c r="J603"/>
    </row>
    <row r="604" spans="1:10" ht="34.5" customHeight="1">
      <c r="A604" s="234" t="s">
        <v>666</v>
      </c>
      <c r="B604" s="51"/>
      <c r="C604" s="35" t="s">
        <v>1026</v>
      </c>
      <c r="D604" s="35" t="s">
        <v>665</v>
      </c>
      <c r="E604" s="35" t="s">
        <v>667</v>
      </c>
      <c r="F604" s="27"/>
      <c r="G604" s="24">
        <f>SUM(G605)</f>
        <v>698.3</v>
      </c>
      <c r="H604" s="24"/>
      <c r="I604" s="24"/>
      <c r="J604"/>
    </row>
    <row r="605" spans="1:10" ht="34.5" customHeight="1">
      <c r="A605" s="234" t="s">
        <v>1126</v>
      </c>
      <c r="B605" s="51"/>
      <c r="C605" s="35" t="s">
        <v>1026</v>
      </c>
      <c r="D605" s="35" t="s">
        <v>665</v>
      </c>
      <c r="E605" s="35" t="s">
        <v>667</v>
      </c>
      <c r="F605" s="27" t="s">
        <v>978</v>
      </c>
      <c r="G605" s="24">
        <v>698.3</v>
      </c>
      <c r="H605" s="24"/>
      <c r="I605" s="24"/>
      <c r="J605">
        <f>SUM('[1]ведомствен.2012'!G1414)+'[1]ведомствен.2012'!G1288</f>
        <v>698.3</v>
      </c>
    </row>
    <row r="606" spans="1:10" ht="34.5" customHeight="1">
      <c r="A606" s="234" t="s">
        <v>578</v>
      </c>
      <c r="B606" s="82"/>
      <c r="C606" s="35" t="s">
        <v>1026</v>
      </c>
      <c r="D606" s="35" t="s">
        <v>665</v>
      </c>
      <c r="E606" s="35" t="s">
        <v>1273</v>
      </c>
      <c r="F606" s="26"/>
      <c r="G606" s="24">
        <f>SUM(G607)</f>
        <v>40</v>
      </c>
      <c r="H606" s="24"/>
      <c r="I606" s="24"/>
      <c r="J606"/>
    </row>
    <row r="607" spans="1:10" ht="34.5" customHeight="1">
      <c r="A607" s="234" t="s">
        <v>1080</v>
      </c>
      <c r="B607" s="82"/>
      <c r="C607" s="35" t="s">
        <v>1026</v>
      </c>
      <c r="D607" s="35" t="s">
        <v>665</v>
      </c>
      <c r="E607" s="35" t="s">
        <v>1273</v>
      </c>
      <c r="F607" s="26" t="s">
        <v>978</v>
      </c>
      <c r="G607" s="24">
        <v>40</v>
      </c>
      <c r="H607" s="24"/>
      <c r="I607" s="24"/>
      <c r="J607">
        <f>SUM('[1]ведомствен.2012'!G1065)</f>
        <v>40</v>
      </c>
    </row>
    <row r="608" spans="1:10" ht="34.5" customHeight="1">
      <c r="A608" s="223" t="s">
        <v>1261</v>
      </c>
      <c r="B608" s="82"/>
      <c r="C608" s="35" t="s">
        <v>1026</v>
      </c>
      <c r="D608" s="35" t="s">
        <v>665</v>
      </c>
      <c r="E608" s="35" t="s">
        <v>1267</v>
      </c>
      <c r="F608" s="26"/>
      <c r="G608" s="24">
        <f>SUM(G609)</f>
        <v>110.6</v>
      </c>
      <c r="H608" s="24"/>
      <c r="I608" s="24"/>
      <c r="J608"/>
    </row>
    <row r="609" spans="1:10" ht="40.5" customHeight="1">
      <c r="A609" s="226" t="s">
        <v>1080</v>
      </c>
      <c r="B609" s="82"/>
      <c r="C609" s="35" t="s">
        <v>1026</v>
      </c>
      <c r="D609" s="35" t="s">
        <v>665</v>
      </c>
      <c r="E609" s="35" t="s">
        <v>1267</v>
      </c>
      <c r="F609" s="26" t="s">
        <v>978</v>
      </c>
      <c r="G609" s="24">
        <v>110.6</v>
      </c>
      <c r="H609" s="24"/>
      <c r="I609" s="24"/>
      <c r="J609">
        <f>SUM('[1]ведомствен.2012'!G1067+'[1]ведомствен.2012'!G1416)</f>
        <v>110.6</v>
      </c>
    </row>
    <row r="610" spans="1:10" ht="42.75">
      <c r="A610" s="226" t="s">
        <v>906</v>
      </c>
      <c r="B610" s="51"/>
      <c r="C610" s="35" t="s">
        <v>1026</v>
      </c>
      <c r="D610" s="35" t="s">
        <v>665</v>
      </c>
      <c r="E610" s="35" t="s">
        <v>974</v>
      </c>
      <c r="F610" s="27"/>
      <c r="G610" s="24">
        <f>SUM(G611)</f>
        <v>40.4</v>
      </c>
      <c r="H610" s="24">
        <f>SUM(H611)</f>
        <v>1305.1</v>
      </c>
      <c r="I610" s="24">
        <f>SUM(H610/G610*100)</f>
        <v>3230.4455445544554</v>
      </c>
      <c r="J610"/>
    </row>
    <row r="611" spans="1:10" ht="42.75" customHeight="1">
      <c r="A611" s="223" t="s">
        <v>812</v>
      </c>
      <c r="B611" s="51"/>
      <c r="C611" s="35" t="s">
        <v>1026</v>
      </c>
      <c r="D611" s="35" t="s">
        <v>665</v>
      </c>
      <c r="E611" s="35" t="s">
        <v>974</v>
      </c>
      <c r="F611" s="27" t="s">
        <v>897</v>
      </c>
      <c r="G611" s="24">
        <v>40.4</v>
      </c>
      <c r="H611" s="24">
        <v>1305.1</v>
      </c>
      <c r="I611" s="24">
        <f>SUM(H611/G611*100)</f>
        <v>3230.4455445544554</v>
      </c>
      <c r="J611">
        <f>SUM('[1]ведомствен.2012'!G1418)</f>
        <v>40.4</v>
      </c>
    </row>
    <row r="612" spans="1:10" ht="30.75" customHeight="1">
      <c r="A612" s="223" t="s">
        <v>894</v>
      </c>
      <c r="B612" s="82"/>
      <c r="C612" s="35" t="s">
        <v>1026</v>
      </c>
      <c r="D612" s="35" t="s">
        <v>665</v>
      </c>
      <c r="E612" s="35" t="s">
        <v>434</v>
      </c>
      <c r="F612" s="26"/>
      <c r="G612" s="24">
        <f>SUM(G613+G618+G616)</f>
        <v>1386</v>
      </c>
      <c r="H612" s="24">
        <f>SUM(H613+H618+H616)</f>
        <v>113444</v>
      </c>
      <c r="I612" s="24">
        <f t="shared" si="16"/>
        <v>8184.992784992785</v>
      </c>
      <c r="J612"/>
    </row>
    <row r="613" spans="1:10" ht="19.5" customHeight="1">
      <c r="A613" s="226" t="s">
        <v>895</v>
      </c>
      <c r="B613" s="51"/>
      <c r="C613" s="35" t="s">
        <v>1026</v>
      </c>
      <c r="D613" s="35" t="s">
        <v>665</v>
      </c>
      <c r="E613" s="35" t="s">
        <v>434</v>
      </c>
      <c r="F613" s="27" t="s">
        <v>238</v>
      </c>
      <c r="G613" s="24">
        <v>1351.8</v>
      </c>
      <c r="H613" s="24">
        <v>56722</v>
      </c>
      <c r="I613" s="24">
        <f t="shared" si="16"/>
        <v>4196.0349164077525</v>
      </c>
      <c r="J613">
        <f>SUM('[1]ведомствен.2012'!G741)</f>
        <v>1351.8</v>
      </c>
    </row>
    <row r="614" spans="1:10" ht="45.75" customHeight="1" hidden="1">
      <c r="A614" s="226" t="s">
        <v>435</v>
      </c>
      <c r="B614" s="51"/>
      <c r="C614" s="35" t="s">
        <v>1026</v>
      </c>
      <c r="D614" s="35" t="s">
        <v>665</v>
      </c>
      <c r="E614" s="35" t="s">
        <v>434</v>
      </c>
      <c r="F614" s="27" t="s">
        <v>436</v>
      </c>
      <c r="G614" s="24"/>
      <c r="H614" s="24"/>
      <c r="I614" s="24" t="e">
        <f t="shared" si="16"/>
        <v>#DIV/0!</v>
      </c>
      <c r="J614"/>
    </row>
    <row r="615" spans="1:9" s="83" customFormat="1" ht="47.25" customHeight="1" hidden="1">
      <c r="A615" s="226" t="s">
        <v>465</v>
      </c>
      <c r="B615" s="51"/>
      <c r="C615" s="35" t="s">
        <v>1026</v>
      </c>
      <c r="D615" s="35" t="s">
        <v>665</v>
      </c>
      <c r="E615" s="35" t="s">
        <v>434</v>
      </c>
      <c r="F615" s="26" t="s">
        <v>466</v>
      </c>
      <c r="G615" s="24"/>
      <c r="H615" s="24"/>
      <c r="I615" s="24" t="e">
        <f t="shared" si="16"/>
        <v>#DIV/0!</v>
      </c>
    </row>
    <row r="616" spans="1:9" s="83" customFormat="1" ht="66.75" customHeight="1">
      <c r="A616" s="226" t="s">
        <v>1253</v>
      </c>
      <c r="B616" s="51"/>
      <c r="C616" s="35" t="s">
        <v>1026</v>
      </c>
      <c r="D616" s="35" t="s">
        <v>665</v>
      </c>
      <c r="E616" s="52" t="s">
        <v>437</v>
      </c>
      <c r="F616" s="27"/>
      <c r="G616" s="24">
        <f>SUM(G617)</f>
        <v>34.2</v>
      </c>
      <c r="H616" s="24">
        <f>SUM(H617)</f>
        <v>56722</v>
      </c>
      <c r="I616" s="24">
        <f t="shared" si="16"/>
        <v>165853.80116959065</v>
      </c>
    </row>
    <row r="617" spans="1:10" ht="18.75" customHeight="1">
      <c r="A617" s="226" t="s">
        <v>895</v>
      </c>
      <c r="B617" s="51"/>
      <c r="C617" s="35" t="s">
        <v>1026</v>
      </c>
      <c r="D617" s="35" t="s">
        <v>665</v>
      </c>
      <c r="E617" s="52" t="s">
        <v>437</v>
      </c>
      <c r="F617" s="27" t="s">
        <v>238</v>
      </c>
      <c r="G617" s="24">
        <v>34.2</v>
      </c>
      <c r="H617" s="24">
        <v>56722</v>
      </c>
      <c r="I617" s="24">
        <f>SUM(H617/G617*100)</f>
        <v>165853.80116959065</v>
      </c>
      <c r="J617">
        <f>SUM('[1]ведомствен.2012'!G1297)</f>
        <v>34.2</v>
      </c>
    </row>
    <row r="618" spans="1:9" s="83" customFormat="1" ht="65.25" customHeight="1" hidden="1">
      <c r="A618" s="223" t="s">
        <v>282</v>
      </c>
      <c r="B618" s="51"/>
      <c r="C618" s="35" t="s">
        <v>1026</v>
      </c>
      <c r="D618" s="35" t="s">
        <v>665</v>
      </c>
      <c r="E618" s="35" t="s">
        <v>438</v>
      </c>
      <c r="F618" s="27"/>
      <c r="G618" s="24">
        <f>SUM(G619)</f>
        <v>0</v>
      </c>
      <c r="H618" s="24">
        <f>SUM(H619)</f>
        <v>0</v>
      </c>
      <c r="I618" s="24" t="e">
        <f t="shared" si="16"/>
        <v>#DIV/0!</v>
      </c>
    </row>
    <row r="619" spans="1:10" ht="15.75" customHeight="1" hidden="1">
      <c r="A619" s="226" t="s">
        <v>237</v>
      </c>
      <c r="B619" s="51"/>
      <c r="C619" s="35" t="s">
        <v>1026</v>
      </c>
      <c r="D619" s="35" t="s">
        <v>665</v>
      </c>
      <c r="E619" s="35" t="s">
        <v>438</v>
      </c>
      <c r="F619" s="27" t="s">
        <v>238</v>
      </c>
      <c r="G619" s="24"/>
      <c r="H619" s="24"/>
      <c r="I619" s="24" t="e">
        <f t="shared" si="16"/>
        <v>#DIV/0!</v>
      </c>
      <c r="J619"/>
    </row>
    <row r="620" spans="1:10" ht="32.25" customHeight="1" hidden="1">
      <c r="A620" s="223" t="s">
        <v>424</v>
      </c>
      <c r="B620" s="51"/>
      <c r="C620" s="35" t="s">
        <v>1026</v>
      </c>
      <c r="D620" s="35" t="s">
        <v>665</v>
      </c>
      <c r="E620" s="35" t="s">
        <v>434</v>
      </c>
      <c r="F620" s="27" t="s">
        <v>425</v>
      </c>
      <c r="G620" s="24"/>
      <c r="H620" s="24"/>
      <c r="I620" s="24" t="e">
        <f t="shared" si="16"/>
        <v>#DIV/0!</v>
      </c>
      <c r="J620"/>
    </row>
    <row r="621" spans="1:9" s="377" customFormat="1" ht="17.25" customHeight="1">
      <c r="A621" s="223" t="s">
        <v>439</v>
      </c>
      <c r="B621" s="21"/>
      <c r="C621" s="35" t="s">
        <v>1026</v>
      </c>
      <c r="D621" s="35" t="s">
        <v>665</v>
      </c>
      <c r="E621" s="35" t="s">
        <v>440</v>
      </c>
      <c r="F621" s="44"/>
      <c r="G621" s="24">
        <f>SUM(G622)</f>
        <v>51452.700000000004</v>
      </c>
      <c r="H621" s="24">
        <f>SUM(H622)</f>
        <v>25662.5</v>
      </c>
      <c r="I621" s="24">
        <f t="shared" si="16"/>
        <v>49.87590544325176</v>
      </c>
    </row>
    <row r="622" spans="1:9" s="377" customFormat="1" ht="29.25" customHeight="1">
      <c r="A622" s="223" t="s">
        <v>894</v>
      </c>
      <c r="B622" s="21"/>
      <c r="C622" s="35" t="s">
        <v>1026</v>
      </c>
      <c r="D622" s="35" t="s">
        <v>665</v>
      </c>
      <c r="E622" s="35" t="s">
        <v>441</v>
      </c>
      <c r="F622" s="44"/>
      <c r="G622" s="24">
        <f>SUM(G626+G624)+G623</f>
        <v>51452.700000000004</v>
      </c>
      <c r="H622" s="24">
        <f>SUM(H626+H624+H623)</f>
        <v>25662.5</v>
      </c>
      <c r="I622" s="24">
        <f t="shared" si="16"/>
        <v>49.87590544325176</v>
      </c>
    </row>
    <row r="623" spans="1:10" s="377" customFormat="1" ht="21" customHeight="1">
      <c r="A623" s="226" t="s">
        <v>895</v>
      </c>
      <c r="B623" s="21"/>
      <c r="C623" s="35" t="s">
        <v>1026</v>
      </c>
      <c r="D623" s="35" t="s">
        <v>665</v>
      </c>
      <c r="E623" s="22" t="s">
        <v>442</v>
      </c>
      <c r="F623" s="26" t="s">
        <v>238</v>
      </c>
      <c r="G623" s="24">
        <v>349.4</v>
      </c>
      <c r="H623" s="24"/>
      <c r="I623" s="24">
        <f t="shared" si="16"/>
        <v>0</v>
      </c>
      <c r="J623" s="377">
        <f>SUM('[1]ведомствен.2012'!G744)</f>
        <v>349.4</v>
      </c>
    </row>
    <row r="624" spans="1:9" s="377" customFormat="1" ht="47.25" customHeight="1">
      <c r="A624" s="226" t="s">
        <v>906</v>
      </c>
      <c r="B624" s="51"/>
      <c r="C624" s="35" t="s">
        <v>1026</v>
      </c>
      <c r="D624" s="35" t="s">
        <v>665</v>
      </c>
      <c r="E624" s="35" t="s">
        <v>443</v>
      </c>
      <c r="F624" s="27"/>
      <c r="G624" s="24">
        <f>SUM(G625)</f>
        <v>38.5</v>
      </c>
      <c r="H624" s="24">
        <f>SUM(H625)</f>
        <v>27.5</v>
      </c>
      <c r="I624" s="24">
        <f t="shared" si="16"/>
        <v>71.42857142857143</v>
      </c>
    </row>
    <row r="625" spans="1:10" s="377" customFormat="1" ht="18.75" customHeight="1">
      <c r="A625" s="226" t="s">
        <v>895</v>
      </c>
      <c r="B625" s="21"/>
      <c r="C625" s="35" t="s">
        <v>1026</v>
      </c>
      <c r="D625" s="35" t="s">
        <v>665</v>
      </c>
      <c r="E625" s="35" t="s">
        <v>443</v>
      </c>
      <c r="F625" s="26" t="s">
        <v>238</v>
      </c>
      <c r="G625" s="24">
        <v>38.5</v>
      </c>
      <c r="H625" s="24">
        <v>27.5</v>
      </c>
      <c r="I625" s="24">
        <f t="shared" si="16"/>
        <v>71.42857142857143</v>
      </c>
      <c r="J625" s="379">
        <f>SUM('[1]ведомствен.2012'!G746)</f>
        <v>38.5</v>
      </c>
    </row>
    <row r="626" spans="1:9" s="377" customFormat="1" ht="32.25" customHeight="1">
      <c r="A626" s="223" t="s">
        <v>447</v>
      </c>
      <c r="B626" s="21"/>
      <c r="C626" s="35" t="s">
        <v>1026</v>
      </c>
      <c r="D626" s="35" t="s">
        <v>665</v>
      </c>
      <c r="E626" s="35" t="s">
        <v>448</v>
      </c>
      <c r="F626" s="44"/>
      <c r="G626" s="24">
        <f>SUM(G627)</f>
        <v>51064.8</v>
      </c>
      <c r="H626" s="24">
        <f>SUM(H627)</f>
        <v>25635</v>
      </c>
      <c r="I626" s="24">
        <f t="shared" si="16"/>
        <v>50.200921182497524</v>
      </c>
    </row>
    <row r="627" spans="1:10" s="377" customFormat="1" ht="15">
      <c r="A627" s="226" t="s">
        <v>895</v>
      </c>
      <c r="B627" s="21"/>
      <c r="C627" s="35" t="s">
        <v>1026</v>
      </c>
      <c r="D627" s="35" t="s">
        <v>665</v>
      </c>
      <c r="E627" s="35" t="s">
        <v>448</v>
      </c>
      <c r="F627" s="44" t="s">
        <v>238</v>
      </c>
      <c r="G627" s="24">
        <v>51064.8</v>
      </c>
      <c r="H627" s="24">
        <v>25635</v>
      </c>
      <c r="I627" s="24">
        <f t="shared" si="16"/>
        <v>50.200921182497524</v>
      </c>
      <c r="J627" s="379">
        <f>SUM('[1]ведомствен.2012'!G748)</f>
        <v>51064.8</v>
      </c>
    </row>
    <row r="628" spans="1:10" ht="18" customHeight="1">
      <c r="A628" s="223" t="s">
        <v>449</v>
      </c>
      <c r="B628" s="35"/>
      <c r="C628" s="35" t="s">
        <v>1026</v>
      </c>
      <c r="D628" s="35" t="s">
        <v>665</v>
      </c>
      <c r="E628" s="35" t="s">
        <v>450</v>
      </c>
      <c r="F628" s="26"/>
      <c r="G628" s="24">
        <f>SUM(G629)</f>
        <v>32036</v>
      </c>
      <c r="H628" s="24">
        <f>SUM(H629)</f>
        <v>13916.300000000001</v>
      </c>
      <c r="I628" s="24">
        <f t="shared" si="16"/>
        <v>43.43956798601574</v>
      </c>
      <c r="J628"/>
    </row>
    <row r="629" spans="1:10" ht="31.5" customHeight="1">
      <c r="A629" s="223" t="s">
        <v>999</v>
      </c>
      <c r="B629" s="82"/>
      <c r="C629" s="35" t="s">
        <v>1026</v>
      </c>
      <c r="D629" s="35" t="s">
        <v>665</v>
      </c>
      <c r="E629" s="35" t="s">
        <v>451</v>
      </c>
      <c r="F629" s="26"/>
      <c r="G629" s="24">
        <f>SUM(G631+G633+G635)+G630</f>
        <v>32036</v>
      </c>
      <c r="H629" s="24">
        <f>SUM(H631+H633+H635)</f>
        <v>13916.300000000001</v>
      </c>
      <c r="I629" s="24">
        <f t="shared" si="16"/>
        <v>43.43956798601574</v>
      </c>
      <c r="J629"/>
    </row>
    <row r="630" spans="1:10" ht="20.25" customHeight="1">
      <c r="A630" s="226" t="s">
        <v>237</v>
      </c>
      <c r="B630" s="51"/>
      <c r="C630" s="35" t="s">
        <v>1026</v>
      </c>
      <c r="D630" s="35" t="s">
        <v>665</v>
      </c>
      <c r="E630" s="35" t="s">
        <v>451</v>
      </c>
      <c r="F630" s="27" t="s">
        <v>238</v>
      </c>
      <c r="G630" s="24">
        <v>250.6</v>
      </c>
      <c r="H630" s="24"/>
      <c r="I630" s="24">
        <f t="shared" si="16"/>
        <v>0</v>
      </c>
      <c r="J630">
        <f>SUM('[1]ведомствен.2012'!G751)</f>
        <v>250.6</v>
      </c>
    </row>
    <row r="631" spans="1:9" s="83" customFormat="1" ht="18" customHeight="1" hidden="1">
      <c r="A631" s="226" t="s">
        <v>1253</v>
      </c>
      <c r="B631" s="51"/>
      <c r="C631" s="35" t="s">
        <v>1026</v>
      </c>
      <c r="D631" s="35" t="s">
        <v>665</v>
      </c>
      <c r="E631" s="52" t="s">
        <v>437</v>
      </c>
      <c r="F631" s="27"/>
      <c r="G631" s="24">
        <f>SUM(G632)</f>
        <v>0</v>
      </c>
      <c r="H631" s="24">
        <f>SUM(H632)</f>
        <v>40.9</v>
      </c>
      <c r="I631" s="24" t="e">
        <f t="shared" si="16"/>
        <v>#DIV/0!</v>
      </c>
    </row>
    <row r="632" spans="1:9" s="83" customFormat="1" ht="16.5" customHeight="1" hidden="1">
      <c r="A632" s="226" t="s">
        <v>468</v>
      </c>
      <c r="B632" s="51"/>
      <c r="C632" s="35" t="s">
        <v>1026</v>
      </c>
      <c r="D632" s="35" t="s">
        <v>665</v>
      </c>
      <c r="E632" s="52" t="s">
        <v>437</v>
      </c>
      <c r="F632" s="27" t="s">
        <v>469</v>
      </c>
      <c r="G632" s="24"/>
      <c r="H632" s="24">
        <v>40.9</v>
      </c>
      <c r="I632" s="24" t="e">
        <f t="shared" si="16"/>
        <v>#DIV/0!</v>
      </c>
    </row>
    <row r="633" spans="1:10" ht="43.5" customHeight="1">
      <c r="A633" s="226" t="s">
        <v>906</v>
      </c>
      <c r="B633" s="51"/>
      <c r="C633" s="35" t="s">
        <v>1026</v>
      </c>
      <c r="D633" s="35" t="s">
        <v>665</v>
      </c>
      <c r="E633" s="35" t="s">
        <v>452</v>
      </c>
      <c r="F633" s="27"/>
      <c r="G633" s="24">
        <f>SUM(G634)</f>
        <v>33.2</v>
      </c>
      <c r="H633" s="24">
        <f>SUM(H634)</f>
        <v>12.8</v>
      </c>
      <c r="I633" s="24">
        <f t="shared" si="16"/>
        <v>38.554216867469876</v>
      </c>
      <c r="J633"/>
    </row>
    <row r="634" spans="1:10" ht="16.5" customHeight="1">
      <c r="A634" s="226" t="s">
        <v>895</v>
      </c>
      <c r="B634" s="51"/>
      <c r="C634" s="35" t="s">
        <v>1026</v>
      </c>
      <c r="D634" s="35" t="s">
        <v>665</v>
      </c>
      <c r="E634" s="35" t="s">
        <v>452</v>
      </c>
      <c r="F634" s="27" t="s">
        <v>238</v>
      </c>
      <c r="G634" s="24">
        <v>33.2</v>
      </c>
      <c r="H634" s="24">
        <v>12.8</v>
      </c>
      <c r="I634" s="24">
        <f t="shared" si="16"/>
        <v>38.554216867469876</v>
      </c>
      <c r="J634" s="163">
        <f>SUM('[1]ведомствен.2012'!G1299)</f>
        <v>33.2</v>
      </c>
    </row>
    <row r="635" spans="1:10" ht="89.25" customHeight="1">
      <c r="A635" s="226" t="s">
        <v>290</v>
      </c>
      <c r="B635" s="51"/>
      <c r="C635" s="35" t="s">
        <v>1026</v>
      </c>
      <c r="D635" s="35" t="s">
        <v>665</v>
      </c>
      <c r="E635" s="35" t="s">
        <v>453</v>
      </c>
      <c r="F635" s="27"/>
      <c r="G635" s="24">
        <f>SUM(G636)</f>
        <v>31752.2</v>
      </c>
      <c r="H635" s="24">
        <f>SUM(H636)</f>
        <v>13862.6</v>
      </c>
      <c r="I635" s="24">
        <f t="shared" si="16"/>
        <v>43.6587071132079</v>
      </c>
      <c r="J635"/>
    </row>
    <row r="636" spans="1:10" ht="16.5" customHeight="1">
      <c r="A636" s="226" t="s">
        <v>895</v>
      </c>
      <c r="B636" s="51"/>
      <c r="C636" s="35" t="s">
        <v>1026</v>
      </c>
      <c r="D636" s="35" t="s">
        <v>665</v>
      </c>
      <c r="E636" s="35" t="s">
        <v>453</v>
      </c>
      <c r="F636" s="27" t="s">
        <v>238</v>
      </c>
      <c r="G636" s="24">
        <v>31752.2</v>
      </c>
      <c r="H636" s="24">
        <v>13862.6</v>
      </c>
      <c r="I636" s="24">
        <f t="shared" si="16"/>
        <v>43.6587071132079</v>
      </c>
      <c r="J636" s="163">
        <f>SUM('[1]ведомствен.2012'!G1301)</f>
        <v>31752.2</v>
      </c>
    </row>
    <row r="637" spans="1:10" ht="16.5" customHeight="1" hidden="1">
      <c r="A637" s="226" t="s">
        <v>454</v>
      </c>
      <c r="B637" s="51"/>
      <c r="C637" s="35" t="s">
        <v>1026</v>
      </c>
      <c r="D637" s="35" t="s">
        <v>665</v>
      </c>
      <c r="E637" s="52" t="s">
        <v>455</v>
      </c>
      <c r="F637" s="27"/>
      <c r="G637" s="84">
        <f>SUM(G638)</f>
        <v>0</v>
      </c>
      <c r="H637" s="84">
        <f>SUM(H638)</f>
        <v>0</v>
      </c>
      <c r="I637" s="24" t="e">
        <f t="shared" si="16"/>
        <v>#DIV/0!</v>
      </c>
      <c r="J637"/>
    </row>
    <row r="638" spans="1:10" ht="45" customHeight="1" hidden="1">
      <c r="A638" s="226" t="s">
        <v>1289</v>
      </c>
      <c r="B638" s="51"/>
      <c r="C638" s="35" t="s">
        <v>1026</v>
      </c>
      <c r="D638" s="35" t="s">
        <v>665</v>
      </c>
      <c r="E638" s="52" t="s">
        <v>1290</v>
      </c>
      <c r="F638" s="27"/>
      <c r="G638" s="84">
        <f>SUM(G639)</f>
        <v>0</v>
      </c>
      <c r="H638" s="84">
        <f>SUM(H639)</f>
        <v>0</v>
      </c>
      <c r="I638" s="24" t="e">
        <f t="shared" si="16"/>
        <v>#DIV/0!</v>
      </c>
      <c r="J638"/>
    </row>
    <row r="639" spans="1:10" ht="16.5" customHeight="1" hidden="1">
      <c r="A639" s="226" t="s">
        <v>237</v>
      </c>
      <c r="B639" s="51"/>
      <c r="C639" s="35" t="s">
        <v>1026</v>
      </c>
      <c r="D639" s="35" t="s">
        <v>665</v>
      </c>
      <c r="E639" s="52" t="s">
        <v>1290</v>
      </c>
      <c r="F639" s="27" t="s">
        <v>238</v>
      </c>
      <c r="G639" s="84"/>
      <c r="H639" s="84"/>
      <c r="I639" s="24" t="e">
        <f t="shared" si="16"/>
        <v>#DIV/0!</v>
      </c>
      <c r="J639"/>
    </row>
    <row r="640" spans="1:10" ht="32.25" customHeight="1" hidden="1">
      <c r="A640" s="226" t="s">
        <v>1291</v>
      </c>
      <c r="B640" s="51"/>
      <c r="C640" s="35" t="s">
        <v>1026</v>
      </c>
      <c r="D640" s="35" t="s">
        <v>665</v>
      </c>
      <c r="E640" s="35" t="s">
        <v>1292</v>
      </c>
      <c r="F640" s="27"/>
      <c r="G640" s="24">
        <f aca="true" t="shared" si="17" ref="G640:H642">SUM(G641)</f>
        <v>0</v>
      </c>
      <c r="H640" s="24">
        <f t="shared" si="17"/>
        <v>0</v>
      </c>
      <c r="I640" s="24" t="e">
        <f t="shared" si="16"/>
        <v>#DIV/0!</v>
      </c>
      <c r="J640"/>
    </row>
    <row r="641" spans="1:10" ht="36" customHeight="1" hidden="1">
      <c r="A641" s="226" t="s">
        <v>485</v>
      </c>
      <c r="B641" s="51"/>
      <c r="C641" s="35" t="s">
        <v>1026</v>
      </c>
      <c r="D641" s="35" t="s">
        <v>665</v>
      </c>
      <c r="E641" s="35" t="s">
        <v>1293</v>
      </c>
      <c r="F641" s="27"/>
      <c r="G641" s="24">
        <f t="shared" si="17"/>
        <v>0</v>
      </c>
      <c r="H641" s="24">
        <f t="shared" si="17"/>
        <v>0</v>
      </c>
      <c r="I641" s="24" t="e">
        <f t="shared" si="16"/>
        <v>#DIV/0!</v>
      </c>
      <c r="J641"/>
    </row>
    <row r="642" spans="1:10" ht="40.5" customHeight="1" hidden="1">
      <c r="A642" s="226" t="s">
        <v>283</v>
      </c>
      <c r="B642" s="51"/>
      <c r="C642" s="35" t="s">
        <v>1026</v>
      </c>
      <c r="D642" s="35" t="s">
        <v>665</v>
      </c>
      <c r="E642" s="35" t="s">
        <v>1294</v>
      </c>
      <c r="F642" s="27"/>
      <c r="G642" s="24">
        <f t="shared" si="17"/>
        <v>0</v>
      </c>
      <c r="H642" s="24">
        <f t="shared" si="17"/>
        <v>0</v>
      </c>
      <c r="I642" s="24" t="e">
        <f t="shared" si="16"/>
        <v>#DIV/0!</v>
      </c>
      <c r="J642"/>
    </row>
    <row r="643" spans="1:10" ht="16.5" customHeight="1" hidden="1">
      <c r="A643" s="226" t="s">
        <v>237</v>
      </c>
      <c r="B643" s="51"/>
      <c r="C643" s="35" t="s">
        <v>1026</v>
      </c>
      <c r="D643" s="35" t="s">
        <v>665</v>
      </c>
      <c r="E643" s="35" t="s">
        <v>1294</v>
      </c>
      <c r="F643" s="27" t="s">
        <v>238</v>
      </c>
      <c r="G643" s="24"/>
      <c r="H643" s="24"/>
      <c r="I643" s="24" t="e">
        <f t="shared" si="16"/>
        <v>#DIV/0!</v>
      </c>
      <c r="J643"/>
    </row>
    <row r="644" spans="1:9" s="298" customFormat="1" ht="15.75" customHeight="1">
      <c r="A644" s="228" t="s">
        <v>1248</v>
      </c>
      <c r="B644" s="140"/>
      <c r="C644" s="35" t="s">
        <v>1026</v>
      </c>
      <c r="D644" s="35" t="s">
        <v>665</v>
      </c>
      <c r="E644" s="35" t="s">
        <v>1247</v>
      </c>
      <c r="F644" s="26"/>
      <c r="G644" s="24">
        <f>SUM(G645:G646)</f>
        <v>49748</v>
      </c>
      <c r="H644" s="24"/>
      <c r="I644" s="24"/>
    </row>
    <row r="645" spans="1:10" s="89" customFormat="1" ht="15.75" customHeight="1">
      <c r="A645" s="234" t="s">
        <v>1301</v>
      </c>
      <c r="B645" s="51"/>
      <c r="C645" s="35" t="s">
        <v>1026</v>
      </c>
      <c r="D645" s="35" t="s">
        <v>665</v>
      </c>
      <c r="E645" s="35" t="s">
        <v>1247</v>
      </c>
      <c r="F645" s="27" t="s">
        <v>1302</v>
      </c>
      <c r="G645" s="24">
        <v>27261.8</v>
      </c>
      <c r="H645" s="24"/>
      <c r="I645" s="24"/>
      <c r="J645" s="89">
        <f>SUM('[1]ведомствен.2012'!G1307)</f>
        <v>27261.8</v>
      </c>
    </row>
    <row r="646" spans="1:10" s="89" customFormat="1" ht="30.75" customHeight="1">
      <c r="A646" s="220" t="s">
        <v>1126</v>
      </c>
      <c r="B646" s="51"/>
      <c r="C646" s="35" t="s">
        <v>1026</v>
      </c>
      <c r="D646" s="35" t="s">
        <v>665</v>
      </c>
      <c r="E646" s="35" t="s">
        <v>1247</v>
      </c>
      <c r="F646" s="27" t="s">
        <v>978</v>
      </c>
      <c r="G646" s="24">
        <v>22486.2</v>
      </c>
      <c r="H646" s="24"/>
      <c r="I646" s="24"/>
      <c r="J646" s="89">
        <f>SUM('[1]ведомствен.2012'!G1308)</f>
        <v>22486.2</v>
      </c>
    </row>
    <row r="647" spans="1:10" ht="19.5" customHeight="1">
      <c r="A647" s="223" t="s">
        <v>458</v>
      </c>
      <c r="B647" s="35"/>
      <c r="C647" s="35" t="s">
        <v>1026</v>
      </c>
      <c r="D647" s="35" t="s">
        <v>665</v>
      </c>
      <c r="E647" s="35" t="s">
        <v>1295</v>
      </c>
      <c r="F647" s="26"/>
      <c r="G647" s="24">
        <f>SUM(G648+G651)</f>
        <v>12418.699999999999</v>
      </c>
      <c r="H647" s="24">
        <f>SUM(H648+H651)</f>
        <v>8208.5</v>
      </c>
      <c r="I647" s="24">
        <f t="shared" si="16"/>
        <v>66.09790074645495</v>
      </c>
      <c r="J647"/>
    </row>
    <row r="648" spans="1:10" ht="28.5" customHeight="1">
      <c r="A648" s="286" t="s">
        <v>1296</v>
      </c>
      <c r="B648" s="35"/>
      <c r="C648" s="35" t="s">
        <v>1026</v>
      </c>
      <c r="D648" s="35" t="s">
        <v>665</v>
      </c>
      <c r="E648" s="35" t="s">
        <v>1297</v>
      </c>
      <c r="F648" s="26"/>
      <c r="G648" s="24">
        <f>SUM(G649:G650)</f>
        <v>11417.9</v>
      </c>
      <c r="H648" s="24">
        <f>SUM(H649)</f>
        <v>7214.3</v>
      </c>
      <c r="I648" s="24">
        <f t="shared" si="16"/>
        <v>63.184123175014676</v>
      </c>
      <c r="J648"/>
    </row>
    <row r="649" spans="1:10" ht="17.25" customHeight="1">
      <c r="A649" s="226" t="s">
        <v>237</v>
      </c>
      <c r="B649" s="35"/>
      <c r="C649" s="35" t="s">
        <v>1026</v>
      </c>
      <c r="D649" s="35" t="s">
        <v>665</v>
      </c>
      <c r="E649" s="35" t="s">
        <v>1297</v>
      </c>
      <c r="F649" s="26" t="s">
        <v>238</v>
      </c>
      <c r="G649" s="24">
        <v>6440.7</v>
      </c>
      <c r="H649" s="24">
        <v>7214.3</v>
      </c>
      <c r="I649" s="24">
        <f t="shared" si="16"/>
        <v>112.01111680407409</v>
      </c>
      <c r="J649">
        <f>SUM('[1]ведомствен.2012'!G1311)</f>
        <v>6440.7</v>
      </c>
    </row>
    <row r="650" spans="1:10" ht="30.75" customHeight="1">
      <c r="A650" s="220" t="s">
        <v>1126</v>
      </c>
      <c r="B650" s="264"/>
      <c r="C650" s="202" t="s">
        <v>1026</v>
      </c>
      <c r="D650" s="202" t="s">
        <v>665</v>
      </c>
      <c r="E650" s="202" t="s">
        <v>1297</v>
      </c>
      <c r="F650" s="263" t="s">
        <v>978</v>
      </c>
      <c r="G650" s="201">
        <v>4977.2</v>
      </c>
      <c r="H650" s="24"/>
      <c r="I650" s="24"/>
      <c r="J650">
        <f>SUM('[1]ведомствен.2012'!G1312)</f>
        <v>4977.2</v>
      </c>
    </row>
    <row r="651" spans="1:10" ht="42" customHeight="1">
      <c r="A651" s="286" t="s">
        <v>1298</v>
      </c>
      <c r="B651" s="35"/>
      <c r="C651" s="35" t="s">
        <v>1026</v>
      </c>
      <c r="D651" s="35" t="s">
        <v>665</v>
      </c>
      <c r="E651" s="35" t="s">
        <v>1299</v>
      </c>
      <c r="F651" s="26"/>
      <c r="G651" s="24">
        <f>SUM(G652:G653)</f>
        <v>1000.8</v>
      </c>
      <c r="H651" s="24">
        <f>SUM(H653)</f>
        <v>994.2</v>
      </c>
      <c r="I651" s="24">
        <f t="shared" si="16"/>
        <v>99.34052757793765</v>
      </c>
      <c r="J651"/>
    </row>
    <row r="652" spans="1:10" ht="25.5" customHeight="1">
      <c r="A652" s="226" t="s">
        <v>895</v>
      </c>
      <c r="B652" s="35"/>
      <c r="C652" s="35" t="s">
        <v>1026</v>
      </c>
      <c r="D652" s="35" t="s">
        <v>665</v>
      </c>
      <c r="E652" s="35" t="s">
        <v>1299</v>
      </c>
      <c r="F652" s="26" t="s">
        <v>238</v>
      </c>
      <c r="G652" s="24">
        <v>548.9</v>
      </c>
      <c r="H652" s="24"/>
      <c r="I652" s="24"/>
      <c r="J652" s="163">
        <f>SUM('[1]ведомствен.2012'!G1314)</f>
        <v>548.9</v>
      </c>
    </row>
    <row r="653" spans="1:10" ht="36" customHeight="1">
      <c r="A653" s="220" t="s">
        <v>1126</v>
      </c>
      <c r="B653" s="51"/>
      <c r="C653" s="35" t="s">
        <v>1026</v>
      </c>
      <c r="D653" s="35" t="s">
        <v>665</v>
      </c>
      <c r="E653" s="35" t="s">
        <v>1299</v>
      </c>
      <c r="F653" s="27" t="s">
        <v>978</v>
      </c>
      <c r="G653" s="24">
        <v>451.9</v>
      </c>
      <c r="H653" s="24">
        <v>994.2</v>
      </c>
      <c r="I653" s="24">
        <f t="shared" si="16"/>
        <v>220.00442575791106</v>
      </c>
      <c r="J653" s="163">
        <f>SUM('[1]ведомствен.2012'!G1315)</f>
        <v>451.9</v>
      </c>
    </row>
    <row r="654" spans="1:10" ht="14.25" customHeight="1" hidden="1">
      <c r="A654" s="274" t="s">
        <v>458</v>
      </c>
      <c r="B654" s="35"/>
      <c r="C654" s="35" t="s">
        <v>1026</v>
      </c>
      <c r="D654" s="35" t="s">
        <v>665</v>
      </c>
      <c r="E654" s="35" t="s">
        <v>1295</v>
      </c>
      <c r="F654" s="26"/>
      <c r="G654" s="24">
        <f>SUM(G655)</f>
        <v>0</v>
      </c>
      <c r="H654" s="24">
        <f>SUM(H655)</f>
        <v>0</v>
      </c>
      <c r="I654" s="24" t="e">
        <f t="shared" si="16"/>
        <v>#DIV/0!</v>
      </c>
      <c r="J654"/>
    </row>
    <row r="655" spans="1:10" ht="17.25" customHeight="1" hidden="1">
      <c r="A655" s="226" t="s">
        <v>291</v>
      </c>
      <c r="B655" s="35"/>
      <c r="C655" s="35" t="s">
        <v>1026</v>
      </c>
      <c r="D655" s="35" t="s">
        <v>665</v>
      </c>
      <c r="E655" s="35" t="s">
        <v>1295</v>
      </c>
      <c r="F655" s="26" t="s">
        <v>1300</v>
      </c>
      <c r="G655" s="24"/>
      <c r="H655" s="24"/>
      <c r="I655" s="24" t="e">
        <f aca="true" t="shared" si="18" ref="I655:I734">SUM(H655/G655*100)</f>
        <v>#DIV/0!</v>
      </c>
      <c r="J655"/>
    </row>
    <row r="656" spans="1:10" ht="17.25" customHeight="1" hidden="1">
      <c r="A656" s="223" t="s">
        <v>545</v>
      </c>
      <c r="B656" s="35"/>
      <c r="C656" s="35" t="s">
        <v>1026</v>
      </c>
      <c r="D656" s="35" t="s">
        <v>665</v>
      </c>
      <c r="E656" s="35" t="s">
        <v>546</v>
      </c>
      <c r="F656" s="26"/>
      <c r="G656" s="24"/>
      <c r="H656" s="24">
        <f>SUM(H657)</f>
        <v>0</v>
      </c>
      <c r="I656" s="24" t="e">
        <f t="shared" si="18"/>
        <v>#DIV/0!</v>
      </c>
      <c r="J656"/>
    </row>
    <row r="657" spans="1:10" ht="17.25" customHeight="1">
      <c r="A657" s="222" t="s">
        <v>785</v>
      </c>
      <c r="B657" s="264"/>
      <c r="C657" s="202" t="s">
        <v>1026</v>
      </c>
      <c r="D657" s="202" t="s">
        <v>665</v>
      </c>
      <c r="E657" s="202" t="s">
        <v>786</v>
      </c>
      <c r="F657" s="263"/>
      <c r="G657" s="201">
        <f>SUM(G658)</f>
        <v>191.6</v>
      </c>
      <c r="H657" s="24"/>
      <c r="I657" s="24">
        <f t="shared" si="18"/>
        <v>0</v>
      </c>
      <c r="J657"/>
    </row>
    <row r="658" spans="1:10" ht="17.25" customHeight="1">
      <c r="A658" s="220" t="s">
        <v>728</v>
      </c>
      <c r="B658" s="264"/>
      <c r="C658" s="202" t="s">
        <v>1026</v>
      </c>
      <c r="D658" s="202" t="s">
        <v>665</v>
      </c>
      <c r="E658" s="202" t="s">
        <v>1067</v>
      </c>
      <c r="F658" s="263"/>
      <c r="G658" s="201">
        <f>SUM(G659:G660)</f>
        <v>191.6</v>
      </c>
      <c r="H658" s="24"/>
      <c r="I658" s="24"/>
      <c r="J658"/>
    </row>
    <row r="659" spans="1:10" ht="17.25" customHeight="1">
      <c r="A659" s="234" t="s">
        <v>895</v>
      </c>
      <c r="B659" s="264"/>
      <c r="C659" s="202" t="s">
        <v>1026</v>
      </c>
      <c r="D659" s="202" t="s">
        <v>665</v>
      </c>
      <c r="E659" s="202" t="s">
        <v>1067</v>
      </c>
      <c r="F659" s="26" t="s">
        <v>238</v>
      </c>
      <c r="G659" s="201">
        <v>96.5</v>
      </c>
      <c r="H659" s="24"/>
      <c r="I659" s="24"/>
      <c r="J659">
        <f>SUM('[1]ведомствен.2012'!G1318)</f>
        <v>96.5</v>
      </c>
    </row>
    <row r="660" spans="1:10" ht="17.25" customHeight="1">
      <c r="A660" s="220" t="s">
        <v>1126</v>
      </c>
      <c r="B660" s="264"/>
      <c r="C660" s="202" t="s">
        <v>1026</v>
      </c>
      <c r="D660" s="202" t="s">
        <v>665</v>
      </c>
      <c r="E660" s="202" t="s">
        <v>1067</v>
      </c>
      <c r="F660" s="263" t="s">
        <v>978</v>
      </c>
      <c r="G660" s="201">
        <v>95.1</v>
      </c>
      <c r="H660" s="24"/>
      <c r="I660" s="24"/>
      <c r="J660">
        <f>SUM('[1]ведомствен.2012'!G1319)</f>
        <v>95.1</v>
      </c>
    </row>
    <row r="661" spans="1:10" ht="18" customHeight="1">
      <c r="A661" s="234" t="s">
        <v>1046</v>
      </c>
      <c r="B661" s="37"/>
      <c r="C661" s="31" t="s">
        <v>1026</v>
      </c>
      <c r="D661" s="31" t="s">
        <v>665</v>
      </c>
      <c r="E661" s="31" t="s">
        <v>1047</v>
      </c>
      <c r="F661" s="88"/>
      <c r="G661" s="24">
        <f>SUM(G662)</f>
        <v>337.2</v>
      </c>
      <c r="H661" s="24">
        <f>SUM(H662)</f>
        <v>37025.100000000006</v>
      </c>
      <c r="I661" s="24">
        <f>SUM(H661/G661*100)</f>
        <v>10980.160142348757</v>
      </c>
      <c r="J661"/>
    </row>
    <row r="662" spans="1:10" ht="45" customHeight="1">
      <c r="A662" s="236" t="s">
        <v>1244</v>
      </c>
      <c r="B662" s="37"/>
      <c r="C662" s="31" t="s">
        <v>1026</v>
      </c>
      <c r="D662" s="31" t="s">
        <v>665</v>
      </c>
      <c r="E662" s="31" t="s">
        <v>383</v>
      </c>
      <c r="F662" s="88"/>
      <c r="G662" s="24">
        <f>SUM(G663)</f>
        <v>337.2</v>
      </c>
      <c r="H662" s="24">
        <f>SUM(H663:H667)</f>
        <v>37025.100000000006</v>
      </c>
      <c r="I662" s="24">
        <f>SUM(H662/G662*100)</f>
        <v>10980.160142348757</v>
      </c>
      <c r="J662"/>
    </row>
    <row r="663" spans="1:10" ht="20.25" customHeight="1">
      <c r="A663" s="234" t="s">
        <v>1080</v>
      </c>
      <c r="B663" s="37"/>
      <c r="C663" s="31" t="s">
        <v>1026</v>
      </c>
      <c r="D663" s="31" t="s">
        <v>665</v>
      </c>
      <c r="E663" s="31" t="s">
        <v>383</v>
      </c>
      <c r="F663" s="88" t="s">
        <v>978</v>
      </c>
      <c r="G663" s="24">
        <v>337.2</v>
      </c>
      <c r="H663" s="24"/>
      <c r="I663" s="24">
        <f>SUM(H663/G663*100)</f>
        <v>0</v>
      </c>
      <c r="J663">
        <f>SUM('[1]ведомствен.2012'!G1421)+'[1]ведомствен.2012'!G1070</f>
        <v>337.2</v>
      </c>
    </row>
    <row r="664" spans="1:11" ht="15">
      <c r="A664" s="223" t="s">
        <v>1027</v>
      </c>
      <c r="B664" s="28"/>
      <c r="C664" s="22" t="s">
        <v>1026</v>
      </c>
      <c r="D664" s="22" t="s">
        <v>1026</v>
      </c>
      <c r="E664" s="22"/>
      <c r="F664" s="23"/>
      <c r="G664" s="24">
        <f>SUM(G669+G679+G690+G665+G694)</f>
        <v>38615.5</v>
      </c>
      <c r="H664" s="24">
        <f>SUM(H669+H679+H690+H665)</f>
        <v>32933.5</v>
      </c>
      <c r="I664" s="24">
        <f t="shared" si="18"/>
        <v>85.2857013375458</v>
      </c>
      <c r="J664"/>
      <c r="K664">
        <f>SUM(J666:J699)</f>
        <v>38615.50000000001</v>
      </c>
    </row>
    <row r="665" spans="1:10" ht="28.5">
      <c r="A665" s="222" t="s">
        <v>1021</v>
      </c>
      <c r="B665" s="21"/>
      <c r="C665" s="35" t="s">
        <v>1026</v>
      </c>
      <c r="D665" s="35" t="s">
        <v>1026</v>
      </c>
      <c r="E665" s="22" t="s">
        <v>1022</v>
      </c>
      <c r="F665" s="27"/>
      <c r="G665" s="24">
        <f>SUM(G666)</f>
        <v>35</v>
      </c>
      <c r="H665" s="24">
        <f>SUM(H666)</f>
        <v>1563.8</v>
      </c>
      <c r="I665" s="24">
        <f t="shared" si="18"/>
        <v>4468</v>
      </c>
      <c r="J665"/>
    </row>
    <row r="666" spans="1:10" ht="28.5">
      <c r="A666" s="239" t="s">
        <v>745</v>
      </c>
      <c r="B666" s="21"/>
      <c r="C666" s="35" t="s">
        <v>1026</v>
      </c>
      <c r="D666" s="35" t="s">
        <v>1026</v>
      </c>
      <c r="E666" s="22" t="s">
        <v>746</v>
      </c>
      <c r="F666" s="26"/>
      <c r="G666" s="24">
        <f>SUM(G667)</f>
        <v>35</v>
      </c>
      <c r="H666" s="24">
        <f>SUM(H667+H668)</f>
        <v>1563.8</v>
      </c>
      <c r="I666" s="24">
        <f t="shared" si="18"/>
        <v>4468</v>
      </c>
      <c r="J666"/>
    </row>
    <row r="667" spans="1:10" ht="14.25" customHeight="1">
      <c r="A667" s="228" t="s">
        <v>895</v>
      </c>
      <c r="B667" s="21"/>
      <c r="C667" s="35" t="s">
        <v>1026</v>
      </c>
      <c r="D667" s="35" t="s">
        <v>1026</v>
      </c>
      <c r="E667" s="22" t="s">
        <v>746</v>
      </c>
      <c r="F667" s="88" t="s">
        <v>238</v>
      </c>
      <c r="G667" s="24">
        <v>35</v>
      </c>
      <c r="H667" s="24">
        <v>964</v>
      </c>
      <c r="I667" s="24">
        <f t="shared" si="18"/>
        <v>2754.2857142857147</v>
      </c>
      <c r="J667">
        <f>SUM('[1]ведомствен.2012'!G1074)</f>
        <v>35</v>
      </c>
    </row>
    <row r="668" spans="1:10" ht="13.5" customHeight="1" hidden="1">
      <c r="A668" s="226" t="s">
        <v>1301</v>
      </c>
      <c r="B668" s="34"/>
      <c r="C668" s="22" t="s">
        <v>1026</v>
      </c>
      <c r="D668" s="22" t="s">
        <v>1026</v>
      </c>
      <c r="E668" s="22" t="s">
        <v>546</v>
      </c>
      <c r="F668" s="26" t="s">
        <v>1302</v>
      </c>
      <c r="G668" s="24"/>
      <c r="H668" s="24">
        <v>599.8</v>
      </c>
      <c r="I668" s="24" t="e">
        <f t="shared" si="18"/>
        <v>#DIV/0!</v>
      </c>
      <c r="J668"/>
    </row>
    <row r="669" spans="1:10" ht="15">
      <c r="A669" s="220" t="s">
        <v>1303</v>
      </c>
      <c r="B669" s="34"/>
      <c r="C669" s="35" t="s">
        <v>1026</v>
      </c>
      <c r="D669" s="35" t="s">
        <v>1026</v>
      </c>
      <c r="E669" s="35" t="s">
        <v>1304</v>
      </c>
      <c r="F669" s="26"/>
      <c r="G669" s="24">
        <f>SUM(G670+G677+G675)</f>
        <v>2361.7</v>
      </c>
      <c r="H669" s="24">
        <f>SUM(H670+H677+H675)</f>
        <v>3728.2999999999997</v>
      </c>
      <c r="I669" s="24">
        <f t="shared" si="18"/>
        <v>157.86509717576322</v>
      </c>
      <c r="J669"/>
    </row>
    <row r="670" spans="1:10" ht="45.75" customHeight="1">
      <c r="A670" s="220" t="s">
        <v>281</v>
      </c>
      <c r="B670" s="35"/>
      <c r="C670" s="35" t="s">
        <v>1026</v>
      </c>
      <c r="D670" s="35" t="s">
        <v>1026</v>
      </c>
      <c r="E670" s="35" t="s">
        <v>1257</v>
      </c>
      <c r="F670" s="26"/>
      <c r="G670" s="24">
        <f>SUM(G671)</f>
        <v>445.9</v>
      </c>
      <c r="H670" s="24">
        <f>SUM(H671:H677)</f>
        <v>2257.3999999999996</v>
      </c>
      <c r="I670" s="24">
        <f t="shared" si="18"/>
        <v>506.25700829782454</v>
      </c>
      <c r="J670"/>
    </row>
    <row r="671" spans="1:10" ht="18" customHeight="1">
      <c r="A671" s="226" t="s">
        <v>895</v>
      </c>
      <c r="B671" s="34"/>
      <c r="C671" s="35" t="s">
        <v>1026</v>
      </c>
      <c r="D671" s="35" t="s">
        <v>1026</v>
      </c>
      <c r="E671" s="35" t="s">
        <v>1257</v>
      </c>
      <c r="F671" s="26" t="s">
        <v>238</v>
      </c>
      <c r="G671" s="24">
        <v>445.9</v>
      </c>
      <c r="H671" s="24">
        <v>341.9</v>
      </c>
      <c r="I671" s="24">
        <f t="shared" si="18"/>
        <v>76.67638483965014</v>
      </c>
      <c r="J671">
        <f>SUM('[1]ведомствен.2012'!G1080)</f>
        <v>445.9</v>
      </c>
    </row>
    <row r="672" spans="1:10" ht="21" customHeight="1" hidden="1">
      <c r="A672" s="223" t="s">
        <v>1010</v>
      </c>
      <c r="B672" s="28"/>
      <c r="C672" s="35" t="s">
        <v>1026</v>
      </c>
      <c r="D672" s="35" t="s">
        <v>1026</v>
      </c>
      <c r="E672" s="35" t="s">
        <v>1306</v>
      </c>
      <c r="F672" s="23" t="s">
        <v>1011</v>
      </c>
      <c r="G672" s="24"/>
      <c r="H672" s="24"/>
      <c r="I672" s="24" t="e">
        <f t="shared" si="18"/>
        <v>#DIV/0!</v>
      </c>
      <c r="J672"/>
    </row>
    <row r="673" spans="1:10" ht="17.25" customHeight="1" hidden="1">
      <c r="A673" s="223" t="s">
        <v>235</v>
      </c>
      <c r="B673" s="34"/>
      <c r="C673" s="35" t="s">
        <v>1026</v>
      </c>
      <c r="D673" s="35" t="s">
        <v>1026</v>
      </c>
      <c r="E673" s="35" t="s">
        <v>1307</v>
      </c>
      <c r="F673" s="26"/>
      <c r="G673" s="24">
        <f>SUM(G674)</f>
        <v>0</v>
      </c>
      <c r="H673" s="24">
        <f>SUM(H674)</f>
        <v>0</v>
      </c>
      <c r="I673" s="24" t="e">
        <f t="shared" si="18"/>
        <v>#DIV/0!</v>
      </c>
      <c r="J673"/>
    </row>
    <row r="674" spans="1:10" ht="17.25" customHeight="1" hidden="1">
      <c r="A674" s="226" t="s">
        <v>237</v>
      </c>
      <c r="B674" s="34"/>
      <c r="C674" s="35" t="s">
        <v>1026</v>
      </c>
      <c r="D674" s="35" t="s">
        <v>1026</v>
      </c>
      <c r="E674" s="35" t="s">
        <v>1307</v>
      </c>
      <c r="F674" s="26" t="s">
        <v>238</v>
      </c>
      <c r="G674" s="24"/>
      <c r="H674" s="24"/>
      <c r="I674" s="24" t="e">
        <f t="shared" si="18"/>
        <v>#DIV/0!</v>
      </c>
      <c r="J674"/>
    </row>
    <row r="675" spans="1:10" ht="54.75" customHeight="1" hidden="1">
      <c r="A675" s="226" t="s">
        <v>1308</v>
      </c>
      <c r="B675" s="34"/>
      <c r="C675" s="35" t="s">
        <v>1026</v>
      </c>
      <c r="D675" s="35" t="s">
        <v>1026</v>
      </c>
      <c r="E675" s="35" t="s">
        <v>1309</v>
      </c>
      <c r="F675" s="26"/>
      <c r="G675" s="24">
        <f>SUM(G676)</f>
        <v>0</v>
      </c>
      <c r="H675" s="24">
        <f>SUM(H676)</f>
        <v>444.6</v>
      </c>
      <c r="I675" s="24" t="e">
        <f t="shared" si="18"/>
        <v>#DIV/0!</v>
      </c>
      <c r="J675"/>
    </row>
    <row r="676" spans="1:10" ht="17.25" customHeight="1" hidden="1">
      <c r="A676" s="226" t="s">
        <v>237</v>
      </c>
      <c r="B676" s="34"/>
      <c r="C676" s="35" t="s">
        <v>1026</v>
      </c>
      <c r="D676" s="35" t="s">
        <v>1026</v>
      </c>
      <c r="E676" s="35" t="s">
        <v>1309</v>
      </c>
      <c r="F676" s="26" t="s">
        <v>238</v>
      </c>
      <c r="G676" s="24">
        <v>0</v>
      </c>
      <c r="H676" s="24">
        <v>444.6</v>
      </c>
      <c r="I676" s="24" t="e">
        <f t="shared" si="18"/>
        <v>#DIV/0!</v>
      </c>
      <c r="J676">
        <f>SUM('[1]ведомствен.2012'!G1082)</f>
        <v>0</v>
      </c>
    </row>
    <row r="677" spans="1:10" ht="35.25" customHeight="1">
      <c r="A677" s="223" t="s">
        <v>894</v>
      </c>
      <c r="B677" s="34"/>
      <c r="C677" s="35" t="s">
        <v>1026</v>
      </c>
      <c r="D677" s="35" t="s">
        <v>1026</v>
      </c>
      <c r="E677" s="35" t="s">
        <v>1310</v>
      </c>
      <c r="F677" s="26"/>
      <c r="G677" s="24">
        <f>SUM(G678)</f>
        <v>1915.8</v>
      </c>
      <c r="H677" s="24">
        <f>SUM(H678)</f>
        <v>1026.3</v>
      </c>
      <c r="I677" s="24">
        <f t="shared" si="18"/>
        <v>53.570310053241464</v>
      </c>
      <c r="J677"/>
    </row>
    <row r="678" spans="1:10" ht="18.75" customHeight="1">
      <c r="A678" s="226" t="s">
        <v>895</v>
      </c>
      <c r="B678" s="34"/>
      <c r="C678" s="35" t="s">
        <v>1026</v>
      </c>
      <c r="D678" s="35" t="s">
        <v>1026</v>
      </c>
      <c r="E678" s="35" t="s">
        <v>1310</v>
      </c>
      <c r="F678" s="26" t="s">
        <v>238</v>
      </c>
      <c r="G678" s="24">
        <v>1915.8</v>
      </c>
      <c r="H678" s="24">
        <v>1026.3</v>
      </c>
      <c r="I678" s="24">
        <f t="shared" si="18"/>
        <v>53.570310053241464</v>
      </c>
      <c r="J678" s="160">
        <f>SUM('[1]ведомствен.2012'!G1084)+'[1]ведомствен.2012'!G755</f>
        <v>1915.8</v>
      </c>
    </row>
    <row r="679" spans="1:10" ht="28.5">
      <c r="A679" s="286" t="s">
        <v>1311</v>
      </c>
      <c r="B679" s="28"/>
      <c r="C679" s="22" t="s">
        <v>1026</v>
      </c>
      <c r="D679" s="22" t="s">
        <v>1026</v>
      </c>
      <c r="E679" s="22" t="s">
        <v>1029</v>
      </c>
      <c r="F679" s="23"/>
      <c r="G679" s="24">
        <f>SUM(G680)</f>
        <v>35646.4</v>
      </c>
      <c r="H679" s="24">
        <f>SUM(H681)</f>
        <v>27641.4</v>
      </c>
      <c r="I679" s="24">
        <f t="shared" si="18"/>
        <v>77.54331433188204</v>
      </c>
      <c r="J679"/>
    </row>
    <row r="680" spans="1:10" ht="42.75">
      <c r="A680" s="241" t="s">
        <v>992</v>
      </c>
      <c r="B680" s="243"/>
      <c r="C680" s="35" t="s">
        <v>1026</v>
      </c>
      <c r="D680" s="35" t="s">
        <v>1026</v>
      </c>
      <c r="E680" s="35" t="s">
        <v>993</v>
      </c>
      <c r="F680" s="26"/>
      <c r="G680" s="24">
        <f>SUM(G681)+G685+G688</f>
        <v>35646.4</v>
      </c>
      <c r="H680" s="24"/>
      <c r="I680" s="24"/>
      <c r="J680"/>
    </row>
    <row r="681" spans="1:10" ht="42.75">
      <c r="A681" s="241" t="s">
        <v>994</v>
      </c>
      <c r="B681" s="243"/>
      <c r="C681" s="35" t="s">
        <v>1026</v>
      </c>
      <c r="D681" s="35" t="s">
        <v>1026</v>
      </c>
      <c r="E681" s="35" t="s">
        <v>995</v>
      </c>
      <c r="F681" s="26"/>
      <c r="G681" s="24">
        <f>SUM(G682:G684)</f>
        <v>3800</v>
      </c>
      <c r="H681" s="24">
        <f>SUM(H682+H685+H688)</f>
        <v>27641.4</v>
      </c>
      <c r="I681" s="24">
        <f t="shared" si="18"/>
        <v>727.4052631578948</v>
      </c>
      <c r="J681"/>
    </row>
    <row r="682" spans="1:10" ht="17.25" customHeight="1">
      <c r="A682" s="226" t="s">
        <v>895</v>
      </c>
      <c r="B682" s="243"/>
      <c r="C682" s="35" t="s">
        <v>1026</v>
      </c>
      <c r="D682" s="35" t="s">
        <v>1026</v>
      </c>
      <c r="E682" s="35" t="s">
        <v>995</v>
      </c>
      <c r="F682" s="26" t="s">
        <v>238</v>
      </c>
      <c r="G682" s="24">
        <v>1751.4</v>
      </c>
      <c r="H682" s="24">
        <v>2956.6</v>
      </c>
      <c r="I682" s="24">
        <f t="shared" si="18"/>
        <v>168.81352061208176</v>
      </c>
      <c r="J682" s="160">
        <f>SUM('[1]ведомствен.2012'!G1337)+'[1]ведомствен.2012'!G1430</f>
        <v>1751.4</v>
      </c>
    </row>
    <row r="683" spans="1:10" ht="17.25" customHeight="1">
      <c r="A683" s="223" t="s">
        <v>1010</v>
      </c>
      <c r="B683" s="243"/>
      <c r="C683" s="35" t="s">
        <v>1026</v>
      </c>
      <c r="D683" s="35" t="s">
        <v>1026</v>
      </c>
      <c r="E683" s="35" t="s">
        <v>995</v>
      </c>
      <c r="F683" s="26" t="s">
        <v>1011</v>
      </c>
      <c r="G683" s="24">
        <v>537.1</v>
      </c>
      <c r="H683" s="24"/>
      <c r="I683" s="24"/>
      <c r="J683" s="160">
        <f>SUM('[1]ведомствен.2012'!G1088)</f>
        <v>537.1</v>
      </c>
    </row>
    <row r="684" spans="1:10" ht="28.5" customHeight="1">
      <c r="A684" s="226" t="s">
        <v>1080</v>
      </c>
      <c r="B684" s="28"/>
      <c r="C684" s="22" t="s">
        <v>1026</v>
      </c>
      <c r="D684" s="22" t="s">
        <v>1026</v>
      </c>
      <c r="E684" s="22" t="s">
        <v>995</v>
      </c>
      <c r="F684" s="23" t="s">
        <v>978</v>
      </c>
      <c r="G684" s="24">
        <v>1511.5</v>
      </c>
      <c r="H684" s="24"/>
      <c r="I684" s="24"/>
      <c r="J684">
        <f>SUM('[1]ведомствен.2012'!G1431+'[1]ведомствен.2012'!G1338)</f>
        <v>1511.5</v>
      </c>
    </row>
    <row r="685" spans="1:10" ht="75" customHeight="1">
      <c r="A685" s="226" t="s">
        <v>426</v>
      </c>
      <c r="B685" s="51"/>
      <c r="C685" s="22" t="s">
        <v>1026</v>
      </c>
      <c r="D685" s="22" t="s">
        <v>1026</v>
      </c>
      <c r="E685" s="35" t="s">
        <v>1274</v>
      </c>
      <c r="F685" s="27"/>
      <c r="G685" s="24">
        <f>SUM(G686:G687)</f>
        <v>7267.4</v>
      </c>
      <c r="H685" s="24">
        <f>SUM(H687)</f>
        <v>6986.3</v>
      </c>
      <c r="I685" s="24">
        <f t="shared" si="18"/>
        <v>96.13204172056031</v>
      </c>
      <c r="J685"/>
    </row>
    <row r="686" spans="1:10" ht="23.25" customHeight="1">
      <c r="A686" s="226" t="s">
        <v>895</v>
      </c>
      <c r="B686" s="51"/>
      <c r="C686" s="22" t="s">
        <v>1026</v>
      </c>
      <c r="D686" s="22" t="s">
        <v>1026</v>
      </c>
      <c r="E686" s="35" t="s">
        <v>1274</v>
      </c>
      <c r="F686" s="27" t="s">
        <v>238</v>
      </c>
      <c r="G686" s="24">
        <v>3633.7</v>
      </c>
      <c r="H686" s="24"/>
      <c r="I686" s="24"/>
      <c r="J686">
        <f>SUM('[1]ведомствен.2012'!G1340)</f>
        <v>3633.7</v>
      </c>
    </row>
    <row r="687" spans="1:10" ht="30" customHeight="1">
      <c r="A687" s="226" t="s">
        <v>1080</v>
      </c>
      <c r="B687" s="51"/>
      <c r="C687" s="22" t="s">
        <v>1026</v>
      </c>
      <c r="D687" s="22" t="s">
        <v>1026</v>
      </c>
      <c r="E687" s="35" t="s">
        <v>1274</v>
      </c>
      <c r="F687" s="27" t="s">
        <v>978</v>
      </c>
      <c r="G687" s="24">
        <v>3633.7</v>
      </c>
      <c r="H687" s="24">
        <v>6986.3</v>
      </c>
      <c r="I687" s="24">
        <f t="shared" si="18"/>
        <v>192.26408344112062</v>
      </c>
      <c r="J687">
        <f>SUM('[1]ведомствен.2012'!G1341)</f>
        <v>3633.7</v>
      </c>
    </row>
    <row r="688" spans="1:10" ht="58.5" customHeight="1">
      <c r="A688" s="226" t="s">
        <v>1314</v>
      </c>
      <c r="B688" s="28"/>
      <c r="C688" s="35" t="s">
        <v>1026</v>
      </c>
      <c r="D688" s="22" t="s">
        <v>1026</v>
      </c>
      <c r="E688" s="35" t="s">
        <v>1275</v>
      </c>
      <c r="F688" s="23"/>
      <c r="G688" s="24">
        <f>SUM(G689)</f>
        <v>24579</v>
      </c>
      <c r="H688" s="24">
        <f>SUM(H689)</f>
        <v>17698.5</v>
      </c>
      <c r="I688" s="24">
        <f t="shared" si="18"/>
        <v>72.0065909923105</v>
      </c>
      <c r="J688"/>
    </row>
    <row r="689" spans="1:10" ht="48.75" customHeight="1">
      <c r="A689" s="234" t="s">
        <v>1250</v>
      </c>
      <c r="B689" s="28"/>
      <c r="C689" s="35" t="s">
        <v>1026</v>
      </c>
      <c r="D689" s="22" t="s">
        <v>1026</v>
      </c>
      <c r="E689" s="35" t="s">
        <v>1275</v>
      </c>
      <c r="F689" s="23" t="s">
        <v>1249</v>
      </c>
      <c r="G689" s="24">
        <v>24579</v>
      </c>
      <c r="H689" s="24">
        <v>17698.5</v>
      </c>
      <c r="I689" s="24">
        <f t="shared" si="18"/>
        <v>72.0065909923105</v>
      </c>
      <c r="J689" s="336">
        <f>SUM('[1]ведомствен.2012'!G1343)</f>
        <v>24579</v>
      </c>
    </row>
    <row r="690" spans="1:10" ht="18.75" customHeight="1">
      <c r="A690" s="223" t="s">
        <v>785</v>
      </c>
      <c r="B690" s="51"/>
      <c r="C690" s="35" t="s">
        <v>1026</v>
      </c>
      <c r="D690" s="35" t="s">
        <v>1026</v>
      </c>
      <c r="E690" s="35" t="s">
        <v>786</v>
      </c>
      <c r="F690" s="27"/>
      <c r="G690" s="24">
        <f>SUM(G691)</f>
        <v>177</v>
      </c>
      <c r="H690" s="24">
        <f>SUM(H691)</f>
        <v>0</v>
      </c>
      <c r="I690" s="24">
        <f>SUM(H690/G690*100)</f>
        <v>0</v>
      </c>
      <c r="J690"/>
    </row>
    <row r="691" spans="1:10" ht="45.75" customHeight="1">
      <c r="A691" s="293" t="s">
        <v>1258</v>
      </c>
      <c r="B691" s="92"/>
      <c r="C691" s="31" t="s">
        <v>1026</v>
      </c>
      <c r="D691" s="31" t="s">
        <v>1026</v>
      </c>
      <c r="E691" s="31" t="s">
        <v>1259</v>
      </c>
      <c r="F691" s="88"/>
      <c r="G691" s="49">
        <f>SUM(G692)</f>
        <v>177</v>
      </c>
      <c r="H691" s="24"/>
      <c r="I691" s="24"/>
      <c r="J691"/>
    </row>
    <row r="692" spans="1:10" ht="17.25" customHeight="1">
      <c r="A692" s="293" t="s">
        <v>1301</v>
      </c>
      <c r="B692" s="92"/>
      <c r="C692" s="31" t="s">
        <v>1026</v>
      </c>
      <c r="D692" s="31" t="s">
        <v>1026</v>
      </c>
      <c r="E692" s="31" t="s">
        <v>1259</v>
      </c>
      <c r="F692" s="88" t="s">
        <v>1302</v>
      </c>
      <c r="G692" s="49">
        <v>177</v>
      </c>
      <c r="H692" s="24"/>
      <c r="I692" s="24"/>
      <c r="J692">
        <f>SUM('[1]ведомствен.2012'!G1091)</f>
        <v>177</v>
      </c>
    </row>
    <row r="693" spans="1:10" ht="13.5" customHeight="1" hidden="1">
      <c r="A693" s="226" t="s">
        <v>1316</v>
      </c>
      <c r="B693" s="28"/>
      <c r="C693" s="35" t="s">
        <v>1026</v>
      </c>
      <c r="D693" s="22" t="s">
        <v>1026</v>
      </c>
      <c r="E693" s="35" t="s">
        <v>1315</v>
      </c>
      <c r="F693" s="23" t="s">
        <v>1317</v>
      </c>
      <c r="G693" s="24"/>
      <c r="H693" s="24"/>
      <c r="I693" s="24" t="e">
        <f t="shared" si="18"/>
        <v>#DIV/0!</v>
      </c>
      <c r="J693"/>
    </row>
    <row r="694" spans="1:10" ht="14.25" customHeight="1">
      <c r="A694" s="234" t="s">
        <v>1046</v>
      </c>
      <c r="B694" s="86"/>
      <c r="C694" s="35" t="s">
        <v>1026</v>
      </c>
      <c r="D694" s="35" t="s">
        <v>1026</v>
      </c>
      <c r="E694" s="35" t="s">
        <v>1047</v>
      </c>
      <c r="F694" s="27"/>
      <c r="G694" s="24">
        <f>SUM(G697)+G695</f>
        <v>395.4</v>
      </c>
      <c r="H694" s="24" t="e">
        <f>SUM(#REF!)</f>
        <v>#REF!</v>
      </c>
      <c r="I694" s="24" t="e">
        <f>SUM(H694/G694*100)</f>
        <v>#REF!</v>
      </c>
      <c r="J694"/>
    </row>
    <row r="695" spans="1:10" ht="42.75" hidden="1">
      <c r="A695" s="212" t="s">
        <v>1244</v>
      </c>
      <c r="B695" s="86"/>
      <c r="C695" s="35" t="s">
        <v>1026</v>
      </c>
      <c r="D695" s="35" t="s">
        <v>1026</v>
      </c>
      <c r="E695" s="35" t="s">
        <v>383</v>
      </c>
      <c r="F695" s="27"/>
      <c r="G695" s="24">
        <f>SUM(G696)</f>
        <v>0</v>
      </c>
      <c r="H695" s="24"/>
      <c r="I695" s="24"/>
      <c r="J695"/>
    </row>
    <row r="696" spans="1:10" ht="15" hidden="1">
      <c r="A696" s="234" t="s">
        <v>895</v>
      </c>
      <c r="B696" s="86"/>
      <c r="C696" s="35" t="s">
        <v>1026</v>
      </c>
      <c r="D696" s="35" t="s">
        <v>1026</v>
      </c>
      <c r="E696" s="35" t="s">
        <v>383</v>
      </c>
      <c r="F696" s="27" t="s">
        <v>238</v>
      </c>
      <c r="G696" s="24"/>
      <c r="H696" s="24"/>
      <c r="I696" s="24"/>
      <c r="J696">
        <f>SUM('[1]ведомствен.2012'!G1094)</f>
        <v>0</v>
      </c>
    </row>
    <row r="697" spans="1:10" ht="42.75">
      <c r="A697" s="212" t="s">
        <v>523</v>
      </c>
      <c r="B697" s="86"/>
      <c r="C697" s="35" t="s">
        <v>1026</v>
      </c>
      <c r="D697" s="35" t="s">
        <v>1026</v>
      </c>
      <c r="E697" s="35" t="s">
        <v>522</v>
      </c>
      <c r="F697" s="27"/>
      <c r="G697" s="24">
        <f>SUM(G698+G699)</f>
        <v>395.4</v>
      </c>
      <c r="H697" s="24"/>
      <c r="I697" s="24"/>
      <c r="J697"/>
    </row>
    <row r="698" spans="1:10" ht="22.5" customHeight="1">
      <c r="A698" s="234" t="s">
        <v>1301</v>
      </c>
      <c r="B698" s="86"/>
      <c r="C698" s="35" t="s">
        <v>1026</v>
      </c>
      <c r="D698" s="35" t="s">
        <v>1026</v>
      </c>
      <c r="E698" s="35" t="s">
        <v>522</v>
      </c>
      <c r="F698" s="27" t="s">
        <v>1302</v>
      </c>
      <c r="G698" s="24">
        <v>325.5</v>
      </c>
      <c r="H698" s="24"/>
      <c r="I698" s="24"/>
      <c r="J698">
        <f>SUM('[1]ведомствен.2012'!G1348+'[1]ведомствен.2012'!G1096+'[1]ведомствен.2012'!G758+'[1]ведомствен.2012'!G1434)</f>
        <v>325.5</v>
      </c>
    </row>
    <row r="699" spans="1:10" ht="32.25" customHeight="1">
      <c r="A699" s="228" t="s">
        <v>1126</v>
      </c>
      <c r="B699" s="86"/>
      <c r="C699" s="35" t="s">
        <v>1026</v>
      </c>
      <c r="D699" s="35" t="s">
        <v>1026</v>
      </c>
      <c r="E699" s="35" t="s">
        <v>522</v>
      </c>
      <c r="F699" s="27" t="s">
        <v>978</v>
      </c>
      <c r="G699" s="24">
        <v>69.9</v>
      </c>
      <c r="H699" s="24"/>
      <c r="I699" s="24"/>
      <c r="J699">
        <f>SUM('[1]ведомствен.2012'!G1097)</f>
        <v>69.9</v>
      </c>
    </row>
    <row r="700" spans="1:12" ht="15">
      <c r="A700" s="223" t="s">
        <v>1318</v>
      </c>
      <c r="B700" s="21"/>
      <c r="C700" s="35" t="s">
        <v>1026</v>
      </c>
      <c r="D700" s="35" t="s">
        <v>389</v>
      </c>
      <c r="E700" s="35"/>
      <c r="F700" s="26"/>
      <c r="G700" s="24">
        <f>SUM(G704+G708+G715+G734+G701)+G731</f>
        <v>64154.700000000004</v>
      </c>
      <c r="H700" s="24">
        <f>SUM(H704+H708+H715+H734+H701)</f>
        <v>39045.399999999994</v>
      </c>
      <c r="I700" s="24">
        <f t="shared" si="18"/>
        <v>60.86132426774654</v>
      </c>
      <c r="J700"/>
      <c r="K700">
        <f>SUM(J705:J754)</f>
        <v>64154.7</v>
      </c>
      <c r="L700" s="208">
        <f>SUM(G700-K700)</f>
        <v>7.275957614183426E-12</v>
      </c>
    </row>
    <row r="701" spans="1:9" s="36" customFormat="1" ht="28.5" customHeight="1" hidden="1">
      <c r="A701" s="220" t="s">
        <v>242</v>
      </c>
      <c r="B701" s="34"/>
      <c r="C701" s="35" t="s">
        <v>1026</v>
      </c>
      <c r="D701" s="35" t="s">
        <v>389</v>
      </c>
      <c r="E701" s="35" t="s">
        <v>605</v>
      </c>
      <c r="F701" s="26"/>
      <c r="G701" s="24">
        <f>SUM(G702)</f>
        <v>0</v>
      </c>
      <c r="H701" s="24">
        <f>SUM(H702)</f>
        <v>0</v>
      </c>
      <c r="I701" s="24" t="e">
        <f t="shared" si="18"/>
        <v>#DIV/0!</v>
      </c>
    </row>
    <row r="702" spans="1:9" s="36" customFormat="1" ht="27.75" customHeight="1" hidden="1">
      <c r="A702" s="220" t="s">
        <v>1319</v>
      </c>
      <c r="B702" s="34"/>
      <c r="C702" s="35" t="s">
        <v>1026</v>
      </c>
      <c r="D702" s="35" t="s">
        <v>389</v>
      </c>
      <c r="E702" s="35" t="s">
        <v>1052</v>
      </c>
      <c r="F702" s="26"/>
      <c r="G702" s="24">
        <f>SUM(G703)</f>
        <v>0</v>
      </c>
      <c r="H702" s="24">
        <f>SUM(H703)</f>
        <v>0</v>
      </c>
      <c r="I702" s="24" t="e">
        <f t="shared" si="18"/>
        <v>#DIV/0!</v>
      </c>
    </row>
    <row r="703" spans="1:9" s="36" customFormat="1" ht="18" customHeight="1" hidden="1">
      <c r="A703" s="220" t="s">
        <v>917</v>
      </c>
      <c r="B703" s="34"/>
      <c r="C703" s="35" t="s">
        <v>1026</v>
      </c>
      <c r="D703" s="35" t="s">
        <v>389</v>
      </c>
      <c r="E703" s="35" t="s">
        <v>1052</v>
      </c>
      <c r="F703" s="26" t="s">
        <v>1054</v>
      </c>
      <c r="G703" s="24"/>
      <c r="H703" s="24"/>
      <c r="I703" s="24" t="e">
        <f t="shared" si="18"/>
        <v>#DIV/0!</v>
      </c>
    </row>
    <row r="704" spans="1:10" ht="15">
      <c r="A704" s="273" t="s">
        <v>454</v>
      </c>
      <c r="B704" s="58"/>
      <c r="C704" s="35" t="s">
        <v>1026</v>
      </c>
      <c r="D704" s="35" t="s">
        <v>389</v>
      </c>
      <c r="E704" s="35" t="s">
        <v>455</v>
      </c>
      <c r="F704" s="26"/>
      <c r="G704" s="24">
        <f aca="true" t="shared" si="19" ref="G704:H706">SUM(G705)</f>
        <v>4475.9</v>
      </c>
      <c r="H704" s="24">
        <f t="shared" si="19"/>
        <v>1869.7</v>
      </c>
      <c r="I704" s="24">
        <f t="shared" si="18"/>
        <v>41.7726043924127</v>
      </c>
      <c r="J704"/>
    </row>
    <row r="705" spans="1:10" ht="19.5" customHeight="1">
      <c r="A705" s="223" t="s">
        <v>1320</v>
      </c>
      <c r="B705" s="58"/>
      <c r="C705" s="35" t="s">
        <v>1026</v>
      </c>
      <c r="D705" s="35" t="s">
        <v>389</v>
      </c>
      <c r="E705" s="35" t="s">
        <v>356</v>
      </c>
      <c r="F705" s="26"/>
      <c r="G705" s="24">
        <f t="shared" si="19"/>
        <v>4475.9</v>
      </c>
      <c r="H705" s="24">
        <f t="shared" si="19"/>
        <v>1869.7</v>
      </c>
      <c r="I705" s="24">
        <f t="shared" si="18"/>
        <v>41.7726043924127</v>
      </c>
      <c r="J705"/>
    </row>
    <row r="706" spans="1:10" ht="30" customHeight="1">
      <c r="A706" s="226" t="s">
        <v>343</v>
      </c>
      <c r="B706" s="58"/>
      <c r="C706" s="35" t="s">
        <v>1026</v>
      </c>
      <c r="D706" s="35" t="s">
        <v>389</v>
      </c>
      <c r="E706" s="35" t="s">
        <v>344</v>
      </c>
      <c r="F706" s="26"/>
      <c r="G706" s="24">
        <f t="shared" si="19"/>
        <v>4475.9</v>
      </c>
      <c r="H706" s="24">
        <f t="shared" si="19"/>
        <v>1869.7</v>
      </c>
      <c r="I706" s="24">
        <f t="shared" si="18"/>
        <v>41.7726043924127</v>
      </c>
      <c r="J706"/>
    </row>
    <row r="707" spans="1:10" ht="18" customHeight="1">
      <c r="A707" s="226" t="s">
        <v>895</v>
      </c>
      <c r="B707" s="58"/>
      <c r="C707" s="35" t="s">
        <v>1026</v>
      </c>
      <c r="D707" s="35" t="s">
        <v>389</v>
      </c>
      <c r="E707" s="35" t="s">
        <v>344</v>
      </c>
      <c r="F707" s="26" t="s">
        <v>238</v>
      </c>
      <c r="G707" s="24">
        <v>4475.9</v>
      </c>
      <c r="H707" s="24">
        <v>1869.7</v>
      </c>
      <c r="I707" s="24">
        <f t="shared" si="18"/>
        <v>41.7726043924127</v>
      </c>
      <c r="J707" s="160">
        <f>SUM('[1]ведомствен.2012'!G1353)</f>
        <v>4475.9</v>
      </c>
    </row>
    <row r="708" spans="1:10" ht="57">
      <c r="A708" s="286" t="s">
        <v>345</v>
      </c>
      <c r="B708" s="21"/>
      <c r="C708" s="35" t="s">
        <v>1026</v>
      </c>
      <c r="D708" s="35" t="s">
        <v>389</v>
      </c>
      <c r="E708" s="35" t="s">
        <v>346</v>
      </c>
      <c r="F708" s="26"/>
      <c r="G708" s="24">
        <f>SUM(G709)</f>
        <v>34725.9</v>
      </c>
      <c r="H708" s="24">
        <f>SUM(H709)</f>
        <v>17823.6</v>
      </c>
      <c r="I708" s="24">
        <f t="shared" si="18"/>
        <v>51.32653149378417</v>
      </c>
      <c r="J708"/>
    </row>
    <row r="709" spans="1:10" ht="33" customHeight="1">
      <c r="A709" s="223" t="s">
        <v>894</v>
      </c>
      <c r="B709" s="58"/>
      <c r="C709" s="35" t="s">
        <v>1026</v>
      </c>
      <c r="D709" s="35" t="s">
        <v>389</v>
      </c>
      <c r="E709" s="35" t="s">
        <v>347</v>
      </c>
      <c r="F709" s="26"/>
      <c r="G709" s="24">
        <f>SUM(G710+G711+G713)</f>
        <v>34725.9</v>
      </c>
      <c r="H709" s="24">
        <f>SUM(H710+H711+H713)</f>
        <v>17823.6</v>
      </c>
      <c r="I709" s="24">
        <f t="shared" si="18"/>
        <v>51.32653149378417</v>
      </c>
      <c r="J709"/>
    </row>
    <row r="710" spans="1:10" ht="18" customHeight="1">
      <c r="A710" s="226" t="s">
        <v>895</v>
      </c>
      <c r="B710" s="58"/>
      <c r="C710" s="35" t="s">
        <v>1026</v>
      </c>
      <c r="D710" s="35" t="s">
        <v>389</v>
      </c>
      <c r="E710" s="35" t="s">
        <v>347</v>
      </c>
      <c r="F710" s="26" t="s">
        <v>238</v>
      </c>
      <c r="G710" s="24">
        <v>34606.8</v>
      </c>
      <c r="H710" s="24">
        <v>17823.6</v>
      </c>
      <c r="I710" s="24">
        <f t="shared" si="18"/>
        <v>51.503172786851124</v>
      </c>
      <c r="J710" s="160">
        <f>SUM('[1]ведомствен.2012'!G1356)+'[1]ведомствен.2012'!G762</f>
        <v>34606.799999999996</v>
      </c>
    </row>
    <row r="711" spans="1:10" ht="32.25" customHeight="1">
      <c r="A711" s="234" t="s">
        <v>306</v>
      </c>
      <c r="B711" s="58"/>
      <c r="C711" s="35" t="s">
        <v>1026</v>
      </c>
      <c r="D711" s="35" t="s">
        <v>389</v>
      </c>
      <c r="E711" s="35" t="s">
        <v>348</v>
      </c>
      <c r="F711" s="26"/>
      <c r="G711" s="24">
        <f>SUM(G712)</f>
        <v>119.1</v>
      </c>
      <c r="H711" s="24">
        <f>SUM(H712)</f>
        <v>0</v>
      </c>
      <c r="I711" s="24">
        <f t="shared" si="18"/>
        <v>0</v>
      </c>
      <c r="J711"/>
    </row>
    <row r="712" spans="1:10" ht="20.25" customHeight="1">
      <c r="A712" s="226" t="s">
        <v>895</v>
      </c>
      <c r="B712" s="58"/>
      <c r="C712" s="35" t="s">
        <v>1026</v>
      </c>
      <c r="D712" s="35" t="s">
        <v>389</v>
      </c>
      <c r="E712" s="35" t="s">
        <v>348</v>
      </c>
      <c r="F712" s="26" t="s">
        <v>238</v>
      </c>
      <c r="G712" s="24">
        <v>119.1</v>
      </c>
      <c r="H712" s="24"/>
      <c r="I712" s="24">
        <f t="shared" si="18"/>
        <v>0</v>
      </c>
      <c r="J712" s="160">
        <f>SUM('[1]ведомствен.2012'!G1358)</f>
        <v>119.1</v>
      </c>
    </row>
    <row r="713" spans="1:10" ht="62.25" customHeight="1" hidden="1">
      <c r="A713" s="223" t="s">
        <v>282</v>
      </c>
      <c r="B713" s="51"/>
      <c r="C713" s="35" t="s">
        <v>1026</v>
      </c>
      <c r="D713" s="35" t="s">
        <v>389</v>
      </c>
      <c r="E713" s="35" t="s">
        <v>349</v>
      </c>
      <c r="F713" s="27"/>
      <c r="G713" s="24">
        <f>SUM(G714)</f>
        <v>0</v>
      </c>
      <c r="H713" s="24">
        <f>SUM(H714)</f>
        <v>0</v>
      </c>
      <c r="I713" s="24" t="e">
        <f t="shared" si="18"/>
        <v>#DIV/0!</v>
      </c>
      <c r="J713"/>
    </row>
    <row r="714" spans="1:10" ht="18" customHeight="1" hidden="1">
      <c r="A714" s="226" t="s">
        <v>237</v>
      </c>
      <c r="B714" s="58"/>
      <c r="C714" s="35" t="s">
        <v>1026</v>
      </c>
      <c r="D714" s="35" t="s">
        <v>389</v>
      </c>
      <c r="E714" s="35" t="s">
        <v>349</v>
      </c>
      <c r="F714" s="26" t="s">
        <v>238</v>
      </c>
      <c r="G714" s="24"/>
      <c r="H714" s="24"/>
      <c r="I714" s="24" t="e">
        <f t="shared" si="18"/>
        <v>#DIV/0!</v>
      </c>
      <c r="J714"/>
    </row>
    <row r="715" spans="1:10" ht="19.5" customHeight="1">
      <c r="A715" s="223" t="s">
        <v>785</v>
      </c>
      <c r="B715" s="51"/>
      <c r="C715" s="35" t="s">
        <v>1026</v>
      </c>
      <c r="D715" s="35" t="s">
        <v>389</v>
      </c>
      <c r="E715" s="35" t="s">
        <v>786</v>
      </c>
      <c r="F715" s="27"/>
      <c r="G715" s="24">
        <f>SUM(G724)</f>
        <v>149.3</v>
      </c>
      <c r="H715" s="24">
        <f>SUM(H716+H720+H724+H718)+H722+H727</f>
        <v>572</v>
      </c>
      <c r="I715" s="24">
        <f t="shared" si="18"/>
        <v>383.1212324179504</v>
      </c>
      <c r="J715"/>
    </row>
    <row r="716" spans="1:10" ht="42.75" hidden="1">
      <c r="A716" s="223" t="s">
        <v>350</v>
      </c>
      <c r="B716" s="51"/>
      <c r="C716" s="35" t="s">
        <v>1026</v>
      </c>
      <c r="D716" s="35" t="s">
        <v>389</v>
      </c>
      <c r="E716" s="35" t="s">
        <v>351</v>
      </c>
      <c r="F716" s="27"/>
      <c r="G716" s="24">
        <f>SUM(G717)</f>
        <v>0</v>
      </c>
      <c r="H716" s="24">
        <f>SUM(H717)</f>
        <v>3.5</v>
      </c>
      <c r="I716" s="24"/>
      <c r="J716"/>
    </row>
    <row r="717" spans="1:10" ht="15.75" hidden="1">
      <c r="A717" s="226" t="s">
        <v>237</v>
      </c>
      <c r="B717" s="51"/>
      <c r="C717" s="35" t="s">
        <v>1026</v>
      </c>
      <c r="D717" s="35" t="s">
        <v>389</v>
      </c>
      <c r="E717" s="35" t="s">
        <v>351</v>
      </c>
      <c r="F717" s="27" t="s">
        <v>238</v>
      </c>
      <c r="G717" s="24"/>
      <c r="H717" s="24">
        <v>3.5</v>
      </c>
      <c r="I717" s="24"/>
      <c r="J717"/>
    </row>
    <row r="718" spans="1:10" ht="71.25" hidden="1">
      <c r="A718" s="223" t="s">
        <v>352</v>
      </c>
      <c r="B718" s="51"/>
      <c r="C718" s="35" t="s">
        <v>1026</v>
      </c>
      <c r="D718" s="35" t="s">
        <v>389</v>
      </c>
      <c r="E718" s="35" t="s">
        <v>353</v>
      </c>
      <c r="F718" s="27"/>
      <c r="G718" s="24">
        <f>SUM(G719)</f>
        <v>0</v>
      </c>
      <c r="H718" s="24">
        <f>SUM(H719)</f>
        <v>0</v>
      </c>
      <c r="I718" s="24" t="e">
        <f t="shared" si="18"/>
        <v>#DIV/0!</v>
      </c>
      <c r="J718"/>
    </row>
    <row r="719" spans="1:10" ht="28.5" hidden="1">
      <c r="A719" s="223" t="s">
        <v>485</v>
      </c>
      <c r="B719" s="51"/>
      <c r="C719" s="35" t="s">
        <v>1026</v>
      </c>
      <c r="D719" s="35" t="s">
        <v>389</v>
      </c>
      <c r="E719" s="35" t="s">
        <v>353</v>
      </c>
      <c r="F719" s="27" t="s">
        <v>354</v>
      </c>
      <c r="G719" s="24"/>
      <c r="H719" s="24"/>
      <c r="I719" s="24" t="e">
        <f t="shared" si="18"/>
        <v>#DIV/0!</v>
      </c>
      <c r="J719"/>
    </row>
    <row r="720" spans="1:10" ht="42.75" hidden="1">
      <c r="A720" s="223" t="s">
        <v>476</v>
      </c>
      <c r="B720" s="51"/>
      <c r="C720" s="35" t="s">
        <v>1026</v>
      </c>
      <c r="D720" s="35" t="s">
        <v>389</v>
      </c>
      <c r="E720" s="35" t="s">
        <v>477</v>
      </c>
      <c r="F720" s="27"/>
      <c r="G720" s="24">
        <f>SUM(G721)</f>
        <v>0</v>
      </c>
      <c r="H720" s="24">
        <f>SUM(H721)</f>
        <v>0</v>
      </c>
      <c r="I720" s="24" t="e">
        <f t="shared" si="18"/>
        <v>#DIV/0!</v>
      </c>
      <c r="J720"/>
    </row>
    <row r="721" spans="1:10" ht="15.75" hidden="1">
      <c r="A721" s="226" t="s">
        <v>237</v>
      </c>
      <c r="B721" s="51"/>
      <c r="C721" s="35" t="s">
        <v>1026</v>
      </c>
      <c r="D721" s="35" t="s">
        <v>389</v>
      </c>
      <c r="E721" s="35" t="s">
        <v>477</v>
      </c>
      <c r="F721" s="27" t="s">
        <v>238</v>
      </c>
      <c r="G721" s="24"/>
      <c r="H721" s="24"/>
      <c r="I721" s="24" t="e">
        <f t="shared" si="18"/>
        <v>#DIV/0!</v>
      </c>
      <c r="J721"/>
    </row>
    <row r="722" spans="1:10" ht="28.5" hidden="1">
      <c r="A722" s="226" t="s">
        <v>284</v>
      </c>
      <c r="B722" s="51"/>
      <c r="C722" s="35" t="s">
        <v>1026</v>
      </c>
      <c r="D722" s="35" t="s">
        <v>389</v>
      </c>
      <c r="E722" s="35" t="s">
        <v>355</v>
      </c>
      <c r="F722" s="27"/>
      <c r="G722" s="24">
        <f>SUM(G723)</f>
        <v>0</v>
      </c>
      <c r="H722" s="24">
        <f>SUM(H723)</f>
        <v>0</v>
      </c>
      <c r="I722" s="24" t="e">
        <f t="shared" si="18"/>
        <v>#DIV/0!</v>
      </c>
      <c r="J722"/>
    </row>
    <row r="723" spans="1:10" ht="28.5" hidden="1">
      <c r="A723" s="223" t="s">
        <v>485</v>
      </c>
      <c r="B723" s="51"/>
      <c r="C723" s="35" t="s">
        <v>1026</v>
      </c>
      <c r="D723" s="35" t="s">
        <v>389</v>
      </c>
      <c r="E723" s="35" t="s">
        <v>355</v>
      </c>
      <c r="F723" s="27" t="s">
        <v>354</v>
      </c>
      <c r="G723" s="24"/>
      <c r="H723" s="24"/>
      <c r="I723" s="24" t="e">
        <f t="shared" si="18"/>
        <v>#DIV/0!</v>
      </c>
      <c r="J723"/>
    </row>
    <row r="724" spans="1:10" ht="28.5" customHeight="1">
      <c r="A724" s="223" t="s">
        <v>1066</v>
      </c>
      <c r="B724" s="51"/>
      <c r="C724" s="35" t="s">
        <v>1026</v>
      </c>
      <c r="D724" s="35" t="s">
        <v>389</v>
      </c>
      <c r="E724" s="35" t="s">
        <v>1067</v>
      </c>
      <c r="F724" s="27"/>
      <c r="G724" s="24">
        <f>SUM(G725)+G733</f>
        <v>149.3</v>
      </c>
      <c r="H724" s="24">
        <f>SUM(H725)</f>
        <v>0</v>
      </c>
      <c r="I724" s="24">
        <f t="shared" si="18"/>
        <v>0</v>
      </c>
      <c r="J724"/>
    </row>
    <row r="725" spans="1:10" ht="24.75" customHeight="1">
      <c r="A725" s="226" t="s">
        <v>237</v>
      </c>
      <c r="B725" s="51"/>
      <c r="C725" s="35" t="s">
        <v>1026</v>
      </c>
      <c r="D725" s="35" t="s">
        <v>389</v>
      </c>
      <c r="E725" s="35" t="s">
        <v>1067</v>
      </c>
      <c r="F725" s="27" t="s">
        <v>238</v>
      </c>
      <c r="G725" s="24">
        <v>113.4</v>
      </c>
      <c r="H725" s="24">
        <f>SUM('[2]Ведомств.'!G586)</f>
        <v>0</v>
      </c>
      <c r="I725" s="24">
        <f t="shared" si="18"/>
        <v>0</v>
      </c>
      <c r="J725">
        <f>SUM('[1]ведомствен.2012'!G1373)</f>
        <v>113.4</v>
      </c>
    </row>
    <row r="726" spans="1:10" ht="30.75" customHeight="1" hidden="1">
      <c r="A726" s="226" t="s">
        <v>384</v>
      </c>
      <c r="B726" s="51"/>
      <c r="C726" s="35" t="s">
        <v>1026</v>
      </c>
      <c r="D726" s="35" t="s">
        <v>389</v>
      </c>
      <c r="E726" s="35" t="s">
        <v>1067</v>
      </c>
      <c r="F726" s="27" t="s">
        <v>469</v>
      </c>
      <c r="G726" s="24"/>
      <c r="H726" s="24"/>
      <c r="I726" s="24"/>
      <c r="J726"/>
    </row>
    <row r="727" spans="1:10" ht="87.75" customHeight="1" hidden="1">
      <c r="A727" s="276" t="s">
        <v>1068</v>
      </c>
      <c r="B727" s="51"/>
      <c r="C727" s="35" t="s">
        <v>1026</v>
      </c>
      <c r="D727" s="35" t="s">
        <v>389</v>
      </c>
      <c r="E727" s="35" t="s">
        <v>1069</v>
      </c>
      <c r="F727" s="27"/>
      <c r="G727" s="24">
        <f>SUM(G728)</f>
        <v>0</v>
      </c>
      <c r="H727" s="24">
        <f>SUM(H728)</f>
        <v>568.5</v>
      </c>
      <c r="I727" s="24" t="e">
        <f t="shared" si="18"/>
        <v>#DIV/0!</v>
      </c>
      <c r="J727"/>
    </row>
    <row r="728" spans="1:10" ht="15.75" hidden="1">
      <c r="A728" s="226" t="s">
        <v>237</v>
      </c>
      <c r="B728" s="51"/>
      <c r="C728" s="35" t="s">
        <v>1026</v>
      </c>
      <c r="D728" s="35" t="s">
        <v>389</v>
      </c>
      <c r="E728" s="35" t="s">
        <v>1069</v>
      </c>
      <c r="F728" s="27" t="s">
        <v>238</v>
      </c>
      <c r="G728" s="24"/>
      <c r="H728" s="24">
        <v>568.5</v>
      </c>
      <c r="I728" s="24" t="e">
        <f t="shared" si="18"/>
        <v>#DIV/0!</v>
      </c>
      <c r="J728"/>
    </row>
    <row r="729" spans="1:10" ht="15.75" hidden="1">
      <c r="A729" s="226"/>
      <c r="B729" s="51"/>
      <c r="C729" s="35"/>
      <c r="D729" s="35"/>
      <c r="E729" s="35"/>
      <c r="F729" s="27"/>
      <c r="G729" s="24"/>
      <c r="H729" s="24"/>
      <c r="I729" s="24"/>
      <c r="J729"/>
    </row>
    <row r="730" spans="1:10" ht="15.75" hidden="1">
      <c r="A730" s="226"/>
      <c r="B730" s="51"/>
      <c r="C730" s="35"/>
      <c r="D730" s="35"/>
      <c r="E730" s="35"/>
      <c r="F730" s="27"/>
      <c r="G730" s="24"/>
      <c r="H730" s="24"/>
      <c r="I730" s="24"/>
      <c r="J730"/>
    </row>
    <row r="731" spans="1:10" ht="27.75" customHeight="1" hidden="1">
      <c r="A731" s="286" t="s">
        <v>1236</v>
      </c>
      <c r="B731" s="21"/>
      <c r="C731" s="35" t="s">
        <v>1026</v>
      </c>
      <c r="D731" s="35" t="s">
        <v>389</v>
      </c>
      <c r="E731" s="22" t="s">
        <v>1237</v>
      </c>
      <c r="F731" s="27"/>
      <c r="G731" s="24">
        <f>SUM(G732)</f>
        <v>0</v>
      </c>
      <c r="H731" s="24">
        <f>SUM(H732)</f>
        <v>0</v>
      </c>
      <c r="I731" s="24" t="e">
        <f>SUM(H731/G731*100)</f>
        <v>#DIV/0!</v>
      </c>
      <c r="J731"/>
    </row>
    <row r="732" spans="1:10" ht="16.5" customHeight="1" hidden="1">
      <c r="A732" s="226" t="s">
        <v>895</v>
      </c>
      <c r="B732" s="28"/>
      <c r="C732" s="72" t="s">
        <v>793</v>
      </c>
      <c r="D732" s="72" t="s">
        <v>549</v>
      </c>
      <c r="E732" s="22" t="s">
        <v>1237</v>
      </c>
      <c r="F732" s="23" t="s">
        <v>238</v>
      </c>
      <c r="G732" s="49"/>
      <c r="H732" s="24"/>
      <c r="I732" s="24"/>
      <c r="J732"/>
    </row>
    <row r="733" spans="1:10" ht="27.75" customHeight="1">
      <c r="A733" s="228" t="s">
        <v>1126</v>
      </c>
      <c r="B733" s="51"/>
      <c r="C733" s="35" t="s">
        <v>1026</v>
      </c>
      <c r="D733" s="35" t="s">
        <v>389</v>
      </c>
      <c r="E733" s="35" t="s">
        <v>1067</v>
      </c>
      <c r="F733" s="27" t="s">
        <v>978</v>
      </c>
      <c r="G733" s="24">
        <v>35.9</v>
      </c>
      <c r="H733" s="24"/>
      <c r="I733" s="24"/>
      <c r="J733">
        <f>SUM('[1]ведомствен.2012'!G1378)</f>
        <v>35.9</v>
      </c>
    </row>
    <row r="734" spans="1:9" s="87" customFormat="1" ht="17.25" customHeight="1">
      <c r="A734" s="226" t="s">
        <v>1046</v>
      </c>
      <c r="B734" s="86"/>
      <c r="C734" s="35" t="s">
        <v>1026</v>
      </c>
      <c r="D734" s="35" t="s">
        <v>389</v>
      </c>
      <c r="E734" s="35" t="s">
        <v>1047</v>
      </c>
      <c r="F734" s="27"/>
      <c r="G734" s="24">
        <f>SUM(G735,G737,G739,G742,G745,G750,G746)+G749+G753</f>
        <v>24803.6</v>
      </c>
      <c r="H734" s="24">
        <f>SUM(H735)</f>
        <v>18780.1</v>
      </c>
      <c r="I734" s="24">
        <f t="shared" si="18"/>
        <v>75.7152187585673</v>
      </c>
    </row>
    <row r="735" spans="1:9" s="87" customFormat="1" ht="14.25" customHeight="1" hidden="1">
      <c r="A735" s="226" t="s">
        <v>382</v>
      </c>
      <c r="B735" s="86"/>
      <c r="C735" s="35" t="s">
        <v>1026</v>
      </c>
      <c r="D735" s="35" t="s">
        <v>389</v>
      </c>
      <c r="E735" s="35" t="s">
        <v>383</v>
      </c>
      <c r="F735" s="27"/>
      <c r="G735" s="24">
        <f>SUM(G736)</f>
        <v>0</v>
      </c>
      <c r="H735" s="24">
        <f>SUM(H737:H750)</f>
        <v>18780.1</v>
      </c>
      <c r="I735" s="24" t="e">
        <f>SUM(H735/G735*100)</f>
        <v>#DIV/0!</v>
      </c>
    </row>
    <row r="736" spans="1:10" ht="14.25" customHeight="1" hidden="1">
      <c r="A736" s="223" t="s">
        <v>796</v>
      </c>
      <c r="B736" s="86"/>
      <c r="C736" s="35" t="s">
        <v>385</v>
      </c>
      <c r="D736" s="35" t="s">
        <v>389</v>
      </c>
      <c r="E736" s="35" t="s">
        <v>383</v>
      </c>
      <c r="F736" s="27" t="s">
        <v>797</v>
      </c>
      <c r="G736" s="24"/>
      <c r="H736" s="24"/>
      <c r="I736" s="24"/>
      <c r="J736"/>
    </row>
    <row r="737" spans="1:10" s="87" customFormat="1" ht="42" customHeight="1">
      <c r="A737" s="231" t="s">
        <v>1096</v>
      </c>
      <c r="B737" s="86"/>
      <c r="C737" s="35" t="s">
        <v>1026</v>
      </c>
      <c r="D737" s="35" t="s">
        <v>389</v>
      </c>
      <c r="E737" s="35" t="s">
        <v>513</v>
      </c>
      <c r="F737" s="27"/>
      <c r="G737" s="24">
        <f>SUM(G738)</f>
        <v>204.5</v>
      </c>
      <c r="H737" s="24">
        <v>179.9</v>
      </c>
      <c r="I737" s="24">
        <f>SUM(H737/G737*100)</f>
        <v>87.97066014669926</v>
      </c>
      <c r="J737" s="160"/>
    </row>
    <row r="738" spans="1:10" s="87" customFormat="1" ht="16.5" customHeight="1">
      <c r="A738" s="226" t="s">
        <v>1301</v>
      </c>
      <c r="B738" s="86"/>
      <c r="C738" s="35" t="s">
        <v>1026</v>
      </c>
      <c r="D738" s="35" t="s">
        <v>389</v>
      </c>
      <c r="E738" s="35" t="s">
        <v>513</v>
      </c>
      <c r="F738" s="27" t="s">
        <v>1302</v>
      </c>
      <c r="G738" s="24">
        <v>204.5</v>
      </c>
      <c r="H738" s="24"/>
      <c r="I738" s="24"/>
      <c r="J738" s="160">
        <f>SUM('[1]ведомствен.2012'!G1101)</f>
        <v>204.5</v>
      </c>
    </row>
    <row r="739" spans="1:9" ht="18.75" customHeight="1">
      <c r="A739" s="231" t="s">
        <v>514</v>
      </c>
      <c r="B739" s="21"/>
      <c r="C739" s="35" t="s">
        <v>1026</v>
      </c>
      <c r="D739" s="35" t="s">
        <v>389</v>
      </c>
      <c r="E739" s="35" t="s">
        <v>515</v>
      </c>
      <c r="F739" s="27"/>
      <c r="G739" s="49">
        <f>SUM(G740:G741)</f>
        <v>9484.8</v>
      </c>
      <c r="H739" s="49">
        <v>14959.3</v>
      </c>
      <c r="I739" s="24">
        <f>SUM(H739/G739*100)</f>
        <v>157.71866565452092</v>
      </c>
    </row>
    <row r="740" spans="1:10" ht="17.25" customHeight="1">
      <c r="A740" s="226" t="s">
        <v>1301</v>
      </c>
      <c r="B740" s="21"/>
      <c r="C740" s="35" t="s">
        <v>1026</v>
      </c>
      <c r="D740" s="35" t="s">
        <v>389</v>
      </c>
      <c r="E740" s="35" t="s">
        <v>515</v>
      </c>
      <c r="F740" s="27" t="s">
        <v>1302</v>
      </c>
      <c r="G740" s="49">
        <v>3316.7</v>
      </c>
      <c r="H740" s="49"/>
      <c r="I740" s="24"/>
      <c r="J740">
        <f>SUM('[1]ведомствен.2012'!G1384)</f>
        <v>3316.7</v>
      </c>
    </row>
    <row r="741" spans="1:10" ht="31.5" customHeight="1">
      <c r="A741" s="220" t="s">
        <v>1126</v>
      </c>
      <c r="B741" s="51"/>
      <c r="C741" s="35" t="s">
        <v>1026</v>
      </c>
      <c r="D741" s="35" t="s">
        <v>389</v>
      </c>
      <c r="E741" s="35" t="s">
        <v>515</v>
      </c>
      <c r="F741" s="27" t="s">
        <v>978</v>
      </c>
      <c r="G741" s="24">
        <v>6168.1</v>
      </c>
      <c r="H741" s="49"/>
      <c r="I741" s="24"/>
      <c r="J741">
        <f>SUM('[1]ведомствен.2012'!G1385)</f>
        <v>6168.1</v>
      </c>
    </row>
    <row r="742" spans="1:9" ht="60" customHeight="1">
      <c r="A742" s="231" t="s">
        <v>357</v>
      </c>
      <c r="B742" s="21"/>
      <c r="C742" s="35" t="s">
        <v>1026</v>
      </c>
      <c r="D742" s="35" t="s">
        <v>389</v>
      </c>
      <c r="E742" s="35" t="s">
        <v>517</v>
      </c>
      <c r="F742" s="27"/>
      <c r="G742" s="49">
        <f>SUM(G743:G744)</f>
        <v>10703.5</v>
      </c>
      <c r="H742" s="49">
        <v>2979.3</v>
      </c>
      <c r="I742" s="24">
        <f>SUM(H742/G742*100)</f>
        <v>27.834820385855096</v>
      </c>
    </row>
    <row r="743" spans="1:10" ht="17.25" customHeight="1">
      <c r="A743" s="226" t="s">
        <v>1301</v>
      </c>
      <c r="B743" s="21"/>
      <c r="C743" s="35" t="s">
        <v>1026</v>
      </c>
      <c r="D743" s="35" t="s">
        <v>389</v>
      </c>
      <c r="E743" s="35" t="s">
        <v>517</v>
      </c>
      <c r="F743" s="27" t="s">
        <v>1302</v>
      </c>
      <c r="G743" s="49">
        <v>4442.6</v>
      </c>
      <c r="H743" s="49"/>
      <c r="I743" s="24"/>
      <c r="J743">
        <f>SUM('[1]ведомствен.2012'!G1387)</f>
        <v>4442.6</v>
      </c>
    </row>
    <row r="744" spans="1:10" ht="30.75" customHeight="1">
      <c r="A744" s="220" t="s">
        <v>1126</v>
      </c>
      <c r="B744" s="51"/>
      <c r="C744" s="35" t="s">
        <v>1026</v>
      </c>
      <c r="D744" s="35" t="s">
        <v>389</v>
      </c>
      <c r="E744" s="35" t="s">
        <v>517</v>
      </c>
      <c r="F744" s="27" t="s">
        <v>978</v>
      </c>
      <c r="G744" s="24">
        <v>6260.9</v>
      </c>
      <c r="H744" s="49"/>
      <c r="I744" s="24"/>
      <c r="J744">
        <f>SUM('[1]ведомствен.2012'!G1388)</f>
        <v>6260.9</v>
      </c>
    </row>
    <row r="745" spans="1:10" ht="0.75" customHeight="1" hidden="1">
      <c r="A745" s="231" t="s">
        <v>518</v>
      </c>
      <c r="B745" s="21"/>
      <c r="C745" s="35" t="s">
        <v>1026</v>
      </c>
      <c r="D745" s="35" t="s">
        <v>389</v>
      </c>
      <c r="E745" s="35" t="s">
        <v>519</v>
      </c>
      <c r="F745" s="27" t="s">
        <v>1302</v>
      </c>
      <c r="G745" s="49"/>
      <c r="H745" s="49">
        <v>20.5</v>
      </c>
      <c r="I745" s="24" t="e">
        <f>SUM(H745/G745*100)</f>
        <v>#DIV/0!</v>
      </c>
      <c r="J745"/>
    </row>
    <row r="746" spans="1:10" ht="30.75" customHeight="1">
      <c r="A746" s="226" t="s">
        <v>1003</v>
      </c>
      <c r="B746" s="21"/>
      <c r="C746" s="35" t="s">
        <v>1026</v>
      </c>
      <c r="D746" s="35" t="s">
        <v>389</v>
      </c>
      <c r="E746" s="35" t="s">
        <v>1002</v>
      </c>
      <c r="F746" s="27"/>
      <c r="G746" s="49">
        <f>SUM(G747)</f>
        <v>1393.8</v>
      </c>
      <c r="H746" s="49"/>
      <c r="I746" s="24"/>
      <c r="J746"/>
    </row>
    <row r="747" spans="1:10" ht="19.5" customHeight="1">
      <c r="A747" s="226" t="s">
        <v>1301</v>
      </c>
      <c r="B747" s="21"/>
      <c r="C747" s="35" t="s">
        <v>1026</v>
      </c>
      <c r="D747" s="35" t="s">
        <v>389</v>
      </c>
      <c r="E747" s="35" t="s">
        <v>1002</v>
      </c>
      <c r="F747" s="27" t="s">
        <v>1302</v>
      </c>
      <c r="G747" s="49">
        <v>1393.8</v>
      </c>
      <c r="H747" s="49"/>
      <c r="I747" s="24"/>
      <c r="J747">
        <f>SUM('[1]ведомствен.2012'!G1105)</f>
        <v>1393.8</v>
      </c>
    </row>
    <row r="748" spans="1:10" ht="42.75" hidden="1">
      <c r="A748" s="226" t="s">
        <v>575</v>
      </c>
      <c r="B748" s="86"/>
      <c r="C748" s="35" t="s">
        <v>1026</v>
      </c>
      <c r="D748" s="35" t="s">
        <v>389</v>
      </c>
      <c r="E748" s="35" t="s">
        <v>576</v>
      </c>
      <c r="F748" s="27"/>
      <c r="G748" s="24">
        <f>SUM(G749)</f>
        <v>0</v>
      </c>
      <c r="H748" s="24"/>
      <c r="I748" s="24"/>
      <c r="J748"/>
    </row>
    <row r="749" spans="1:10" ht="33.75" customHeight="1" hidden="1">
      <c r="A749" s="226" t="s">
        <v>1126</v>
      </c>
      <c r="B749" s="51"/>
      <c r="C749" s="35" t="s">
        <v>1026</v>
      </c>
      <c r="D749" s="35" t="s">
        <v>389</v>
      </c>
      <c r="E749" s="35" t="s">
        <v>576</v>
      </c>
      <c r="F749" s="27" t="s">
        <v>978</v>
      </c>
      <c r="G749" s="24"/>
      <c r="H749" s="24"/>
      <c r="I749" s="24"/>
      <c r="J749">
        <f>SUM('[1]ведомствен.2012'!G1107)</f>
        <v>0</v>
      </c>
    </row>
    <row r="750" spans="1:9" ht="18" customHeight="1">
      <c r="A750" s="231" t="s">
        <v>409</v>
      </c>
      <c r="B750" s="21"/>
      <c r="C750" s="35" t="s">
        <v>1026</v>
      </c>
      <c r="D750" s="35" t="s">
        <v>389</v>
      </c>
      <c r="E750" s="35" t="s">
        <v>520</v>
      </c>
      <c r="F750" s="27"/>
      <c r="G750" s="49">
        <f>SUM(G751:G752)</f>
        <v>2917</v>
      </c>
      <c r="H750" s="49">
        <v>641.1</v>
      </c>
      <c r="I750" s="24">
        <f>SUM(H750/G750*100)</f>
        <v>21.97805965032568</v>
      </c>
    </row>
    <row r="751" spans="1:10" ht="21.75" customHeight="1">
      <c r="A751" s="226" t="s">
        <v>1301</v>
      </c>
      <c r="B751" s="21"/>
      <c r="C751" s="35" t="s">
        <v>1026</v>
      </c>
      <c r="D751" s="35" t="s">
        <v>389</v>
      </c>
      <c r="E751" s="35" t="s">
        <v>520</v>
      </c>
      <c r="F751" s="27" t="s">
        <v>1302</v>
      </c>
      <c r="G751" s="49">
        <v>1877.2</v>
      </c>
      <c r="H751" s="49"/>
      <c r="I751" s="24"/>
      <c r="J751" s="160">
        <f>SUM('[1]ведомствен.2012'!G1390)</f>
        <v>1877.2</v>
      </c>
    </row>
    <row r="752" spans="1:10" ht="28.5" customHeight="1">
      <c r="A752" s="226" t="s">
        <v>1126</v>
      </c>
      <c r="B752" s="21"/>
      <c r="C752" s="35" t="s">
        <v>1026</v>
      </c>
      <c r="D752" s="35" t="s">
        <v>389</v>
      </c>
      <c r="E752" s="35" t="s">
        <v>520</v>
      </c>
      <c r="F752" s="27" t="s">
        <v>978</v>
      </c>
      <c r="G752" s="49">
        <v>1039.8</v>
      </c>
      <c r="H752" s="49"/>
      <c r="I752" s="24"/>
      <c r="J752" s="160">
        <f>SUM('[1]ведомствен.2012'!G1391)</f>
        <v>1039.8</v>
      </c>
    </row>
    <row r="753" spans="1:9" ht="46.5" customHeight="1">
      <c r="A753" s="231" t="s">
        <v>1083</v>
      </c>
      <c r="B753" s="51"/>
      <c r="C753" s="35" t="s">
        <v>1026</v>
      </c>
      <c r="D753" s="35" t="s">
        <v>389</v>
      </c>
      <c r="E753" s="35" t="s">
        <v>886</v>
      </c>
      <c r="F753" s="147"/>
      <c r="G753" s="24">
        <f>SUM(G754)</f>
        <v>100</v>
      </c>
      <c r="H753" s="49"/>
      <c r="I753" s="24"/>
    </row>
    <row r="754" spans="1:10" ht="19.5" customHeight="1">
      <c r="A754" s="231" t="s">
        <v>1053</v>
      </c>
      <c r="B754" s="51"/>
      <c r="C754" s="35" t="s">
        <v>1026</v>
      </c>
      <c r="D754" s="35" t="s">
        <v>389</v>
      </c>
      <c r="E754" s="35" t="s">
        <v>886</v>
      </c>
      <c r="F754" s="147" t="s">
        <v>1054</v>
      </c>
      <c r="G754" s="24">
        <v>100</v>
      </c>
      <c r="H754" s="49"/>
      <c r="I754" s="24"/>
      <c r="J754" s="87">
        <f>SUM('[1]ведомствен.2012'!G570)</f>
        <v>100</v>
      </c>
    </row>
    <row r="755" spans="1:9" s="20" customFormat="1" ht="15.75">
      <c r="A755" s="287" t="s">
        <v>446</v>
      </c>
      <c r="B755" s="37"/>
      <c r="C755" s="38" t="s">
        <v>1039</v>
      </c>
      <c r="D755" s="38"/>
      <c r="E755" s="38"/>
      <c r="F755" s="39"/>
      <c r="G755" s="40">
        <f>SUM(G756+G804)</f>
        <v>72051.2</v>
      </c>
      <c r="H755" s="40">
        <f>SUM(H756+H804)</f>
        <v>31684.7</v>
      </c>
      <c r="I755" s="40">
        <f>SUM(H755/G755*100)</f>
        <v>43.97525648427785</v>
      </c>
    </row>
    <row r="756" spans="1:11" ht="15">
      <c r="A756" s="223" t="s">
        <v>521</v>
      </c>
      <c r="B756" s="21"/>
      <c r="C756" s="35" t="s">
        <v>1039</v>
      </c>
      <c r="D756" s="35" t="s">
        <v>663</v>
      </c>
      <c r="E756" s="35"/>
      <c r="F756" s="26"/>
      <c r="G756" s="24">
        <f>SUM(G761+G776+G788+G800)+G757</f>
        <v>58411.9</v>
      </c>
      <c r="H756" s="24">
        <f>SUM(H788+H776+H765+H796)</f>
        <v>27050.9</v>
      </c>
      <c r="I756" s="24">
        <f>SUM(H756/G756*100)</f>
        <v>46.31059766931054</v>
      </c>
      <c r="J756"/>
      <c r="K756">
        <f>SUM(J756:J824)</f>
        <v>72051.19999999998</v>
      </c>
    </row>
    <row r="757" spans="1:10" ht="28.5">
      <c r="A757" s="222" t="s">
        <v>1021</v>
      </c>
      <c r="B757" s="21"/>
      <c r="C757" s="35" t="s">
        <v>1039</v>
      </c>
      <c r="D757" s="35" t="s">
        <v>663</v>
      </c>
      <c r="E757" s="22" t="s">
        <v>1022</v>
      </c>
      <c r="F757" s="27"/>
      <c r="G757" s="24">
        <f>SUM(G758)</f>
        <v>510.5</v>
      </c>
      <c r="H757" s="24"/>
      <c r="I757" s="24"/>
      <c r="J757"/>
    </row>
    <row r="758" spans="1:10" ht="28.5">
      <c r="A758" s="239" t="s">
        <v>745</v>
      </c>
      <c r="B758" s="21"/>
      <c r="C758" s="35" t="s">
        <v>1039</v>
      </c>
      <c r="D758" s="35" t="s">
        <v>663</v>
      </c>
      <c r="E758" s="22" t="s">
        <v>746</v>
      </c>
      <c r="F758" s="26"/>
      <c r="G758" s="24">
        <f>SUM(G759:G760)</f>
        <v>510.5</v>
      </c>
      <c r="H758" s="24"/>
      <c r="I758" s="24"/>
      <c r="J758"/>
    </row>
    <row r="759" spans="1:10" ht="15">
      <c r="A759" s="228" t="s">
        <v>895</v>
      </c>
      <c r="B759" s="21"/>
      <c r="C759" s="35" t="s">
        <v>1039</v>
      </c>
      <c r="D759" s="35" t="s">
        <v>663</v>
      </c>
      <c r="E759" s="22" t="s">
        <v>746</v>
      </c>
      <c r="F759" s="88" t="s">
        <v>238</v>
      </c>
      <c r="G759" s="24">
        <v>267.1</v>
      </c>
      <c r="H759" s="24"/>
      <c r="I759" s="24"/>
      <c r="J759">
        <f>SUM('[1]ведомствен.2012'!G1439)</f>
        <v>267.1</v>
      </c>
    </row>
    <row r="760" spans="1:10" ht="28.5">
      <c r="A760" s="222" t="s">
        <v>1126</v>
      </c>
      <c r="B760" s="21"/>
      <c r="C760" s="35" t="s">
        <v>1039</v>
      </c>
      <c r="D760" s="35" t="s">
        <v>663</v>
      </c>
      <c r="E760" s="22" t="s">
        <v>746</v>
      </c>
      <c r="F760" s="27" t="s">
        <v>978</v>
      </c>
      <c r="G760" s="24">
        <v>243.4</v>
      </c>
      <c r="H760" s="24"/>
      <c r="I760" s="24"/>
      <c r="J760">
        <f>SUM('[1]ведомствен.2012'!G1440)</f>
        <v>243.4</v>
      </c>
    </row>
    <row r="761" spans="1:10" ht="28.5">
      <c r="A761" s="220" t="s">
        <v>1041</v>
      </c>
      <c r="B761" s="21"/>
      <c r="C761" s="35" t="s">
        <v>1039</v>
      </c>
      <c r="D761" s="35" t="s">
        <v>663</v>
      </c>
      <c r="E761" s="35" t="s">
        <v>1055</v>
      </c>
      <c r="F761" s="26"/>
      <c r="G761" s="24">
        <f>SUM(G764+G774)+G762</f>
        <v>30295.100000000002</v>
      </c>
      <c r="H761" s="24">
        <f>SUM(H774)</f>
        <v>14679.5</v>
      </c>
      <c r="I761" s="24">
        <f>SUM(H761/G761*100)</f>
        <v>48.45503068152935</v>
      </c>
      <c r="J761"/>
    </row>
    <row r="762" spans="1:10" ht="42.75">
      <c r="A762" s="226" t="s">
        <v>538</v>
      </c>
      <c r="B762" s="51"/>
      <c r="C762" s="35" t="s">
        <v>1039</v>
      </c>
      <c r="D762" s="35" t="s">
        <v>663</v>
      </c>
      <c r="E762" s="35" t="s">
        <v>975</v>
      </c>
      <c r="F762" s="27"/>
      <c r="G762" s="24">
        <f>SUM(G763)</f>
        <v>389.5</v>
      </c>
      <c r="H762" s="24"/>
      <c r="I762" s="24"/>
      <c r="J762"/>
    </row>
    <row r="763" spans="1:10" ht="15">
      <c r="A763" s="226" t="s">
        <v>895</v>
      </c>
      <c r="B763" s="21"/>
      <c r="C763" s="35" t="s">
        <v>1039</v>
      </c>
      <c r="D763" s="35" t="s">
        <v>663</v>
      </c>
      <c r="E763" s="35" t="s">
        <v>975</v>
      </c>
      <c r="F763" s="26" t="s">
        <v>238</v>
      </c>
      <c r="G763" s="24">
        <v>389.5</v>
      </c>
      <c r="H763" s="24"/>
      <c r="I763" s="24"/>
      <c r="J763" s="160">
        <f>'[1]ведомствен.2012'!G1443</f>
        <v>389.5</v>
      </c>
    </row>
    <row r="764" spans="1:10" ht="28.5">
      <c r="A764" s="223" t="s">
        <v>1000</v>
      </c>
      <c r="B764" s="82"/>
      <c r="C764" s="35" t="s">
        <v>1039</v>
      </c>
      <c r="D764" s="35" t="s">
        <v>663</v>
      </c>
      <c r="E764" s="35" t="s">
        <v>1231</v>
      </c>
      <c r="F764" s="26"/>
      <c r="G764" s="24">
        <f>SUM(G765+G767)</f>
        <v>17440.4</v>
      </c>
      <c r="H764" s="24"/>
      <c r="I764" s="24"/>
      <c r="J764"/>
    </row>
    <row r="765" spans="1:10" ht="28.5">
      <c r="A765" s="223" t="s">
        <v>1232</v>
      </c>
      <c r="B765" s="82"/>
      <c r="C765" s="35" t="s">
        <v>1039</v>
      </c>
      <c r="D765" s="35" t="s">
        <v>663</v>
      </c>
      <c r="E765" s="35" t="s">
        <v>1233</v>
      </c>
      <c r="F765" s="26"/>
      <c r="G765" s="24">
        <f>SUM(G766)</f>
        <v>16302.7</v>
      </c>
      <c r="H765" s="24">
        <f>SUM(H766)</f>
        <v>14679.5</v>
      </c>
      <c r="I765" s="24">
        <f>SUM(H765/G765*100)</f>
        <v>90.04336704962981</v>
      </c>
      <c r="J765"/>
    </row>
    <row r="766" spans="1:10" ht="48" customHeight="1">
      <c r="A766" s="226" t="s">
        <v>1125</v>
      </c>
      <c r="B766" s="51"/>
      <c r="C766" s="35" t="s">
        <v>1039</v>
      </c>
      <c r="D766" s="35" t="s">
        <v>663</v>
      </c>
      <c r="E766" s="35" t="s">
        <v>1233</v>
      </c>
      <c r="F766" s="27" t="s">
        <v>897</v>
      </c>
      <c r="G766" s="24">
        <v>16302.7</v>
      </c>
      <c r="H766" s="24">
        <f>SUM(H774:H775)</f>
        <v>14679.5</v>
      </c>
      <c r="I766" s="24">
        <f>SUM(H766/G766*100)</f>
        <v>90.04336704962981</v>
      </c>
      <c r="J766" s="160">
        <f>'[1]ведомствен.2012'!G1446</f>
        <v>16302.7</v>
      </c>
    </row>
    <row r="767" spans="1:9" ht="30" customHeight="1">
      <c r="A767" s="223" t="s">
        <v>1126</v>
      </c>
      <c r="B767" s="21"/>
      <c r="C767" s="35" t="s">
        <v>1039</v>
      </c>
      <c r="D767" s="35" t="s">
        <v>663</v>
      </c>
      <c r="E767" s="22" t="s">
        <v>579</v>
      </c>
      <c r="F767" s="27"/>
      <c r="G767" s="24">
        <f>SUM(G768+G770+G772)</f>
        <v>1137.7</v>
      </c>
      <c r="H767" s="24"/>
      <c r="I767" s="24"/>
    </row>
    <row r="768" spans="1:9" ht="30" customHeight="1">
      <c r="A768" s="222" t="s">
        <v>666</v>
      </c>
      <c r="B768" s="21"/>
      <c r="C768" s="35" t="s">
        <v>1039</v>
      </c>
      <c r="D768" s="35" t="s">
        <v>663</v>
      </c>
      <c r="E768" s="22" t="s">
        <v>580</v>
      </c>
      <c r="F768" s="27"/>
      <c r="G768" s="24">
        <f>SUM(G769)</f>
        <v>667.5</v>
      </c>
      <c r="H768" s="24"/>
      <c r="I768" s="24"/>
    </row>
    <row r="769" spans="1:10" ht="30" customHeight="1">
      <c r="A769" s="222" t="s">
        <v>1126</v>
      </c>
      <c r="B769" s="21"/>
      <c r="C769" s="35" t="s">
        <v>1039</v>
      </c>
      <c r="D769" s="35" t="s">
        <v>663</v>
      </c>
      <c r="E769" s="22" t="s">
        <v>580</v>
      </c>
      <c r="F769" s="27" t="s">
        <v>978</v>
      </c>
      <c r="G769" s="24">
        <v>667.5</v>
      </c>
      <c r="H769" s="24"/>
      <c r="I769" s="24"/>
      <c r="J769" s="160">
        <f>SUM('[1]ведомствен.2012'!G1449)</f>
        <v>667.5</v>
      </c>
    </row>
    <row r="770" spans="1:9" ht="36" customHeight="1">
      <c r="A770" s="226" t="s">
        <v>578</v>
      </c>
      <c r="B770" s="51"/>
      <c r="C770" s="35" t="s">
        <v>1039</v>
      </c>
      <c r="D770" s="35" t="s">
        <v>663</v>
      </c>
      <c r="E770" s="35" t="s">
        <v>577</v>
      </c>
      <c r="F770" s="27"/>
      <c r="G770" s="24">
        <f>SUM(G771)</f>
        <v>160</v>
      </c>
      <c r="H770" s="24"/>
      <c r="I770" s="24"/>
    </row>
    <row r="771" spans="1:10" ht="40.5" customHeight="1">
      <c r="A771" s="226" t="s">
        <v>1080</v>
      </c>
      <c r="B771" s="51"/>
      <c r="C771" s="35" t="s">
        <v>1039</v>
      </c>
      <c r="D771" s="35" t="s">
        <v>663</v>
      </c>
      <c r="E771" s="35" t="s">
        <v>577</v>
      </c>
      <c r="F771" s="27" t="s">
        <v>978</v>
      </c>
      <c r="G771" s="24">
        <v>160</v>
      </c>
      <c r="H771" s="24"/>
      <c r="I771" s="24"/>
      <c r="J771" s="160">
        <f>SUM('[1]ведомствен.2012'!G1451)</f>
        <v>160</v>
      </c>
    </row>
    <row r="772" spans="1:10" ht="29.25" customHeight="1">
      <c r="A772" s="234" t="s">
        <v>1119</v>
      </c>
      <c r="B772" s="51"/>
      <c r="C772" s="35" t="s">
        <v>1039</v>
      </c>
      <c r="D772" s="35" t="s">
        <v>663</v>
      </c>
      <c r="E772" s="35" t="s">
        <v>1262</v>
      </c>
      <c r="F772" s="27"/>
      <c r="G772" s="24">
        <f>SUM(G773)</f>
        <v>310.2</v>
      </c>
      <c r="H772" s="24"/>
      <c r="I772" s="24"/>
      <c r="J772"/>
    </row>
    <row r="773" spans="1:10" ht="23.25" customHeight="1">
      <c r="A773" s="234" t="s">
        <v>1080</v>
      </c>
      <c r="B773" s="51"/>
      <c r="C773" s="35" t="s">
        <v>1039</v>
      </c>
      <c r="D773" s="35" t="s">
        <v>663</v>
      </c>
      <c r="E773" s="35" t="s">
        <v>1262</v>
      </c>
      <c r="F773" s="27" t="s">
        <v>978</v>
      </c>
      <c r="G773" s="24">
        <v>310.2</v>
      </c>
      <c r="H773" s="24"/>
      <c r="I773" s="24"/>
      <c r="J773">
        <f>SUM('[1]ведомствен.2012'!G1453)</f>
        <v>310.2</v>
      </c>
    </row>
    <row r="774" spans="1:9" ht="27.75" customHeight="1">
      <c r="A774" s="223" t="s">
        <v>894</v>
      </c>
      <c r="B774" s="34"/>
      <c r="C774" s="35" t="s">
        <v>1039</v>
      </c>
      <c r="D774" s="35" t="s">
        <v>663</v>
      </c>
      <c r="E774" s="35" t="s">
        <v>1056</v>
      </c>
      <c r="F774" s="26"/>
      <c r="G774" s="24">
        <f>SUM(G775:G775)</f>
        <v>12465.2</v>
      </c>
      <c r="H774" s="24">
        <v>14679.5</v>
      </c>
      <c r="I774" s="24">
        <f>SUM(H774/G774*100)</f>
        <v>117.76385457112602</v>
      </c>
    </row>
    <row r="775" spans="1:10" ht="18" customHeight="1">
      <c r="A775" s="226" t="s">
        <v>895</v>
      </c>
      <c r="B775" s="34"/>
      <c r="C775" s="35" t="s">
        <v>1039</v>
      </c>
      <c r="D775" s="35" t="s">
        <v>663</v>
      </c>
      <c r="E775" s="35" t="s">
        <v>1056</v>
      </c>
      <c r="F775" s="26" t="s">
        <v>238</v>
      </c>
      <c r="G775" s="24">
        <v>12465.2</v>
      </c>
      <c r="H775" s="24"/>
      <c r="I775" s="24">
        <f>SUM(H775/G775*100)</f>
        <v>0</v>
      </c>
      <c r="J775" s="160">
        <f>'[1]ведомствен.2012'!G1455+'[1]ведомствен.2012'!G773</f>
        <v>12465.2</v>
      </c>
    </row>
    <row r="776" spans="1:10" ht="24.75" customHeight="1">
      <c r="A776" s="223" t="s">
        <v>527</v>
      </c>
      <c r="B776" s="21"/>
      <c r="C776" s="35" t="s">
        <v>1039</v>
      </c>
      <c r="D776" s="35" t="s">
        <v>663</v>
      </c>
      <c r="E776" s="35" t="s">
        <v>528</v>
      </c>
      <c r="F776" s="26"/>
      <c r="G776" s="24">
        <f>SUM(G777)+G785</f>
        <v>3714.8999999999996</v>
      </c>
      <c r="H776" s="24">
        <f>SUM(H777)</f>
        <v>2102.5</v>
      </c>
      <c r="I776" s="24">
        <f>SUM(H776/G776*100)</f>
        <v>56.596409055425454</v>
      </c>
      <c r="J776"/>
    </row>
    <row r="777" spans="1:10" ht="34.5" customHeight="1">
      <c r="A777" s="223" t="s">
        <v>1000</v>
      </c>
      <c r="B777" s="82"/>
      <c r="C777" s="35" t="s">
        <v>1039</v>
      </c>
      <c r="D777" s="35" t="s">
        <v>663</v>
      </c>
      <c r="E777" s="35" t="s">
        <v>976</v>
      </c>
      <c r="F777" s="26"/>
      <c r="G777" s="24">
        <f>SUM(G779)+G780</f>
        <v>3659.7</v>
      </c>
      <c r="H777" s="24">
        <f>SUM(H779)+H786</f>
        <v>2102.5</v>
      </c>
      <c r="I777" s="24">
        <f>SUM(H777/G777*100)</f>
        <v>57.45006421291363</v>
      </c>
      <c r="J777"/>
    </row>
    <row r="778" spans="1:10" ht="37.5" customHeight="1">
      <c r="A778" s="223" t="s">
        <v>1232</v>
      </c>
      <c r="B778" s="82"/>
      <c r="C778" s="35" t="s">
        <v>1039</v>
      </c>
      <c r="D778" s="35" t="s">
        <v>663</v>
      </c>
      <c r="E778" s="35" t="s">
        <v>977</v>
      </c>
      <c r="F778" s="26"/>
      <c r="G778" s="24">
        <f>SUM(G779)</f>
        <v>3306</v>
      </c>
      <c r="H778" s="24"/>
      <c r="I778" s="24"/>
      <c r="J778"/>
    </row>
    <row r="779" spans="1:10" ht="48" customHeight="1">
      <c r="A779" s="223" t="s">
        <v>812</v>
      </c>
      <c r="B779" s="51"/>
      <c r="C779" s="35" t="s">
        <v>1039</v>
      </c>
      <c r="D779" s="35" t="s">
        <v>663</v>
      </c>
      <c r="E779" s="35" t="s">
        <v>977</v>
      </c>
      <c r="F779" s="27" t="s">
        <v>897</v>
      </c>
      <c r="G779" s="24">
        <v>3306</v>
      </c>
      <c r="H779" s="24">
        <v>2102.5</v>
      </c>
      <c r="I779" s="24">
        <f>SUM(H779/G779*100)</f>
        <v>63.59649122807017</v>
      </c>
      <c r="J779" s="160">
        <f>SUM('[1]ведомствен.2012'!G1462)</f>
        <v>3306</v>
      </c>
    </row>
    <row r="780" spans="1:9" ht="32.25" customHeight="1">
      <c r="A780" s="223" t="s">
        <v>1126</v>
      </c>
      <c r="B780" s="21"/>
      <c r="C780" s="35" t="s">
        <v>1039</v>
      </c>
      <c r="D780" s="35" t="s">
        <v>663</v>
      </c>
      <c r="E780" s="22" t="s">
        <v>1264</v>
      </c>
      <c r="F780" s="27"/>
      <c r="G780" s="24">
        <f>SUM(G783+G781)</f>
        <v>353.7</v>
      </c>
      <c r="H780" s="24"/>
      <c r="I780" s="24"/>
    </row>
    <row r="781" spans="1:9" ht="32.25" customHeight="1">
      <c r="A781" s="222" t="s">
        <v>666</v>
      </c>
      <c r="B781" s="51"/>
      <c r="C781" s="35" t="s">
        <v>1039</v>
      </c>
      <c r="D781" s="35" t="s">
        <v>663</v>
      </c>
      <c r="E781" s="35" t="s">
        <v>668</v>
      </c>
      <c r="F781" s="27"/>
      <c r="G781" s="24">
        <f>SUM(G782)</f>
        <v>303.7</v>
      </c>
      <c r="H781" s="24"/>
      <c r="I781" s="24"/>
    </row>
    <row r="782" spans="1:10" ht="32.25" customHeight="1">
      <c r="A782" s="222" t="s">
        <v>1126</v>
      </c>
      <c r="B782" s="51"/>
      <c r="C782" s="35" t="s">
        <v>1039</v>
      </c>
      <c r="D782" s="35" t="s">
        <v>663</v>
      </c>
      <c r="E782" s="35" t="s">
        <v>668</v>
      </c>
      <c r="F782" s="27" t="s">
        <v>978</v>
      </c>
      <c r="G782" s="24">
        <v>303.7</v>
      </c>
      <c r="H782" s="24"/>
      <c r="I782" s="24"/>
      <c r="J782" s="160">
        <f>SUM('[1]ведомствен.2012'!G1467)</f>
        <v>303.7</v>
      </c>
    </row>
    <row r="783" spans="1:9" ht="34.5" customHeight="1">
      <c r="A783" s="226" t="s">
        <v>578</v>
      </c>
      <c r="B783" s="51"/>
      <c r="C783" s="35" t="s">
        <v>1039</v>
      </c>
      <c r="D783" s="35" t="s">
        <v>663</v>
      </c>
      <c r="E783" s="35" t="s">
        <v>1097</v>
      </c>
      <c r="F783" s="27"/>
      <c r="G783" s="24">
        <f>SUM(G784)</f>
        <v>50</v>
      </c>
      <c r="H783" s="24"/>
      <c r="I783" s="24"/>
    </row>
    <row r="784" spans="1:10" ht="38.25" customHeight="1">
      <c r="A784" s="226" t="s">
        <v>1080</v>
      </c>
      <c r="B784" s="51"/>
      <c r="C784" s="35" t="s">
        <v>1039</v>
      </c>
      <c r="D784" s="35" t="s">
        <v>663</v>
      </c>
      <c r="E784" s="35" t="s">
        <v>1097</v>
      </c>
      <c r="F784" s="27" t="s">
        <v>978</v>
      </c>
      <c r="G784" s="24">
        <v>50</v>
      </c>
      <c r="H784" s="24"/>
      <c r="I784" s="24"/>
      <c r="J784" s="160">
        <f>SUM('[1]ведомствен.2012'!G1469)</f>
        <v>50</v>
      </c>
    </row>
    <row r="785" spans="1:9" ht="27.75" customHeight="1">
      <c r="A785" s="223" t="s">
        <v>894</v>
      </c>
      <c r="B785" s="34"/>
      <c r="C785" s="35" t="s">
        <v>1039</v>
      </c>
      <c r="D785" s="35" t="s">
        <v>663</v>
      </c>
      <c r="E785" s="35" t="s">
        <v>529</v>
      </c>
      <c r="F785" s="26"/>
      <c r="G785" s="24">
        <f>SUM(G786:G786)</f>
        <v>55.2</v>
      </c>
      <c r="H785" s="24">
        <v>14679.5</v>
      </c>
      <c r="I785" s="24">
        <f aca="true" t="shared" si="20" ref="I785:I801">SUM(H785/G785*100)</f>
        <v>26593.297101449276</v>
      </c>
    </row>
    <row r="786" spans="1:10" ht="18" customHeight="1">
      <c r="A786" s="226" t="s">
        <v>895</v>
      </c>
      <c r="B786" s="34"/>
      <c r="C786" s="35" t="s">
        <v>1039</v>
      </c>
      <c r="D786" s="35" t="s">
        <v>663</v>
      </c>
      <c r="E786" s="35" t="s">
        <v>529</v>
      </c>
      <c r="F786" s="26" t="s">
        <v>238</v>
      </c>
      <c r="G786" s="24">
        <v>55.2</v>
      </c>
      <c r="H786" s="24"/>
      <c r="I786" s="24">
        <f t="shared" si="20"/>
        <v>0</v>
      </c>
      <c r="J786" s="160">
        <f>SUM('[1]ведомствен.2012'!G776)</f>
        <v>55.2</v>
      </c>
    </row>
    <row r="787" spans="1:10" ht="15" customHeight="1" hidden="1">
      <c r="A787" s="226" t="s">
        <v>237</v>
      </c>
      <c r="B787" s="51"/>
      <c r="C787" s="35" t="s">
        <v>1039</v>
      </c>
      <c r="D787" s="35" t="s">
        <v>663</v>
      </c>
      <c r="E787" s="35" t="s">
        <v>530</v>
      </c>
      <c r="F787" s="27" t="s">
        <v>238</v>
      </c>
      <c r="G787" s="24"/>
      <c r="H787" s="24"/>
      <c r="I787" s="24" t="e">
        <f t="shared" si="20"/>
        <v>#DIV/0!</v>
      </c>
      <c r="J787"/>
    </row>
    <row r="788" spans="1:10" ht="15">
      <c r="A788" s="223" t="s">
        <v>531</v>
      </c>
      <c r="B788" s="21"/>
      <c r="C788" s="35" t="s">
        <v>1039</v>
      </c>
      <c r="D788" s="35" t="s">
        <v>663</v>
      </c>
      <c r="E788" s="35" t="s">
        <v>532</v>
      </c>
      <c r="F788" s="26"/>
      <c r="G788" s="24">
        <f>SUM(G789)</f>
        <v>23437.4</v>
      </c>
      <c r="H788" s="24">
        <f>SUM(H789)</f>
        <v>10268.9</v>
      </c>
      <c r="I788" s="24">
        <f t="shared" si="20"/>
        <v>43.814160273750495</v>
      </c>
      <c r="J788"/>
    </row>
    <row r="789" spans="1:10" ht="34.5" customHeight="1">
      <c r="A789" s="223" t="s">
        <v>894</v>
      </c>
      <c r="B789" s="82"/>
      <c r="C789" s="35" t="s">
        <v>1039</v>
      </c>
      <c r="D789" s="35" t="s">
        <v>663</v>
      </c>
      <c r="E789" s="35" t="s">
        <v>533</v>
      </c>
      <c r="F789" s="26"/>
      <c r="G789" s="24">
        <f>SUM(G790+G792+G794)</f>
        <v>23437.4</v>
      </c>
      <c r="H789" s="24">
        <f>SUM(H790+H792+H794)</f>
        <v>10268.9</v>
      </c>
      <c r="I789" s="24">
        <f t="shared" si="20"/>
        <v>43.814160273750495</v>
      </c>
      <c r="J789"/>
    </row>
    <row r="790" spans="1:10" ht="15.75" customHeight="1">
      <c r="A790" s="226" t="s">
        <v>895</v>
      </c>
      <c r="B790" s="51"/>
      <c r="C790" s="35" t="s">
        <v>1039</v>
      </c>
      <c r="D790" s="35" t="s">
        <v>663</v>
      </c>
      <c r="E790" s="35" t="s">
        <v>533</v>
      </c>
      <c r="F790" s="27" t="s">
        <v>238</v>
      </c>
      <c r="G790" s="24">
        <v>21368.7</v>
      </c>
      <c r="H790" s="24">
        <v>8963.8</v>
      </c>
      <c r="I790" s="24">
        <f t="shared" si="20"/>
        <v>41.948270133419435</v>
      </c>
      <c r="J790" s="160">
        <f>SUM('[1]ведомствен.2012'!G1472)+'[1]ведомствен.2012'!G779</f>
        <v>21368.7</v>
      </c>
    </row>
    <row r="791" spans="1:10" ht="43.5" customHeight="1" hidden="1">
      <c r="A791" s="226" t="s">
        <v>524</v>
      </c>
      <c r="B791" s="51"/>
      <c r="C791" s="35" t="s">
        <v>1039</v>
      </c>
      <c r="D791" s="35" t="s">
        <v>663</v>
      </c>
      <c r="E791" s="35" t="s">
        <v>533</v>
      </c>
      <c r="F791" s="27" t="s">
        <v>525</v>
      </c>
      <c r="G791" s="24"/>
      <c r="H791" s="24"/>
      <c r="I791" s="24" t="e">
        <f t="shared" si="20"/>
        <v>#DIV/0!</v>
      </c>
      <c r="J791"/>
    </row>
    <row r="792" spans="1:10" ht="57.75" customHeight="1" hidden="1">
      <c r="A792" s="223" t="s">
        <v>282</v>
      </c>
      <c r="B792" s="28"/>
      <c r="C792" s="35" t="s">
        <v>1039</v>
      </c>
      <c r="D792" s="35" t="s">
        <v>663</v>
      </c>
      <c r="E792" s="35" t="s">
        <v>534</v>
      </c>
      <c r="F792" s="27"/>
      <c r="G792" s="24">
        <f>SUM(G793)</f>
        <v>0</v>
      </c>
      <c r="H792" s="24">
        <f>SUM(H793)</f>
        <v>0</v>
      </c>
      <c r="I792" s="24" t="e">
        <f t="shared" si="20"/>
        <v>#DIV/0!</v>
      </c>
      <c r="J792"/>
    </row>
    <row r="793" spans="1:10" ht="16.5" customHeight="1" hidden="1">
      <c r="A793" s="226" t="s">
        <v>237</v>
      </c>
      <c r="B793" s="51"/>
      <c r="C793" s="35" t="s">
        <v>1039</v>
      </c>
      <c r="D793" s="35" t="s">
        <v>663</v>
      </c>
      <c r="E793" s="35" t="s">
        <v>534</v>
      </c>
      <c r="F793" s="27" t="s">
        <v>238</v>
      </c>
      <c r="G793" s="24"/>
      <c r="H793" s="24"/>
      <c r="I793" s="24" t="e">
        <f t="shared" si="20"/>
        <v>#DIV/0!</v>
      </c>
      <c r="J793"/>
    </row>
    <row r="794" spans="1:10" ht="47.25" customHeight="1">
      <c r="A794" s="226" t="s">
        <v>906</v>
      </c>
      <c r="B794" s="51"/>
      <c r="C794" s="35" t="s">
        <v>1039</v>
      </c>
      <c r="D794" s="35" t="s">
        <v>663</v>
      </c>
      <c r="E794" s="35" t="s">
        <v>535</v>
      </c>
      <c r="F794" s="27"/>
      <c r="G794" s="24">
        <f>SUM(G795)</f>
        <v>2068.7</v>
      </c>
      <c r="H794" s="24">
        <f>SUM(H795)</f>
        <v>1305.1</v>
      </c>
      <c r="I794" s="24">
        <f t="shared" si="20"/>
        <v>63.087929617634266</v>
      </c>
      <c r="J794"/>
    </row>
    <row r="795" spans="1:10" ht="16.5" customHeight="1">
      <c r="A795" s="226" t="s">
        <v>895</v>
      </c>
      <c r="B795" s="51"/>
      <c r="C795" s="35" t="s">
        <v>1039</v>
      </c>
      <c r="D795" s="35" t="s">
        <v>663</v>
      </c>
      <c r="E795" s="35" t="s">
        <v>535</v>
      </c>
      <c r="F795" s="27" t="s">
        <v>238</v>
      </c>
      <c r="G795" s="24">
        <v>2068.7</v>
      </c>
      <c r="H795" s="24">
        <v>1305.1</v>
      </c>
      <c r="I795" s="24">
        <f t="shared" si="20"/>
        <v>63.087929617634266</v>
      </c>
      <c r="J795" s="160">
        <f>SUM('[1]ведомствен.2012'!G1477)</f>
        <v>2068.7</v>
      </c>
    </row>
    <row r="796" spans="1:10" ht="30" customHeight="1" hidden="1">
      <c r="A796" s="226" t="s">
        <v>536</v>
      </c>
      <c r="B796" s="51"/>
      <c r="C796" s="35" t="s">
        <v>1039</v>
      </c>
      <c r="D796" s="35" t="s">
        <v>663</v>
      </c>
      <c r="E796" s="35" t="s">
        <v>537</v>
      </c>
      <c r="F796" s="27"/>
      <c r="G796" s="24">
        <f>SUM(G797+G798)</f>
        <v>0</v>
      </c>
      <c r="H796" s="24">
        <f>SUM(H797+H798)</f>
        <v>0</v>
      </c>
      <c r="I796" s="24" t="e">
        <f t="shared" si="20"/>
        <v>#DIV/0!</v>
      </c>
      <c r="J796"/>
    </row>
    <row r="797" spans="1:10" ht="0.75" customHeight="1" hidden="1">
      <c r="A797" s="226" t="s">
        <v>237</v>
      </c>
      <c r="B797" s="51"/>
      <c r="C797" s="35" t="s">
        <v>1039</v>
      </c>
      <c r="D797" s="35" t="s">
        <v>663</v>
      </c>
      <c r="E797" s="35" t="s">
        <v>537</v>
      </c>
      <c r="F797" s="27" t="s">
        <v>238</v>
      </c>
      <c r="G797" s="24"/>
      <c r="H797" s="24"/>
      <c r="I797" s="24" t="e">
        <f t="shared" si="20"/>
        <v>#DIV/0!</v>
      </c>
      <c r="J797"/>
    </row>
    <row r="798" spans="1:10" ht="42" customHeight="1" hidden="1">
      <c r="A798" s="226" t="s">
        <v>538</v>
      </c>
      <c r="B798" s="51"/>
      <c r="C798" s="35" t="s">
        <v>1039</v>
      </c>
      <c r="D798" s="35" t="s">
        <v>663</v>
      </c>
      <c r="E798" s="35" t="s">
        <v>539</v>
      </c>
      <c r="F798" s="27"/>
      <c r="G798" s="24">
        <f>SUM(G799)</f>
        <v>0</v>
      </c>
      <c r="H798" s="24">
        <f>SUM(H799)</f>
        <v>0</v>
      </c>
      <c r="I798" s="24" t="e">
        <f t="shared" si="20"/>
        <v>#DIV/0!</v>
      </c>
      <c r="J798"/>
    </row>
    <row r="799" spans="1:10" ht="21" customHeight="1" hidden="1">
      <c r="A799" s="226" t="s">
        <v>237</v>
      </c>
      <c r="B799" s="51"/>
      <c r="C799" s="35" t="s">
        <v>1039</v>
      </c>
      <c r="D799" s="35" t="s">
        <v>663</v>
      </c>
      <c r="E799" s="35" t="s">
        <v>539</v>
      </c>
      <c r="F799" s="27" t="s">
        <v>238</v>
      </c>
      <c r="G799" s="24"/>
      <c r="H799" s="24"/>
      <c r="I799" s="24" t="e">
        <f t="shared" si="20"/>
        <v>#DIV/0!</v>
      </c>
      <c r="J799"/>
    </row>
    <row r="800" spans="1:10" ht="18" customHeight="1">
      <c r="A800" s="234" t="s">
        <v>1046</v>
      </c>
      <c r="B800" s="37"/>
      <c r="C800" s="31" t="s">
        <v>1039</v>
      </c>
      <c r="D800" s="31" t="s">
        <v>663</v>
      </c>
      <c r="E800" s="31" t="s">
        <v>1047</v>
      </c>
      <c r="F800" s="88"/>
      <c r="G800" s="24">
        <f>SUM(G801)</f>
        <v>454</v>
      </c>
      <c r="H800" s="24">
        <f>SUM(H801)</f>
        <v>7333.8</v>
      </c>
      <c r="I800" s="24">
        <f t="shared" si="20"/>
        <v>1615.374449339207</v>
      </c>
      <c r="J800"/>
    </row>
    <row r="801" spans="1:10" ht="45" customHeight="1">
      <c r="A801" s="236" t="s">
        <v>1244</v>
      </c>
      <c r="B801" s="37"/>
      <c r="C801" s="31" t="s">
        <v>1039</v>
      </c>
      <c r="D801" s="31" t="s">
        <v>663</v>
      </c>
      <c r="E801" s="31" t="s">
        <v>383</v>
      </c>
      <c r="F801" s="88"/>
      <c r="G801" s="24">
        <f>SUM(G802:G803)</f>
        <v>454</v>
      </c>
      <c r="H801" s="24">
        <f>SUM(H803:H810)</f>
        <v>7333.8</v>
      </c>
      <c r="I801" s="24">
        <f t="shared" si="20"/>
        <v>1615.374449339207</v>
      </c>
      <c r="J801"/>
    </row>
    <row r="802" spans="1:10" ht="21" customHeight="1">
      <c r="A802" s="234" t="s">
        <v>895</v>
      </c>
      <c r="B802" s="37"/>
      <c r="C802" s="31" t="s">
        <v>1039</v>
      </c>
      <c r="D802" s="31" t="s">
        <v>663</v>
      </c>
      <c r="E802" s="31" t="s">
        <v>383</v>
      </c>
      <c r="F802" s="88" t="s">
        <v>238</v>
      </c>
      <c r="G802" s="24">
        <v>328</v>
      </c>
      <c r="H802" s="24"/>
      <c r="I802" s="24"/>
      <c r="J802">
        <f>SUM('[1]ведомствен.2012'!G1484)</f>
        <v>328</v>
      </c>
    </row>
    <row r="803" spans="1:10" ht="20.25" customHeight="1">
      <c r="A803" s="234" t="s">
        <v>1080</v>
      </c>
      <c r="B803" s="37"/>
      <c r="C803" s="31" t="s">
        <v>1039</v>
      </c>
      <c r="D803" s="31" t="s">
        <v>663</v>
      </c>
      <c r="E803" s="31" t="s">
        <v>383</v>
      </c>
      <c r="F803" s="88" t="s">
        <v>978</v>
      </c>
      <c r="G803" s="24">
        <v>126</v>
      </c>
      <c r="H803" s="24"/>
      <c r="I803" s="24">
        <f>SUM(H803/G803*100)</f>
        <v>0</v>
      </c>
      <c r="J803">
        <f>SUM('[1]ведомствен.2012'!G1485)</f>
        <v>126</v>
      </c>
    </row>
    <row r="804" spans="1:10" ht="24" customHeight="1">
      <c r="A804" s="286" t="s">
        <v>1323</v>
      </c>
      <c r="B804" s="37"/>
      <c r="C804" s="31" t="s">
        <v>1039</v>
      </c>
      <c r="D804" s="31" t="s">
        <v>1037</v>
      </c>
      <c r="E804" s="31"/>
      <c r="F804" s="88"/>
      <c r="G804" s="24">
        <f>SUM(G811+G816)+G808+G814+G805</f>
        <v>13639.3</v>
      </c>
      <c r="H804" s="24">
        <f>SUM(H811+H816)+H808</f>
        <v>4633.8</v>
      </c>
      <c r="I804" s="24">
        <f>SUM(H804/G804*100)</f>
        <v>33.9738842902495</v>
      </c>
      <c r="J804"/>
    </row>
    <row r="805" spans="1:10" ht="31.5" customHeight="1">
      <c r="A805" s="222" t="s">
        <v>1021</v>
      </c>
      <c r="B805" s="21"/>
      <c r="C805" s="35" t="s">
        <v>1039</v>
      </c>
      <c r="D805" s="31" t="s">
        <v>1037</v>
      </c>
      <c r="E805" s="22" t="s">
        <v>1022</v>
      </c>
      <c r="F805" s="27"/>
      <c r="G805" s="24">
        <f>SUM(G806)</f>
        <v>41.4</v>
      </c>
      <c r="H805" s="24"/>
      <c r="I805" s="24"/>
      <c r="J805"/>
    </row>
    <row r="806" spans="1:10" ht="34.5" customHeight="1">
      <c r="A806" s="239" t="s">
        <v>745</v>
      </c>
      <c r="B806" s="21"/>
      <c r="C806" s="35" t="s">
        <v>1039</v>
      </c>
      <c r="D806" s="31" t="s">
        <v>1037</v>
      </c>
      <c r="E806" s="22" t="s">
        <v>746</v>
      </c>
      <c r="F806" s="26"/>
      <c r="G806" s="24">
        <f>SUM(G807)</f>
        <v>41.4</v>
      </c>
      <c r="H806" s="24"/>
      <c r="I806" s="24"/>
      <c r="J806"/>
    </row>
    <row r="807" spans="1:10" ht="24" customHeight="1">
      <c r="A807" s="228" t="s">
        <v>895</v>
      </c>
      <c r="B807" s="21"/>
      <c r="C807" s="35" t="s">
        <v>1039</v>
      </c>
      <c r="D807" s="31" t="s">
        <v>1037</v>
      </c>
      <c r="E807" s="22" t="s">
        <v>746</v>
      </c>
      <c r="F807" s="88" t="s">
        <v>238</v>
      </c>
      <c r="G807" s="24">
        <v>41.4</v>
      </c>
      <c r="H807" s="24"/>
      <c r="I807" s="24"/>
      <c r="J807">
        <f>SUM('[1]ведомствен.2012'!G1489)</f>
        <v>41.4</v>
      </c>
    </row>
    <row r="808" spans="1:10" ht="20.25" customHeight="1">
      <c r="A808" s="228" t="s">
        <v>1041</v>
      </c>
      <c r="B808" s="37"/>
      <c r="C808" s="35" t="s">
        <v>1039</v>
      </c>
      <c r="D808" s="31" t="s">
        <v>1037</v>
      </c>
      <c r="E808" s="35" t="s">
        <v>1055</v>
      </c>
      <c r="F808" s="88"/>
      <c r="G808" s="24">
        <f>SUM(G809)</f>
        <v>19.4</v>
      </c>
      <c r="H808" s="24">
        <f>SUM(H809)</f>
        <v>900</v>
      </c>
      <c r="I808" s="24">
        <f aca="true" t="shared" si="21" ref="I808:I814">SUM(H808/G808*100)</f>
        <v>4639.175257731959</v>
      </c>
      <c r="J808"/>
    </row>
    <row r="809" spans="1:10" ht="18.75" customHeight="1">
      <c r="A809" s="222" t="s">
        <v>724</v>
      </c>
      <c r="B809" s="37"/>
      <c r="C809" s="35" t="s">
        <v>1039</v>
      </c>
      <c r="D809" s="31" t="s">
        <v>1037</v>
      </c>
      <c r="E809" s="35" t="s">
        <v>725</v>
      </c>
      <c r="F809" s="88"/>
      <c r="G809" s="24">
        <f>SUM(G810)</f>
        <v>19.4</v>
      </c>
      <c r="H809" s="24">
        <f>SUM(H810)</f>
        <v>900</v>
      </c>
      <c r="I809" s="24">
        <f t="shared" si="21"/>
        <v>4639.175257731959</v>
      </c>
      <c r="J809"/>
    </row>
    <row r="810" spans="1:10" ht="20.25" customHeight="1">
      <c r="A810" s="234" t="s">
        <v>895</v>
      </c>
      <c r="B810" s="37"/>
      <c r="C810" s="35" t="s">
        <v>1039</v>
      </c>
      <c r="D810" s="31" t="s">
        <v>1037</v>
      </c>
      <c r="E810" s="35" t="s">
        <v>725</v>
      </c>
      <c r="F810" s="88" t="s">
        <v>238</v>
      </c>
      <c r="G810" s="24">
        <v>19.4</v>
      </c>
      <c r="H810" s="24">
        <v>900</v>
      </c>
      <c r="I810" s="24">
        <f t="shared" si="21"/>
        <v>4639.175257731959</v>
      </c>
      <c r="J810">
        <f>SUM('[1]ведомствен.2012'!G1492)</f>
        <v>19.4</v>
      </c>
    </row>
    <row r="811" spans="1:10" ht="62.25" customHeight="1">
      <c r="A811" s="286" t="s">
        <v>345</v>
      </c>
      <c r="B811" s="82"/>
      <c r="C811" s="35" t="s">
        <v>1039</v>
      </c>
      <c r="D811" s="31" t="s">
        <v>1037</v>
      </c>
      <c r="E811" s="35" t="s">
        <v>346</v>
      </c>
      <c r="F811" s="26"/>
      <c r="G811" s="24">
        <f>SUM(G812)</f>
        <v>5698.7</v>
      </c>
      <c r="H811" s="24">
        <f>SUM(H812)</f>
        <v>3733.8</v>
      </c>
      <c r="I811" s="24">
        <f t="shared" si="21"/>
        <v>65.5202063628547</v>
      </c>
      <c r="J811"/>
    </row>
    <row r="812" spans="1:10" ht="30.75" customHeight="1">
      <c r="A812" s="223" t="s">
        <v>894</v>
      </c>
      <c r="B812" s="82"/>
      <c r="C812" s="35" t="s">
        <v>1039</v>
      </c>
      <c r="D812" s="31" t="s">
        <v>1037</v>
      </c>
      <c r="E812" s="35" t="s">
        <v>347</v>
      </c>
      <c r="F812" s="26"/>
      <c r="G812" s="24">
        <f>SUM(G813)</f>
        <v>5698.7</v>
      </c>
      <c r="H812" s="24">
        <f>SUM(H813)</f>
        <v>3733.8</v>
      </c>
      <c r="I812" s="24">
        <f t="shared" si="21"/>
        <v>65.5202063628547</v>
      </c>
      <c r="J812"/>
    </row>
    <row r="813" spans="1:10" ht="16.5" customHeight="1">
      <c r="A813" s="226" t="s">
        <v>895</v>
      </c>
      <c r="B813" s="51"/>
      <c r="C813" s="35" t="s">
        <v>1039</v>
      </c>
      <c r="D813" s="31" t="s">
        <v>1037</v>
      </c>
      <c r="E813" s="35" t="s">
        <v>347</v>
      </c>
      <c r="F813" s="27" t="s">
        <v>238</v>
      </c>
      <c r="G813" s="24">
        <v>5698.7</v>
      </c>
      <c r="H813" s="24">
        <v>3733.8</v>
      </c>
      <c r="I813" s="24">
        <f t="shared" si="21"/>
        <v>65.5202063628547</v>
      </c>
      <c r="J813" s="160">
        <f>SUM('[1]ведомствен.2012'!G1495)+'[1]ведомствен.2012'!G783</f>
        <v>5698.7</v>
      </c>
    </row>
    <row r="814" spans="1:10" ht="27.75" customHeight="1" hidden="1">
      <c r="A814" s="286" t="s">
        <v>1236</v>
      </c>
      <c r="B814" s="21"/>
      <c r="C814" s="31" t="s">
        <v>1039</v>
      </c>
      <c r="D814" s="31" t="s">
        <v>1037</v>
      </c>
      <c r="E814" s="22" t="s">
        <v>1237</v>
      </c>
      <c r="F814" s="27"/>
      <c r="G814" s="24">
        <f>SUM(G815)</f>
        <v>0</v>
      </c>
      <c r="H814" s="24">
        <f>SUM(H815)</f>
        <v>0</v>
      </c>
      <c r="I814" s="24" t="e">
        <f t="shared" si="21"/>
        <v>#DIV/0!</v>
      </c>
      <c r="J814"/>
    </row>
    <row r="815" spans="1:10" ht="16.5" customHeight="1" hidden="1">
      <c r="A815" s="226" t="s">
        <v>895</v>
      </c>
      <c r="B815" s="28"/>
      <c r="C815" s="31" t="s">
        <v>1039</v>
      </c>
      <c r="D815" s="31" t="s">
        <v>1037</v>
      </c>
      <c r="E815" s="22" t="s">
        <v>1237</v>
      </c>
      <c r="F815" s="23" t="s">
        <v>238</v>
      </c>
      <c r="G815" s="49"/>
      <c r="H815" s="24"/>
      <c r="I815" s="24"/>
      <c r="J815"/>
    </row>
    <row r="816" spans="1:10" ht="18.75" customHeight="1">
      <c r="A816" s="226" t="s">
        <v>1046</v>
      </c>
      <c r="B816" s="37"/>
      <c r="C816" s="31" t="s">
        <v>1039</v>
      </c>
      <c r="D816" s="31" t="s">
        <v>1037</v>
      </c>
      <c r="E816" s="31" t="s">
        <v>1047</v>
      </c>
      <c r="F816" s="88"/>
      <c r="G816" s="24">
        <f>SUM(G819+G817+G822)</f>
        <v>7879.8</v>
      </c>
      <c r="H816" s="24">
        <f>SUM(H819)</f>
        <v>0</v>
      </c>
      <c r="I816" s="24">
        <f>SUM(H816/G816*100)</f>
        <v>0</v>
      </c>
      <c r="J816"/>
    </row>
    <row r="817" spans="1:10" ht="42.75" hidden="1">
      <c r="A817" s="236" t="s">
        <v>1244</v>
      </c>
      <c r="B817" s="37"/>
      <c r="C817" s="31" t="s">
        <v>1039</v>
      </c>
      <c r="D817" s="31" t="s">
        <v>1037</v>
      </c>
      <c r="E817" s="31" t="s">
        <v>383</v>
      </c>
      <c r="F817" s="88"/>
      <c r="G817" s="24">
        <f>SUM(G818)</f>
        <v>0</v>
      </c>
      <c r="H817" s="24"/>
      <c r="I817" s="24"/>
      <c r="J817">
        <f>SUM('[1]ведомствен.2012'!G1497)</f>
        <v>0</v>
      </c>
    </row>
    <row r="818" spans="1:10" ht="15.75" hidden="1">
      <c r="A818" s="234" t="s">
        <v>895</v>
      </c>
      <c r="B818" s="37"/>
      <c r="C818" s="31" t="s">
        <v>1039</v>
      </c>
      <c r="D818" s="31" t="s">
        <v>1037</v>
      </c>
      <c r="E818" s="31" t="s">
        <v>383</v>
      </c>
      <c r="F818" s="88" t="s">
        <v>238</v>
      </c>
      <c r="G818" s="24"/>
      <c r="H818" s="24"/>
      <c r="I818" s="24"/>
      <c r="J818"/>
    </row>
    <row r="819" spans="1:10" ht="37.5" customHeight="1">
      <c r="A819" s="274" t="s">
        <v>311</v>
      </c>
      <c r="B819" s="37"/>
      <c r="C819" s="31" t="s">
        <v>1039</v>
      </c>
      <c r="D819" s="31" t="s">
        <v>1037</v>
      </c>
      <c r="E819" s="31" t="s">
        <v>411</v>
      </c>
      <c r="F819" s="88"/>
      <c r="G819" s="24">
        <f>SUM(G820:G821)</f>
        <v>3993.4</v>
      </c>
      <c r="H819" s="24">
        <f>SUM(H820:H824)</f>
        <v>0</v>
      </c>
      <c r="I819" s="24">
        <f>SUM(H819/G819*100)</f>
        <v>0</v>
      </c>
      <c r="J819"/>
    </row>
    <row r="820" spans="1:10" ht="45" customHeight="1">
      <c r="A820" s="226" t="s">
        <v>1001</v>
      </c>
      <c r="B820" s="37"/>
      <c r="C820" s="31" t="s">
        <v>1039</v>
      </c>
      <c r="D820" s="31" t="s">
        <v>1037</v>
      </c>
      <c r="E820" s="31" t="s">
        <v>411</v>
      </c>
      <c r="F820" s="88" t="s">
        <v>410</v>
      </c>
      <c r="G820" s="24">
        <v>2470</v>
      </c>
      <c r="H820" s="24"/>
      <c r="I820" s="24">
        <f>SUM(H820/G820*100)</f>
        <v>0</v>
      </c>
      <c r="J820" s="160">
        <f>SUM('[1]ведомствен.2012'!G1500)</f>
        <v>2470</v>
      </c>
    </row>
    <row r="821" spans="1:10" ht="28.5">
      <c r="A821" s="274" t="s">
        <v>1126</v>
      </c>
      <c r="B821" s="37"/>
      <c r="C821" s="31" t="s">
        <v>1039</v>
      </c>
      <c r="D821" s="31" t="s">
        <v>1037</v>
      </c>
      <c r="E821" s="31" t="s">
        <v>411</v>
      </c>
      <c r="F821" s="88" t="s">
        <v>978</v>
      </c>
      <c r="G821" s="49">
        <v>1523.4</v>
      </c>
      <c r="H821" s="49"/>
      <c r="I821" s="24">
        <f>SUM(H821/G821*100)</f>
        <v>0</v>
      </c>
      <c r="J821" s="160">
        <f>SUM('[1]ведомствен.2012'!G1501)</f>
        <v>1523.4</v>
      </c>
    </row>
    <row r="822" spans="1:10" ht="33" customHeight="1">
      <c r="A822" s="274" t="s">
        <v>412</v>
      </c>
      <c r="B822" s="37"/>
      <c r="C822" s="31" t="s">
        <v>1039</v>
      </c>
      <c r="D822" s="31" t="s">
        <v>1037</v>
      </c>
      <c r="E822" s="31" t="s">
        <v>413</v>
      </c>
      <c r="F822" s="88"/>
      <c r="G822" s="49">
        <f>SUM(G823:G824)</f>
        <v>3886.4</v>
      </c>
      <c r="H822" s="49"/>
      <c r="I822" s="24"/>
      <c r="J822"/>
    </row>
    <row r="823" spans="1:10" ht="43.5" customHeight="1">
      <c r="A823" s="226" t="s">
        <v>1001</v>
      </c>
      <c r="B823" s="37"/>
      <c r="C823" s="31" t="s">
        <v>1039</v>
      </c>
      <c r="D823" s="31" t="s">
        <v>1037</v>
      </c>
      <c r="E823" s="31" t="s">
        <v>413</v>
      </c>
      <c r="F823" s="88" t="s">
        <v>410</v>
      </c>
      <c r="G823" s="24">
        <v>3190.4</v>
      </c>
      <c r="H823" s="24"/>
      <c r="I823" s="24">
        <f aca="true" t="shared" si="22" ref="I823:I834">SUM(H823/G823*100)</f>
        <v>0</v>
      </c>
      <c r="J823" s="160">
        <f>SUM('[1]ведомствен.2012'!G1503)</f>
        <v>3190.4</v>
      </c>
    </row>
    <row r="824" spans="1:10" ht="28.5">
      <c r="A824" s="274" t="s">
        <v>1126</v>
      </c>
      <c r="B824" s="37"/>
      <c r="C824" s="31" t="s">
        <v>1039</v>
      </c>
      <c r="D824" s="31" t="s">
        <v>1037</v>
      </c>
      <c r="E824" s="31" t="s">
        <v>413</v>
      </c>
      <c r="F824" s="88" t="s">
        <v>978</v>
      </c>
      <c r="G824" s="49">
        <v>696</v>
      </c>
      <c r="H824" s="49"/>
      <c r="I824" s="24">
        <f t="shared" si="22"/>
        <v>0</v>
      </c>
      <c r="J824" s="160">
        <f>SUM('[1]ведомствен.2012'!G1504)</f>
        <v>696</v>
      </c>
    </row>
    <row r="825" spans="1:9" s="89" customFormat="1" ht="33" customHeight="1" hidden="1">
      <c r="A825" s="274" t="s">
        <v>412</v>
      </c>
      <c r="B825" s="37"/>
      <c r="C825" s="31" t="s">
        <v>1039</v>
      </c>
      <c r="D825" s="31" t="s">
        <v>1037</v>
      </c>
      <c r="E825" s="31" t="s">
        <v>413</v>
      </c>
      <c r="F825" s="88" t="s">
        <v>410</v>
      </c>
      <c r="G825" s="49"/>
      <c r="H825" s="49">
        <v>2421.6</v>
      </c>
      <c r="I825" s="24" t="e">
        <f t="shared" si="22"/>
        <v>#DIV/0!</v>
      </c>
    </row>
    <row r="826" spans="1:10" ht="15.75" customHeight="1" hidden="1">
      <c r="A826" s="223" t="s">
        <v>1025</v>
      </c>
      <c r="B826" s="82"/>
      <c r="C826" s="35" t="s">
        <v>1026</v>
      </c>
      <c r="D826" s="35"/>
      <c r="E826" s="35"/>
      <c r="F826" s="26"/>
      <c r="G826" s="24">
        <f>SUM(G827)+G830</f>
        <v>0</v>
      </c>
      <c r="H826" s="24">
        <f>SUM(H827)+H830</f>
        <v>0</v>
      </c>
      <c r="I826" s="24" t="e">
        <f t="shared" si="22"/>
        <v>#DIV/0!</v>
      </c>
      <c r="J826"/>
    </row>
    <row r="827" spans="1:10" ht="15.75" customHeight="1" hidden="1">
      <c r="A827" s="223" t="s">
        <v>1027</v>
      </c>
      <c r="B827" s="28"/>
      <c r="C827" s="22" t="s">
        <v>1026</v>
      </c>
      <c r="D827" s="22" t="s">
        <v>1026</v>
      </c>
      <c r="E827" s="22"/>
      <c r="F827" s="23"/>
      <c r="G827" s="24">
        <f>SUM(G828)</f>
        <v>0</v>
      </c>
      <c r="H827" s="24">
        <f>SUM(H828)</f>
        <v>0</v>
      </c>
      <c r="I827" s="24" t="e">
        <f t="shared" si="22"/>
        <v>#DIV/0!</v>
      </c>
      <c r="J827"/>
    </row>
    <row r="828" spans="1:10" ht="27.75" customHeight="1" hidden="1">
      <c r="A828" s="223" t="s">
        <v>1028</v>
      </c>
      <c r="B828" s="28"/>
      <c r="C828" s="22" t="s">
        <v>1026</v>
      </c>
      <c r="D828" s="22" t="s">
        <v>1026</v>
      </c>
      <c r="E828" s="22" t="s">
        <v>1029</v>
      </c>
      <c r="F828" s="23"/>
      <c r="G828" s="24">
        <f>SUM(G829)</f>
        <v>0</v>
      </c>
      <c r="H828" s="24">
        <f>SUM(H829)</f>
        <v>0</v>
      </c>
      <c r="I828" s="24" t="e">
        <f t="shared" si="22"/>
        <v>#DIV/0!</v>
      </c>
      <c r="J828"/>
    </row>
    <row r="829" spans="1:10" ht="13.5" customHeight="1" hidden="1">
      <c r="A829" s="223" t="s">
        <v>1030</v>
      </c>
      <c r="B829" s="28"/>
      <c r="C829" s="22" t="s">
        <v>1026</v>
      </c>
      <c r="D829" s="22" t="s">
        <v>1026</v>
      </c>
      <c r="E829" s="22" t="s">
        <v>1029</v>
      </c>
      <c r="F829" s="23" t="s">
        <v>1031</v>
      </c>
      <c r="G829" s="24"/>
      <c r="H829" s="24"/>
      <c r="I829" s="24" t="e">
        <f t="shared" si="22"/>
        <v>#DIV/0!</v>
      </c>
      <c r="J829"/>
    </row>
    <row r="830" spans="1:10" ht="13.5" customHeight="1" hidden="1">
      <c r="A830" s="226" t="s">
        <v>1318</v>
      </c>
      <c r="B830" s="28"/>
      <c r="C830" s="22" t="s">
        <v>1026</v>
      </c>
      <c r="D830" s="22" t="s">
        <v>389</v>
      </c>
      <c r="E830" s="22"/>
      <c r="F830" s="23"/>
      <c r="G830" s="24">
        <f>SUM(G831)</f>
        <v>0</v>
      </c>
      <c r="H830" s="24">
        <f>SUM(H831)</f>
        <v>0</v>
      </c>
      <c r="I830" s="24" t="e">
        <f t="shared" si="22"/>
        <v>#DIV/0!</v>
      </c>
      <c r="J830"/>
    </row>
    <row r="831" spans="1:10" ht="13.5" customHeight="1" hidden="1">
      <c r="A831" s="226" t="s">
        <v>1046</v>
      </c>
      <c r="B831" s="28"/>
      <c r="C831" s="22" t="s">
        <v>1026</v>
      </c>
      <c r="D831" s="22" t="s">
        <v>389</v>
      </c>
      <c r="E831" s="22" t="s">
        <v>1047</v>
      </c>
      <c r="F831" s="23"/>
      <c r="G831" s="24">
        <f>SUM(G832)</f>
        <v>0</v>
      </c>
      <c r="H831" s="24">
        <f>SUM(H832)</f>
        <v>0</v>
      </c>
      <c r="I831" s="24" t="e">
        <f t="shared" si="22"/>
        <v>#DIV/0!</v>
      </c>
      <c r="J831"/>
    </row>
    <row r="832" spans="1:10" ht="13.5" customHeight="1" hidden="1">
      <c r="A832" s="223" t="s">
        <v>414</v>
      </c>
      <c r="B832" s="28"/>
      <c r="C832" s="22" t="s">
        <v>1026</v>
      </c>
      <c r="D832" s="22" t="s">
        <v>389</v>
      </c>
      <c r="E832" s="22" t="s">
        <v>1047</v>
      </c>
      <c r="F832" s="23" t="s">
        <v>1173</v>
      </c>
      <c r="G832" s="24"/>
      <c r="H832" s="24"/>
      <c r="I832" s="24" t="e">
        <f t="shared" si="22"/>
        <v>#DIV/0!</v>
      </c>
      <c r="J832"/>
    </row>
    <row r="833" spans="1:11" s="20" customFormat="1" ht="18.75" customHeight="1">
      <c r="A833" s="287" t="s">
        <v>444</v>
      </c>
      <c r="B833" s="37"/>
      <c r="C833" s="38" t="s">
        <v>389</v>
      </c>
      <c r="D833" s="38"/>
      <c r="E833" s="38"/>
      <c r="F833" s="39"/>
      <c r="G833" s="40">
        <f>SUM(G834+G857+G901+G906+G916+G925)</f>
        <v>313314.6</v>
      </c>
      <c r="H833" s="40" t="e">
        <f>SUM(H834+H857+H901+H906+H916+H925)</f>
        <v>#REF!</v>
      </c>
      <c r="I833" s="40" t="e">
        <f t="shared" si="22"/>
        <v>#REF!</v>
      </c>
      <c r="K833" s="20">
        <f>SUM(J834:J959)</f>
        <v>313314.60000000003</v>
      </c>
    </row>
    <row r="834" spans="1:11" ht="15.75" customHeight="1">
      <c r="A834" s="223" t="s">
        <v>1174</v>
      </c>
      <c r="B834" s="21"/>
      <c r="C834" s="35" t="s">
        <v>389</v>
      </c>
      <c r="D834" s="35" t="s">
        <v>663</v>
      </c>
      <c r="E834" s="35"/>
      <c r="F834" s="26"/>
      <c r="G834" s="24">
        <f>SUM(G839+G841)</f>
        <v>18764.3</v>
      </c>
      <c r="H834" s="24">
        <f>SUM(H839+H841)</f>
        <v>49456.8</v>
      </c>
      <c r="I834" s="24">
        <f t="shared" si="22"/>
        <v>263.56858502582037</v>
      </c>
      <c r="J834"/>
      <c r="K834" s="208">
        <f>SUM(K833-G833)</f>
        <v>5.820766091346741E-11</v>
      </c>
    </row>
    <row r="835" spans="1:10" ht="19.5" customHeight="1" hidden="1">
      <c r="A835" s="277" t="s">
        <v>1175</v>
      </c>
      <c r="B835" s="21"/>
      <c r="C835" s="35" t="s">
        <v>389</v>
      </c>
      <c r="D835" s="35" t="s">
        <v>663</v>
      </c>
      <c r="E835" s="35" t="s">
        <v>1176</v>
      </c>
      <c r="F835" s="26"/>
      <c r="G835" s="24">
        <f>SUM(G836)</f>
        <v>0</v>
      </c>
      <c r="H835" s="24">
        <f>SUM(H836)</f>
        <v>0</v>
      </c>
      <c r="I835" s="24" t="e">
        <f aca="true" t="shared" si="23" ref="I835:I925">SUM(H835/G835*100)</f>
        <v>#DIV/0!</v>
      </c>
      <c r="J835"/>
    </row>
    <row r="836" spans="1:10" ht="18.75" customHeight="1" hidden="1">
      <c r="A836" s="223" t="s">
        <v>235</v>
      </c>
      <c r="B836" s="21"/>
      <c r="C836" s="35" t="s">
        <v>389</v>
      </c>
      <c r="D836" s="35" t="s">
        <v>663</v>
      </c>
      <c r="E836" s="35" t="s">
        <v>1177</v>
      </c>
      <c r="F836" s="26"/>
      <c r="G836" s="24">
        <f>SUM(G837)</f>
        <v>0</v>
      </c>
      <c r="H836" s="24">
        <f>SUM(H837)</f>
        <v>0</v>
      </c>
      <c r="I836" s="24" t="e">
        <f t="shared" si="23"/>
        <v>#DIV/0!</v>
      </c>
      <c r="J836"/>
    </row>
    <row r="837" spans="1:10" ht="17.25" customHeight="1" hidden="1">
      <c r="A837" s="226" t="s">
        <v>237</v>
      </c>
      <c r="B837" s="21"/>
      <c r="C837" s="35" t="s">
        <v>389</v>
      </c>
      <c r="D837" s="35" t="s">
        <v>663</v>
      </c>
      <c r="E837" s="35" t="s">
        <v>1177</v>
      </c>
      <c r="F837" s="26" t="s">
        <v>238</v>
      </c>
      <c r="G837" s="24"/>
      <c r="H837" s="24"/>
      <c r="I837" s="24" t="e">
        <f t="shared" si="23"/>
        <v>#DIV/0!</v>
      </c>
      <c r="J837"/>
    </row>
    <row r="838" spans="1:10" ht="27.75" customHeight="1">
      <c r="A838" s="222" t="s">
        <v>1021</v>
      </c>
      <c r="B838" s="21"/>
      <c r="C838" s="35" t="s">
        <v>389</v>
      </c>
      <c r="D838" s="35" t="s">
        <v>663</v>
      </c>
      <c r="E838" s="22" t="s">
        <v>1022</v>
      </c>
      <c r="F838" s="27"/>
      <c r="G838" s="24">
        <f>SUM(G839)</f>
        <v>265.1</v>
      </c>
      <c r="H838" s="24">
        <f>SUM(H839)</f>
        <v>146.8</v>
      </c>
      <c r="I838" s="24">
        <f t="shared" si="23"/>
        <v>55.37533006412675</v>
      </c>
      <c r="J838"/>
    </row>
    <row r="839" spans="1:10" ht="36" customHeight="1">
      <c r="A839" s="239" t="s">
        <v>745</v>
      </c>
      <c r="B839" s="21"/>
      <c r="C839" s="35" t="s">
        <v>389</v>
      </c>
      <c r="D839" s="35" t="s">
        <v>663</v>
      </c>
      <c r="E839" s="22" t="s">
        <v>746</v>
      </c>
      <c r="F839" s="26"/>
      <c r="G839" s="24">
        <f>SUM(G840)</f>
        <v>265.1</v>
      </c>
      <c r="H839" s="24">
        <f>SUM(H840)</f>
        <v>146.8</v>
      </c>
      <c r="I839" s="24">
        <f t="shared" si="23"/>
        <v>55.37533006412675</v>
      </c>
      <c r="J839"/>
    </row>
    <row r="840" spans="1:10" ht="17.25" customHeight="1">
      <c r="A840" s="234" t="s">
        <v>1080</v>
      </c>
      <c r="B840" s="21"/>
      <c r="C840" s="35" t="s">
        <v>389</v>
      </c>
      <c r="D840" s="35" t="s">
        <v>663</v>
      </c>
      <c r="E840" s="22" t="s">
        <v>746</v>
      </c>
      <c r="F840" s="88" t="s">
        <v>978</v>
      </c>
      <c r="G840" s="24">
        <v>265.1</v>
      </c>
      <c r="H840" s="24">
        <v>146.8</v>
      </c>
      <c r="I840" s="24">
        <f t="shared" si="23"/>
        <v>55.37533006412675</v>
      </c>
      <c r="J840">
        <f>SUM('[1]ведомствен.2012'!G1518)</f>
        <v>265.1</v>
      </c>
    </row>
    <row r="841" spans="1:10" ht="15">
      <c r="A841" s="223" t="s">
        <v>1212</v>
      </c>
      <c r="B841" s="21"/>
      <c r="C841" s="35" t="s">
        <v>389</v>
      </c>
      <c r="D841" s="35" t="s">
        <v>663</v>
      </c>
      <c r="E841" s="35" t="s">
        <v>1178</v>
      </c>
      <c r="F841" s="26"/>
      <c r="G841" s="24">
        <f>SUM(G842)+G854</f>
        <v>18499.2</v>
      </c>
      <c r="H841" s="24">
        <f>SUM(H842)</f>
        <v>49310</v>
      </c>
      <c r="I841" s="24">
        <f t="shared" si="23"/>
        <v>266.55206711641586</v>
      </c>
      <c r="J841"/>
    </row>
    <row r="842" spans="1:10" ht="30.75" customHeight="1">
      <c r="A842" s="223" t="s">
        <v>1000</v>
      </c>
      <c r="B842" s="82"/>
      <c r="C842" s="35" t="s">
        <v>389</v>
      </c>
      <c r="D842" s="35" t="s">
        <v>663</v>
      </c>
      <c r="E842" s="35" t="s">
        <v>979</v>
      </c>
      <c r="F842" s="26"/>
      <c r="G842" s="24">
        <f>SUM(G843+G852)</f>
        <v>15820.900000000001</v>
      </c>
      <c r="H842" s="24">
        <f>SUM(H852:H855)</f>
        <v>49310</v>
      </c>
      <c r="I842" s="24">
        <f t="shared" si="23"/>
        <v>311.6763268840584</v>
      </c>
      <c r="J842"/>
    </row>
    <row r="843" spans="1:9" ht="29.25" customHeight="1">
      <c r="A843" s="226" t="s">
        <v>1077</v>
      </c>
      <c r="B843" s="82"/>
      <c r="C843" s="35" t="s">
        <v>389</v>
      </c>
      <c r="D843" s="35" t="s">
        <v>663</v>
      </c>
      <c r="E843" s="35" t="s">
        <v>1078</v>
      </c>
      <c r="F843" s="26"/>
      <c r="G843" s="24">
        <f>SUM(G848+G850)+G844+G846</f>
        <v>6239.8</v>
      </c>
      <c r="H843" s="24"/>
      <c r="I843" s="24"/>
    </row>
    <row r="844" spans="1:9" ht="29.25" customHeight="1">
      <c r="A844" s="234" t="s">
        <v>729</v>
      </c>
      <c r="B844" s="82"/>
      <c r="C844" s="35" t="s">
        <v>389</v>
      </c>
      <c r="D844" s="35" t="s">
        <v>663</v>
      </c>
      <c r="E844" s="35" t="s">
        <v>730</v>
      </c>
      <c r="F844" s="26"/>
      <c r="G844" s="24">
        <f>SUM(G845)</f>
        <v>3136.3</v>
      </c>
      <c r="H844" s="24"/>
      <c r="I844" s="24"/>
    </row>
    <row r="845" spans="1:10" ht="27" customHeight="1">
      <c r="A845" s="234" t="s">
        <v>1080</v>
      </c>
      <c r="B845" s="82"/>
      <c r="C845" s="35" t="s">
        <v>389</v>
      </c>
      <c r="D845" s="35" t="s">
        <v>663</v>
      </c>
      <c r="E845" s="35" t="s">
        <v>730</v>
      </c>
      <c r="F845" s="26" t="s">
        <v>978</v>
      </c>
      <c r="G845" s="24">
        <v>3136.3</v>
      </c>
      <c r="H845" s="24"/>
      <c r="I845" s="24"/>
      <c r="J845" s="160">
        <f>SUM('[1]ведомствен.2012'!G1523)</f>
        <v>3136.3</v>
      </c>
    </row>
    <row r="846" spans="1:9" ht="27" customHeight="1">
      <c r="A846" s="234" t="s">
        <v>1081</v>
      </c>
      <c r="B846" s="82"/>
      <c r="C846" s="35" t="s">
        <v>389</v>
      </c>
      <c r="D846" s="35" t="s">
        <v>663</v>
      </c>
      <c r="E846" s="35" t="s">
        <v>747</v>
      </c>
      <c r="F846" s="26"/>
      <c r="G846" s="24">
        <f>SUM(G847)</f>
        <v>158.2</v>
      </c>
      <c r="H846" s="24"/>
      <c r="I846" s="24"/>
    </row>
    <row r="847" spans="1:10" ht="27" customHeight="1">
      <c r="A847" s="234" t="s">
        <v>1080</v>
      </c>
      <c r="B847" s="82"/>
      <c r="C847" s="35" t="s">
        <v>389</v>
      </c>
      <c r="D847" s="35" t="s">
        <v>663</v>
      </c>
      <c r="E847" s="35" t="s">
        <v>747</v>
      </c>
      <c r="F847" s="26" t="s">
        <v>978</v>
      </c>
      <c r="G847" s="24">
        <v>158.2</v>
      </c>
      <c r="H847" s="24"/>
      <c r="I847" s="24"/>
      <c r="J847" s="160">
        <f>SUM('[1]ведомствен.2012'!G1525)</f>
        <v>158.2</v>
      </c>
    </row>
    <row r="848" spans="1:9" ht="28.5" customHeight="1">
      <c r="A848" s="226" t="s">
        <v>578</v>
      </c>
      <c r="B848" s="82"/>
      <c r="C848" s="35" t="s">
        <v>389</v>
      </c>
      <c r="D848" s="35" t="s">
        <v>663</v>
      </c>
      <c r="E848" s="35" t="s">
        <v>1079</v>
      </c>
      <c r="F848" s="26"/>
      <c r="G848" s="24">
        <f>SUM(G849)</f>
        <v>85</v>
      </c>
      <c r="H848" s="24"/>
      <c r="I848" s="24"/>
    </row>
    <row r="849" spans="1:10" ht="28.5" customHeight="1">
      <c r="A849" s="226" t="s">
        <v>1080</v>
      </c>
      <c r="B849" s="82"/>
      <c r="C849" s="35" t="s">
        <v>389</v>
      </c>
      <c r="D849" s="35" t="s">
        <v>663</v>
      </c>
      <c r="E849" s="35" t="s">
        <v>1079</v>
      </c>
      <c r="F849" s="26" t="s">
        <v>978</v>
      </c>
      <c r="G849" s="24">
        <v>85</v>
      </c>
      <c r="H849" s="24"/>
      <c r="I849" s="24"/>
      <c r="J849" s="160">
        <f>SUM('[1]ведомствен.2012'!G1527)</f>
        <v>85</v>
      </c>
    </row>
    <row r="850" spans="1:10" ht="29.25" customHeight="1">
      <c r="A850" s="223" t="s">
        <v>1261</v>
      </c>
      <c r="B850" s="21"/>
      <c r="C850" s="35" t="s">
        <v>389</v>
      </c>
      <c r="D850" s="35" t="s">
        <v>663</v>
      </c>
      <c r="E850" s="22" t="s">
        <v>1265</v>
      </c>
      <c r="F850" s="23"/>
      <c r="G850" s="24">
        <f>SUM(G851)</f>
        <v>2860.3</v>
      </c>
      <c r="H850" s="24"/>
      <c r="I850" s="24"/>
      <c r="J850"/>
    </row>
    <row r="851" spans="1:10" ht="29.25" customHeight="1">
      <c r="A851" s="223" t="s">
        <v>1126</v>
      </c>
      <c r="B851" s="21"/>
      <c r="C851" s="35" t="s">
        <v>389</v>
      </c>
      <c r="D851" s="35" t="s">
        <v>663</v>
      </c>
      <c r="E851" s="22" t="s">
        <v>1265</v>
      </c>
      <c r="F851" s="23" t="s">
        <v>978</v>
      </c>
      <c r="G851" s="24">
        <v>2860.3</v>
      </c>
      <c r="H851" s="24"/>
      <c r="I851" s="24"/>
      <c r="J851">
        <f>SUM('[1]ведомствен.2012'!G1529)</f>
        <v>2860.3</v>
      </c>
    </row>
    <row r="852" spans="1:9" ht="32.25" customHeight="1">
      <c r="A852" s="223" t="s">
        <v>398</v>
      </c>
      <c r="B852" s="82"/>
      <c r="C852" s="35" t="s">
        <v>389</v>
      </c>
      <c r="D852" s="35" t="s">
        <v>663</v>
      </c>
      <c r="E852" s="35" t="s">
        <v>397</v>
      </c>
      <c r="F852" s="26"/>
      <c r="G852" s="24">
        <f>SUM(G853)</f>
        <v>9581.1</v>
      </c>
      <c r="H852" s="24">
        <v>49310</v>
      </c>
      <c r="I852" s="24">
        <f t="shared" si="23"/>
        <v>514.659068374195</v>
      </c>
    </row>
    <row r="853" spans="1:10" ht="45.75" customHeight="1">
      <c r="A853" s="226" t="s">
        <v>813</v>
      </c>
      <c r="B853" s="51"/>
      <c r="C853" s="35" t="s">
        <v>389</v>
      </c>
      <c r="D853" s="35" t="s">
        <v>663</v>
      </c>
      <c r="E853" s="35" t="s">
        <v>397</v>
      </c>
      <c r="F853" s="27" t="s">
        <v>1300</v>
      </c>
      <c r="G853" s="24">
        <v>9581.1</v>
      </c>
      <c r="H853" s="24"/>
      <c r="I853" s="24">
        <f t="shared" si="23"/>
        <v>0</v>
      </c>
      <c r="J853" s="160">
        <f>SUM('[1]ведомствен.2012'!G1531)</f>
        <v>9581.1</v>
      </c>
    </row>
    <row r="854" spans="1:10" ht="28.5" customHeight="1">
      <c r="A854" s="223" t="s">
        <v>894</v>
      </c>
      <c r="B854" s="21"/>
      <c r="C854" s="35" t="s">
        <v>1180</v>
      </c>
      <c r="D854" s="35" t="s">
        <v>663</v>
      </c>
      <c r="E854" s="35" t="s">
        <v>1179</v>
      </c>
      <c r="F854" s="26"/>
      <c r="G854" s="24">
        <f>SUM(G855)</f>
        <v>2678.3</v>
      </c>
      <c r="H854" s="24"/>
      <c r="I854" s="24">
        <f t="shared" si="23"/>
        <v>0</v>
      </c>
      <c r="J854"/>
    </row>
    <row r="855" spans="1:10" ht="21" customHeight="1">
      <c r="A855" s="226" t="s">
        <v>895</v>
      </c>
      <c r="B855" s="21"/>
      <c r="C855" s="35" t="s">
        <v>1180</v>
      </c>
      <c r="D855" s="35" t="s">
        <v>663</v>
      </c>
      <c r="E855" s="35" t="s">
        <v>1179</v>
      </c>
      <c r="F855" s="26" t="s">
        <v>238</v>
      </c>
      <c r="G855" s="24">
        <v>2678.3</v>
      </c>
      <c r="H855" s="24">
        <f>SUM(H856)</f>
        <v>0</v>
      </c>
      <c r="I855" s="24">
        <f t="shared" si="23"/>
        <v>0</v>
      </c>
      <c r="J855">
        <f>SUM('[1]ведомствен.2012'!G788)</f>
        <v>2678.3</v>
      </c>
    </row>
    <row r="856" spans="1:10" ht="23.25" customHeight="1" hidden="1">
      <c r="A856" s="226" t="s">
        <v>237</v>
      </c>
      <c r="B856" s="21"/>
      <c r="C856" s="35" t="s">
        <v>1180</v>
      </c>
      <c r="D856" s="35" t="s">
        <v>663</v>
      </c>
      <c r="E856" s="35" t="s">
        <v>1337</v>
      </c>
      <c r="F856" s="26" t="s">
        <v>238</v>
      </c>
      <c r="G856" s="24"/>
      <c r="H856" s="24"/>
      <c r="I856" s="24" t="e">
        <f t="shared" si="23"/>
        <v>#DIV/0!</v>
      </c>
      <c r="J856"/>
    </row>
    <row r="857" spans="1:10" ht="18.75" customHeight="1">
      <c r="A857" s="223" t="s">
        <v>1338</v>
      </c>
      <c r="B857" s="21"/>
      <c r="C857" s="35" t="s">
        <v>389</v>
      </c>
      <c r="D857" s="35" t="s">
        <v>665</v>
      </c>
      <c r="E857" s="35"/>
      <c r="F857" s="26"/>
      <c r="G857" s="24">
        <f>SUM(G861+G876+G889+G898)+G858</f>
        <v>28264.500000000004</v>
      </c>
      <c r="H857" s="24" t="e">
        <f>SUM(H861+H876+H889+H898)</f>
        <v>#REF!</v>
      </c>
      <c r="I857" s="24" t="e">
        <f t="shared" si="23"/>
        <v>#REF!</v>
      </c>
      <c r="J857"/>
    </row>
    <row r="858" spans="1:10" ht="33" customHeight="1">
      <c r="A858" s="222" t="s">
        <v>1021</v>
      </c>
      <c r="B858" s="21"/>
      <c r="C858" s="35" t="s">
        <v>389</v>
      </c>
      <c r="D858" s="35" t="s">
        <v>665</v>
      </c>
      <c r="E858" s="22" t="s">
        <v>1022</v>
      </c>
      <c r="F858" s="27"/>
      <c r="G858" s="24">
        <f>SUM(G859)</f>
        <v>334.5</v>
      </c>
      <c r="H858" s="24"/>
      <c r="I858" s="24"/>
      <c r="J858"/>
    </row>
    <row r="859" spans="1:10" ht="39" customHeight="1">
      <c r="A859" s="239" t="s">
        <v>745</v>
      </c>
      <c r="B859" s="21"/>
      <c r="C859" s="35" t="s">
        <v>389</v>
      </c>
      <c r="D859" s="35" t="s">
        <v>665</v>
      </c>
      <c r="E859" s="22" t="s">
        <v>746</v>
      </c>
      <c r="F859" s="26"/>
      <c r="G859" s="24">
        <f>SUM(G860)</f>
        <v>334.5</v>
      </c>
      <c r="H859" s="24"/>
      <c r="I859" s="24"/>
      <c r="J859"/>
    </row>
    <row r="860" spans="1:10" ht="18.75" customHeight="1">
      <c r="A860" s="223" t="s">
        <v>1126</v>
      </c>
      <c r="B860" s="21"/>
      <c r="C860" s="35" t="s">
        <v>389</v>
      </c>
      <c r="D860" s="35" t="s">
        <v>665</v>
      </c>
      <c r="E860" s="22" t="s">
        <v>746</v>
      </c>
      <c r="F860" s="88" t="s">
        <v>978</v>
      </c>
      <c r="G860" s="24">
        <v>334.5</v>
      </c>
      <c r="H860" s="24"/>
      <c r="I860" s="24"/>
      <c r="J860">
        <f>SUM('[1]ведомствен.2012'!G1538)</f>
        <v>334.5</v>
      </c>
    </row>
    <row r="861" spans="1:10" ht="18.75" customHeight="1">
      <c r="A861" s="223" t="s">
        <v>1212</v>
      </c>
      <c r="B861" s="21"/>
      <c r="C861" s="35" t="s">
        <v>389</v>
      </c>
      <c r="D861" s="35" t="s">
        <v>665</v>
      </c>
      <c r="E861" s="35" t="s">
        <v>1178</v>
      </c>
      <c r="F861" s="26"/>
      <c r="G861" s="24">
        <f>SUM(G862)+G874</f>
        <v>16377</v>
      </c>
      <c r="H861" s="24" t="e">
        <f>SUM(H862)</f>
        <v>#REF!</v>
      </c>
      <c r="I861" s="24" t="e">
        <f t="shared" si="23"/>
        <v>#REF!</v>
      </c>
      <c r="J861"/>
    </row>
    <row r="862" spans="1:10" ht="28.5" customHeight="1">
      <c r="A862" s="223" t="s">
        <v>1000</v>
      </c>
      <c r="B862" s="82"/>
      <c r="C862" s="35" t="s">
        <v>389</v>
      </c>
      <c r="D862" s="35" t="s">
        <v>665</v>
      </c>
      <c r="E862" s="35" t="s">
        <v>979</v>
      </c>
      <c r="F862" s="26"/>
      <c r="G862" s="24">
        <f>SUM(G863+G872)</f>
        <v>13528.5</v>
      </c>
      <c r="H862" s="24" t="e">
        <f>SUM(H872:H875)</f>
        <v>#REF!</v>
      </c>
      <c r="I862" s="24" t="e">
        <f t="shared" si="23"/>
        <v>#REF!</v>
      </c>
      <c r="J862"/>
    </row>
    <row r="863" spans="1:9" ht="27.75" customHeight="1">
      <c r="A863" s="226" t="s">
        <v>1077</v>
      </c>
      <c r="B863" s="82"/>
      <c r="C863" s="35" t="s">
        <v>389</v>
      </c>
      <c r="D863" s="35" t="s">
        <v>665</v>
      </c>
      <c r="E863" s="35" t="s">
        <v>1078</v>
      </c>
      <c r="F863" s="26"/>
      <c r="G863" s="24">
        <f>SUM(G870)+G868+G864+G866</f>
        <v>3480</v>
      </c>
      <c r="H863" s="24"/>
      <c r="I863" s="24"/>
    </row>
    <row r="864" spans="1:9" ht="27.75" customHeight="1">
      <c r="A864" s="234" t="s">
        <v>729</v>
      </c>
      <c r="B864" s="82"/>
      <c r="C864" s="35" t="s">
        <v>389</v>
      </c>
      <c r="D864" s="35" t="s">
        <v>665</v>
      </c>
      <c r="E864" s="35" t="s">
        <v>730</v>
      </c>
      <c r="F864" s="26"/>
      <c r="G864" s="24">
        <f>SUM(G865)</f>
        <v>880.9</v>
      </c>
      <c r="H864" s="24"/>
      <c r="I864" s="24"/>
    </row>
    <row r="865" spans="1:10" ht="27.75" customHeight="1">
      <c r="A865" s="234" t="s">
        <v>1080</v>
      </c>
      <c r="B865" s="82"/>
      <c r="C865" s="35" t="s">
        <v>389</v>
      </c>
      <c r="D865" s="35" t="s">
        <v>665</v>
      </c>
      <c r="E865" s="35" t="s">
        <v>730</v>
      </c>
      <c r="F865" s="26" t="s">
        <v>978</v>
      </c>
      <c r="G865" s="24">
        <v>880.9</v>
      </c>
      <c r="H865" s="24"/>
      <c r="I865" s="24"/>
      <c r="J865" s="160">
        <f>SUM('[1]ведомствен.2012'!G1543)</f>
        <v>880.9</v>
      </c>
    </row>
    <row r="866" spans="1:9" ht="27.75" customHeight="1">
      <c r="A866" s="234" t="s">
        <v>1081</v>
      </c>
      <c r="B866" s="82"/>
      <c r="C866" s="35" t="s">
        <v>389</v>
      </c>
      <c r="D866" s="35" t="s">
        <v>665</v>
      </c>
      <c r="E866" s="35" t="s">
        <v>747</v>
      </c>
      <c r="F866" s="26"/>
      <c r="G866" s="24">
        <f>SUM(G867)</f>
        <v>111.4</v>
      </c>
      <c r="H866" s="24"/>
      <c r="I866" s="24"/>
    </row>
    <row r="867" spans="1:10" ht="27.75" customHeight="1">
      <c r="A867" s="234" t="s">
        <v>1080</v>
      </c>
      <c r="B867" s="82"/>
      <c r="C867" s="35" t="s">
        <v>389</v>
      </c>
      <c r="D867" s="35" t="s">
        <v>665</v>
      </c>
      <c r="E867" s="35" t="s">
        <v>747</v>
      </c>
      <c r="F867" s="26" t="s">
        <v>978</v>
      </c>
      <c r="G867" s="24">
        <v>111.4</v>
      </c>
      <c r="H867" s="24"/>
      <c r="I867" s="24"/>
      <c r="J867" s="160">
        <f>SUM('[1]ведомствен.2012'!G1545)</f>
        <v>111.4</v>
      </c>
    </row>
    <row r="868" spans="1:9" ht="27.75" customHeight="1">
      <c r="A868" s="234" t="s">
        <v>578</v>
      </c>
      <c r="B868" s="82"/>
      <c r="C868" s="35" t="s">
        <v>389</v>
      </c>
      <c r="D868" s="35" t="s">
        <v>665</v>
      </c>
      <c r="E868" s="35" t="s">
        <v>1079</v>
      </c>
      <c r="F868" s="26"/>
      <c r="G868" s="24">
        <f>SUM(G869)</f>
        <v>510.5</v>
      </c>
      <c r="H868" s="24"/>
      <c r="I868" s="24"/>
    </row>
    <row r="869" spans="1:10" ht="27.75" customHeight="1">
      <c r="A869" s="234" t="s">
        <v>1080</v>
      </c>
      <c r="B869" s="82"/>
      <c r="C869" s="35" t="s">
        <v>389</v>
      </c>
      <c r="D869" s="35" t="s">
        <v>665</v>
      </c>
      <c r="E869" s="35" t="s">
        <v>1079</v>
      </c>
      <c r="F869" s="26" t="s">
        <v>978</v>
      </c>
      <c r="G869" s="24">
        <v>510.5</v>
      </c>
      <c r="H869" s="24"/>
      <c r="I869" s="24"/>
      <c r="J869" s="160">
        <f>SUM('[1]ведомствен.2012'!G1547)</f>
        <v>510.5</v>
      </c>
    </row>
    <row r="870" spans="1:9" ht="27.75" customHeight="1">
      <c r="A870" s="223" t="s">
        <v>1261</v>
      </c>
      <c r="B870" s="82"/>
      <c r="C870" s="35" t="s">
        <v>389</v>
      </c>
      <c r="D870" s="35" t="s">
        <v>665</v>
      </c>
      <c r="E870" s="35" t="s">
        <v>1265</v>
      </c>
      <c r="F870" s="26"/>
      <c r="G870" s="24">
        <f>SUM(G871)</f>
        <v>1977.2</v>
      </c>
      <c r="H870" s="24"/>
      <c r="I870" s="24"/>
    </row>
    <row r="871" spans="1:10" ht="30" customHeight="1">
      <c r="A871" s="223" t="s">
        <v>1126</v>
      </c>
      <c r="B871" s="82"/>
      <c r="C871" s="35" t="s">
        <v>389</v>
      </c>
      <c r="D871" s="35" t="s">
        <v>665</v>
      </c>
      <c r="E871" s="35" t="s">
        <v>1265</v>
      </c>
      <c r="F871" s="26" t="s">
        <v>978</v>
      </c>
      <c r="G871" s="24">
        <v>1977.2</v>
      </c>
      <c r="H871" s="24"/>
      <c r="I871" s="24"/>
      <c r="J871" s="160">
        <f>SUM('[1]ведомствен.2012'!G1549)</f>
        <v>1977.2</v>
      </c>
    </row>
    <row r="872" spans="1:9" ht="29.25" customHeight="1">
      <c r="A872" s="223" t="s">
        <v>398</v>
      </c>
      <c r="B872" s="82"/>
      <c r="C872" s="35" t="s">
        <v>389</v>
      </c>
      <c r="D872" s="35" t="s">
        <v>665</v>
      </c>
      <c r="E872" s="35" t="s">
        <v>397</v>
      </c>
      <c r="F872" s="26"/>
      <c r="G872" s="24">
        <f>SUM(G873)</f>
        <v>10048.5</v>
      </c>
      <c r="H872" s="24">
        <v>21823.6</v>
      </c>
      <c r="I872" s="24">
        <f t="shared" si="23"/>
        <v>217.18266407921578</v>
      </c>
    </row>
    <row r="873" spans="1:10" ht="45.75" customHeight="1">
      <c r="A873" s="226" t="s">
        <v>813</v>
      </c>
      <c r="B873" s="51"/>
      <c r="C873" s="35" t="s">
        <v>389</v>
      </c>
      <c r="D873" s="35" t="s">
        <v>665</v>
      </c>
      <c r="E873" s="35" t="s">
        <v>397</v>
      </c>
      <c r="F873" s="27" t="s">
        <v>1300</v>
      </c>
      <c r="G873" s="24">
        <v>10048.5</v>
      </c>
      <c r="H873" s="24"/>
      <c r="I873" s="24">
        <f t="shared" si="23"/>
        <v>0</v>
      </c>
      <c r="J873" s="160">
        <f>SUM('[1]ведомствен.2012'!G1553)</f>
        <v>10048.5</v>
      </c>
    </row>
    <row r="874" spans="1:10" ht="28.5" customHeight="1">
      <c r="A874" s="223" t="s">
        <v>894</v>
      </c>
      <c r="B874" s="21"/>
      <c r="C874" s="35" t="s">
        <v>389</v>
      </c>
      <c r="D874" s="35" t="s">
        <v>665</v>
      </c>
      <c r="E874" s="35" t="s">
        <v>1179</v>
      </c>
      <c r="F874" s="26"/>
      <c r="G874" s="24">
        <f>SUM(G875)</f>
        <v>2848.5</v>
      </c>
      <c r="H874" s="24"/>
      <c r="I874" s="24">
        <f>SUM(H874/G874*100)</f>
        <v>0</v>
      </c>
      <c r="J874"/>
    </row>
    <row r="875" spans="1:10" ht="21" customHeight="1">
      <c r="A875" s="226" t="s">
        <v>895</v>
      </c>
      <c r="B875" s="21"/>
      <c r="C875" s="35" t="s">
        <v>389</v>
      </c>
      <c r="D875" s="35" t="s">
        <v>665</v>
      </c>
      <c r="E875" s="35" t="s">
        <v>1179</v>
      </c>
      <c r="F875" s="26" t="s">
        <v>238</v>
      </c>
      <c r="G875" s="24">
        <v>2848.5</v>
      </c>
      <c r="H875" s="24" t="e">
        <f>SUM(#REF!)</f>
        <v>#REF!</v>
      </c>
      <c r="I875" s="24" t="e">
        <f>SUM(H875/G875*100)</f>
        <v>#REF!</v>
      </c>
      <c r="J875">
        <f>SUM('[1]ведомствен.2012'!G792)</f>
        <v>2848.5</v>
      </c>
    </row>
    <row r="876" spans="1:10" ht="15.75" customHeight="1">
      <c r="A876" s="223" t="s">
        <v>1339</v>
      </c>
      <c r="B876" s="21"/>
      <c r="C876" s="35" t="s">
        <v>389</v>
      </c>
      <c r="D876" s="35" t="s">
        <v>665</v>
      </c>
      <c r="E876" s="35" t="s">
        <v>1340</v>
      </c>
      <c r="F876" s="26"/>
      <c r="G876" s="24">
        <f>SUM(G877)+G887</f>
        <v>8693.800000000001</v>
      </c>
      <c r="H876" s="24" t="e">
        <f>SUM(H877)</f>
        <v>#REF!</v>
      </c>
      <c r="I876" s="24" t="e">
        <f t="shared" si="23"/>
        <v>#REF!</v>
      </c>
      <c r="J876"/>
    </row>
    <row r="877" spans="1:10" ht="32.25" customHeight="1">
      <c r="A877" s="223" t="s">
        <v>1000</v>
      </c>
      <c r="B877" s="21"/>
      <c r="C877" s="35" t="s">
        <v>389</v>
      </c>
      <c r="D877" s="35" t="s">
        <v>665</v>
      </c>
      <c r="E877" s="35" t="s">
        <v>399</v>
      </c>
      <c r="F877" s="26"/>
      <c r="G877" s="24">
        <f>SUM(G885)+G878</f>
        <v>8323.7</v>
      </c>
      <c r="H877" s="24" t="e">
        <f>SUM(H886:H888)</f>
        <v>#REF!</v>
      </c>
      <c r="I877" s="24" t="e">
        <f t="shared" si="23"/>
        <v>#REF!</v>
      </c>
      <c r="J877"/>
    </row>
    <row r="878" spans="1:10" ht="32.25" customHeight="1">
      <c r="A878" s="226" t="s">
        <v>1077</v>
      </c>
      <c r="B878" s="21"/>
      <c r="C878" s="35" t="s">
        <v>389</v>
      </c>
      <c r="D878" s="35" t="s">
        <v>665</v>
      </c>
      <c r="E878" s="35" t="s">
        <v>1266</v>
      </c>
      <c r="F878" s="26"/>
      <c r="G878" s="24">
        <f>SUM(G879)+G881+G883</f>
        <v>1040.2</v>
      </c>
      <c r="H878" s="24"/>
      <c r="I878" s="24"/>
      <c r="J878"/>
    </row>
    <row r="879" spans="1:10" ht="32.25" customHeight="1">
      <c r="A879" s="226" t="s">
        <v>1081</v>
      </c>
      <c r="B879" s="82"/>
      <c r="C879" s="35" t="s">
        <v>389</v>
      </c>
      <c r="D879" s="35" t="s">
        <v>665</v>
      </c>
      <c r="E879" s="35" t="s">
        <v>1082</v>
      </c>
      <c r="F879" s="26"/>
      <c r="G879" s="24">
        <f>SUM(G880)</f>
        <v>951.4</v>
      </c>
      <c r="H879" s="24"/>
      <c r="I879" s="24"/>
      <c r="J879"/>
    </row>
    <row r="880" spans="1:10" ht="32.25" customHeight="1">
      <c r="A880" s="226" t="s">
        <v>1080</v>
      </c>
      <c r="B880" s="82"/>
      <c r="C880" s="35" t="s">
        <v>389</v>
      </c>
      <c r="D880" s="35" t="s">
        <v>665</v>
      </c>
      <c r="E880" s="35" t="s">
        <v>1082</v>
      </c>
      <c r="F880" s="26" t="s">
        <v>978</v>
      </c>
      <c r="G880" s="24">
        <v>951.4</v>
      </c>
      <c r="H880" s="24"/>
      <c r="I880" s="24"/>
      <c r="J880">
        <f>SUM('[1]ведомствен.2012'!G1561)</f>
        <v>951.4</v>
      </c>
    </row>
    <row r="881" spans="1:10" ht="32.25" customHeight="1">
      <c r="A881" s="234" t="s">
        <v>578</v>
      </c>
      <c r="B881" s="82"/>
      <c r="C881" s="35" t="s">
        <v>389</v>
      </c>
      <c r="D881" s="35" t="s">
        <v>665</v>
      </c>
      <c r="E881" s="35" t="s">
        <v>731</v>
      </c>
      <c r="F881" s="26"/>
      <c r="G881" s="24">
        <f>SUM(G882)</f>
        <v>46</v>
      </c>
      <c r="H881" s="24"/>
      <c r="I881" s="24"/>
      <c r="J881"/>
    </row>
    <row r="882" spans="1:10" ht="32.25" customHeight="1">
      <c r="A882" s="234" t="s">
        <v>1080</v>
      </c>
      <c r="B882" s="82"/>
      <c r="C882" s="35" t="s">
        <v>389</v>
      </c>
      <c r="D882" s="35" t="s">
        <v>665</v>
      </c>
      <c r="E882" s="35" t="s">
        <v>731</v>
      </c>
      <c r="F882" s="26" t="s">
        <v>978</v>
      </c>
      <c r="G882" s="24">
        <v>46</v>
      </c>
      <c r="H882" s="24"/>
      <c r="I882" s="24"/>
      <c r="J882">
        <f>SUM('[1]ведомствен.2012'!G1563)</f>
        <v>46</v>
      </c>
    </row>
    <row r="883" spans="1:10" ht="32.25" customHeight="1">
      <c r="A883" s="222" t="s">
        <v>1261</v>
      </c>
      <c r="B883" s="82"/>
      <c r="C883" s="35" t="s">
        <v>389</v>
      </c>
      <c r="D883" s="35" t="s">
        <v>665</v>
      </c>
      <c r="E883" s="35" t="s">
        <v>748</v>
      </c>
      <c r="F883" s="26"/>
      <c r="G883" s="24">
        <f>SUM(G884)</f>
        <v>42.8</v>
      </c>
      <c r="H883" s="24"/>
      <c r="I883" s="24"/>
      <c r="J883"/>
    </row>
    <row r="884" spans="1:10" ht="32.25" customHeight="1">
      <c r="A884" s="234" t="s">
        <v>1080</v>
      </c>
      <c r="B884" s="82"/>
      <c r="C884" s="35" t="s">
        <v>389</v>
      </c>
      <c r="D884" s="35" t="s">
        <v>665</v>
      </c>
      <c r="E884" s="35" t="s">
        <v>748</v>
      </c>
      <c r="F884" s="26" t="s">
        <v>978</v>
      </c>
      <c r="G884" s="24">
        <v>42.8</v>
      </c>
      <c r="H884" s="24"/>
      <c r="I884" s="24"/>
      <c r="J884">
        <f>SUM('[1]ведомствен.2012'!G1565)</f>
        <v>42.8</v>
      </c>
    </row>
    <row r="885" spans="1:10" ht="32.25" customHeight="1">
      <c r="A885" s="226" t="s">
        <v>398</v>
      </c>
      <c r="B885" s="21"/>
      <c r="C885" s="35" t="s">
        <v>389</v>
      </c>
      <c r="D885" s="35" t="s">
        <v>665</v>
      </c>
      <c r="E885" s="35" t="s">
        <v>400</v>
      </c>
      <c r="F885" s="26"/>
      <c r="G885" s="24">
        <f>SUM(G886)</f>
        <v>7283.5</v>
      </c>
      <c r="H885" s="24"/>
      <c r="I885" s="24"/>
      <c r="J885"/>
    </row>
    <row r="886" spans="1:10" ht="47.25" customHeight="1">
      <c r="A886" s="226" t="s">
        <v>813</v>
      </c>
      <c r="B886" s="21"/>
      <c r="C886" s="35" t="s">
        <v>389</v>
      </c>
      <c r="D886" s="35" t="s">
        <v>665</v>
      </c>
      <c r="E886" s="35" t="s">
        <v>400</v>
      </c>
      <c r="F886" s="26" t="s">
        <v>1300</v>
      </c>
      <c r="G886" s="24">
        <v>7283.5</v>
      </c>
      <c r="H886" s="24">
        <v>7467.6</v>
      </c>
      <c r="I886" s="24">
        <f t="shared" si="23"/>
        <v>102.52763094666027</v>
      </c>
      <c r="J886" s="160">
        <f>SUM('[1]ведомствен.2012'!G1568)</f>
        <v>7283.5</v>
      </c>
    </row>
    <row r="887" spans="1:10" ht="28.5" customHeight="1">
      <c r="A887" s="223" t="s">
        <v>894</v>
      </c>
      <c r="B887" s="21"/>
      <c r="C887" s="35" t="s">
        <v>389</v>
      </c>
      <c r="D887" s="35" t="s">
        <v>665</v>
      </c>
      <c r="E887" s="35" t="s">
        <v>1341</v>
      </c>
      <c r="F887" s="26"/>
      <c r="G887" s="24">
        <f>SUM(G888)</f>
        <v>370.1</v>
      </c>
      <c r="H887" s="24"/>
      <c r="I887" s="24">
        <f t="shared" si="23"/>
        <v>0</v>
      </c>
      <c r="J887"/>
    </row>
    <row r="888" spans="1:10" ht="21" customHeight="1">
      <c r="A888" s="226" t="s">
        <v>895</v>
      </c>
      <c r="B888" s="21"/>
      <c r="C888" s="35" t="s">
        <v>389</v>
      </c>
      <c r="D888" s="35" t="s">
        <v>665</v>
      </c>
      <c r="E888" s="35" t="s">
        <v>1341</v>
      </c>
      <c r="F888" s="26" t="s">
        <v>238</v>
      </c>
      <c r="G888" s="24">
        <v>370.1</v>
      </c>
      <c r="H888" s="24" t="e">
        <f>SUM(#REF!)</f>
        <v>#REF!</v>
      </c>
      <c r="I888" s="24" t="e">
        <f t="shared" si="23"/>
        <v>#REF!</v>
      </c>
      <c r="J888">
        <f>SUM('[1]ведомствен.2012'!G795)</f>
        <v>370.1</v>
      </c>
    </row>
    <row r="889" spans="1:10" ht="14.25" customHeight="1">
      <c r="A889" s="223" t="s">
        <v>1343</v>
      </c>
      <c r="B889" s="21"/>
      <c r="C889" s="35" t="s">
        <v>389</v>
      </c>
      <c r="D889" s="35" t="s">
        <v>665</v>
      </c>
      <c r="E889" s="35" t="s">
        <v>1344</v>
      </c>
      <c r="F889" s="26"/>
      <c r="G889" s="24">
        <f>SUM(G890)+G896</f>
        <v>2293.2</v>
      </c>
      <c r="H889" s="24">
        <f>SUM(H890)</f>
        <v>1817.2</v>
      </c>
      <c r="I889" s="24">
        <f t="shared" si="23"/>
        <v>79.24297924297925</v>
      </c>
      <c r="J889"/>
    </row>
    <row r="890" spans="1:10" ht="31.5" customHeight="1">
      <c r="A890" s="223" t="s">
        <v>1000</v>
      </c>
      <c r="B890" s="82"/>
      <c r="C890" s="35" t="s">
        <v>389</v>
      </c>
      <c r="D890" s="35" t="s">
        <v>665</v>
      </c>
      <c r="E890" s="35" t="s">
        <v>980</v>
      </c>
      <c r="F890" s="26"/>
      <c r="G890" s="24">
        <f>SUM(G895)+G891</f>
        <v>2258.7</v>
      </c>
      <c r="H890" s="24">
        <f>SUM(H894:H895)</f>
        <v>1817.2</v>
      </c>
      <c r="I890" s="24">
        <f t="shared" si="23"/>
        <v>80.45335812635588</v>
      </c>
      <c r="J890"/>
    </row>
    <row r="891" spans="1:10" ht="31.5" customHeight="1">
      <c r="A891" s="234" t="s">
        <v>1126</v>
      </c>
      <c r="B891" s="21"/>
      <c r="C891" s="35" t="s">
        <v>389</v>
      </c>
      <c r="D891" s="35" t="s">
        <v>665</v>
      </c>
      <c r="E891" s="35" t="s">
        <v>732</v>
      </c>
      <c r="F891" s="26"/>
      <c r="G891" s="24">
        <f>SUM(G892)</f>
        <v>21.2</v>
      </c>
      <c r="H891" s="24"/>
      <c r="I891" s="24"/>
      <c r="J891"/>
    </row>
    <row r="892" spans="1:10" ht="31.5" customHeight="1">
      <c r="A892" s="234" t="s">
        <v>578</v>
      </c>
      <c r="B892" s="82"/>
      <c r="C892" s="35" t="s">
        <v>389</v>
      </c>
      <c r="D892" s="35" t="s">
        <v>665</v>
      </c>
      <c r="E892" s="35" t="s">
        <v>733</v>
      </c>
      <c r="F892" s="26"/>
      <c r="G892" s="24">
        <f>SUM(G893)</f>
        <v>21.2</v>
      </c>
      <c r="H892" s="24"/>
      <c r="I892" s="24"/>
      <c r="J892"/>
    </row>
    <row r="893" spans="1:10" ht="31.5" customHeight="1">
      <c r="A893" s="234" t="s">
        <v>1080</v>
      </c>
      <c r="B893" s="82"/>
      <c r="C893" s="35" t="s">
        <v>389</v>
      </c>
      <c r="D893" s="35" t="s">
        <v>665</v>
      </c>
      <c r="E893" s="35" t="s">
        <v>733</v>
      </c>
      <c r="F893" s="26" t="s">
        <v>978</v>
      </c>
      <c r="G893" s="24">
        <v>21.2</v>
      </c>
      <c r="H893" s="24"/>
      <c r="I893" s="24"/>
      <c r="J893">
        <f>SUM('[1]ведомствен.2012'!G1573)</f>
        <v>21.2</v>
      </c>
    </row>
    <row r="894" spans="1:9" ht="39" customHeight="1">
      <c r="A894" s="223" t="s">
        <v>398</v>
      </c>
      <c r="B894" s="82"/>
      <c r="C894" s="35" t="s">
        <v>389</v>
      </c>
      <c r="D894" s="35" t="s">
        <v>665</v>
      </c>
      <c r="E894" s="35" t="s">
        <v>402</v>
      </c>
      <c r="F894" s="26"/>
      <c r="G894" s="24">
        <f>SUM(G895)</f>
        <v>2237.5</v>
      </c>
      <c r="H894" s="24">
        <v>1817.2</v>
      </c>
      <c r="I894" s="24">
        <f t="shared" si="23"/>
        <v>81.21564245810056</v>
      </c>
    </row>
    <row r="895" spans="1:10" ht="50.25" customHeight="1">
      <c r="A895" s="226" t="s">
        <v>813</v>
      </c>
      <c r="B895" s="51"/>
      <c r="C895" s="35" t="s">
        <v>389</v>
      </c>
      <c r="D895" s="35" t="s">
        <v>665</v>
      </c>
      <c r="E895" s="35" t="s">
        <v>402</v>
      </c>
      <c r="F895" s="27" t="s">
        <v>1300</v>
      </c>
      <c r="G895" s="24">
        <v>2237.5</v>
      </c>
      <c r="H895" s="24"/>
      <c r="I895" s="24">
        <f t="shared" si="23"/>
        <v>0</v>
      </c>
      <c r="J895" s="160">
        <f>SUM('[1]ведомствен.2012'!G1575)</f>
        <v>2237.5</v>
      </c>
    </row>
    <row r="896" spans="1:10" ht="28.5" customHeight="1">
      <c r="A896" s="223" t="s">
        <v>894</v>
      </c>
      <c r="B896" s="21"/>
      <c r="C896" s="35" t="s">
        <v>389</v>
      </c>
      <c r="D896" s="35" t="s">
        <v>665</v>
      </c>
      <c r="E896" s="35" t="s">
        <v>1070</v>
      </c>
      <c r="F896" s="26"/>
      <c r="G896" s="24">
        <f>SUM(G897)</f>
        <v>34.5</v>
      </c>
      <c r="H896" s="24"/>
      <c r="I896" s="24">
        <f>SUM(H896/G896*100)</f>
        <v>0</v>
      </c>
      <c r="J896"/>
    </row>
    <row r="897" spans="1:10" ht="21" customHeight="1">
      <c r="A897" s="226" t="s">
        <v>895</v>
      </c>
      <c r="B897" s="21"/>
      <c r="C897" s="35" t="s">
        <v>389</v>
      </c>
      <c r="D897" s="35" t="s">
        <v>665</v>
      </c>
      <c r="E897" s="35" t="s">
        <v>1070</v>
      </c>
      <c r="F897" s="26" t="s">
        <v>238</v>
      </c>
      <c r="G897" s="24">
        <v>34.5</v>
      </c>
      <c r="H897" s="24" t="e">
        <f>SUM(#REF!)</f>
        <v>#REF!</v>
      </c>
      <c r="I897" s="24" t="e">
        <f>SUM(H897/G897*100)</f>
        <v>#REF!</v>
      </c>
      <c r="J897">
        <f>SUM('[1]ведомствен.2012'!G798)</f>
        <v>34.5</v>
      </c>
    </row>
    <row r="898" spans="1:10" ht="14.25" customHeight="1">
      <c r="A898" s="231" t="s">
        <v>458</v>
      </c>
      <c r="B898" s="21"/>
      <c r="C898" s="35" t="s">
        <v>389</v>
      </c>
      <c r="D898" s="35" t="s">
        <v>665</v>
      </c>
      <c r="E898" s="35" t="s">
        <v>459</v>
      </c>
      <c r="F898" s="26"/>
      <c r="G898" s="24">
        <f>SUM(G899)</f>
        <v>566</v>
      </c>
      <c r="H898" s="24">
        <f>SUM(H899)</f>
        <v>340</v>
      </c>
      <c r="I898" s="24">
        <f t="shared" si="23"/>
        <v>60.07067137809188</v>
      </c>
      <c r="J898"/>
    </row>
    <row r="899" spans="1:10" ht="42" customHeight="1">
      <c r="A899" s="286" t="s">
        <v>285</v>
      </c>
      <c r="B899" s="21"/>
      <c r="C899" s="35" t="s">
        <v>389</v>
      </c>
      <c r="D899" s="35" t="s">
        <v>665</v>
      </c>
      <c r="E899" s="35" t="s">
        <v>1345</v>
      </c>
      <c r="F899" s="26"/>
      <c r="G899" s="24">
        <f>SUM(G900)</f>
        <v>566</v>
      </c>
      <c r="H899" s="24">
        <f>SUM(H900)</f>
        <v>340</v>
      </c>
      <c r="I899" s="24">
        <f t="shared" si="23"/>
        <v>60.07067137809188</v>
      </c>
      <c r="J899"/>
    </row>
    <row r="900" spans="1:10" ht="30.75" customHeight="1">
      <c r="A900" s="226" t="s">
        <v>1126</v>
      </c>
      <c r="B900" s="21"/>
      <c r="C900" s="35" t="s">
        <v>389</v>
      </c>
      <c r="D900" s="35" t="s">
        <v>665</v>
      </c>
      <c r="E900" s="35" t="s">
        <v>1345</v>
      </c>
      <c r="F900" s="26" t="s">
        <v>978</v>
      </c>
      <c r="G900" s="24">
        <v>566</v>
      </c>
      <c r="H900" s="24">
        <v>340</v>
      </c>
      <c r="I900" s="24">
        <f t="shared" si="23"/>
        <v>60.07067137809188</v>
      </c>
      <c r="J900" s="160">
        <f>SUM('[1]ведомствен.2012'!G1578)</f>
        <v>566</v>
      </c>
    </row>
    <row r="901" spans="1:10" ht="14.25" customHeight="1" hidden="1">
      <c r="A901" s="294" t="s">
        <v>224</v>
      </c>
      <c r="B901" s="58"/>
      <c r="C901" s="35" t="s">
        <v>389</v>
      </c>
      <c r="D901" s="35" t="s">
        <v>1013</v>
      </c>
      <c r="E901" s="35"/>
      <c r="F901" s="26"/>
      <c r="G901" s="24">
        <f>SUM(G902)</f>
        <v>0</v>
      </c>
      <c r="H901" s="24">
        <f>SUM(H902)</f>
        <v>9494.7</v>
      </c>
      <c r="I901" s="24" t="e">
        <f t="shared" si="23"/>
        <v>#DIV/0!</v>
      </c>
      <c r="J901"/>
    </row>
    <row r="902" spans="1:10" ht="20.25" customHeight="1" hidden="1">
      <c r="A902" s="294" t="s">
        <v>225</v>
      </c>
      <c r="B902" s="58"/>
      <c r="C902" s="35" t="s">
        <v>389</v>
      </c>
      <c r="D902" s="35" t="s">
        <v>1013</v>
      </c>
      <c r="E902" s="35" t="s">
        <v>1178</v>
      </c>
      <c r="F902" s="26"/>
      <c r="G902" s="24">
        <f>SUM(G903)</f>
        <v>0</v>
      </c>
      <c r="H902" s="24">
        <f>SUM(H903)</f>
        <v>9494.7</v>
      </c>
      <c r="I902" s="24" t="e">
        <f t="shared" si="23"/>
        <v>#DIV/0!</v>
      </c>
      <c r="J902"/>
    </row>
    <row r="903" spans="1:10" ht="37.5" customHeight="1" hidden="1">
      <c r="A903" s="223" t="s">
        <v>894</v>
      </c>
      <c r="B903" s="58"/>
      <c r="C903" s="35" t="s">
        <v>389</v>
      </c>
      <c r="D903" s="35" t="s">
        <v>1013</v>
      </c>
      <c r="E903" s="35" t="s">
        <v>1179</v>
      </c>
      <c r="F903" s="26"/>
      <c r="G903" s="24">
        <f>SUM(G904:G905)</f>
        <v>0</v>
      </c>
      <c r="H903" s="24">
        <f>SUM(H904:H905)</f>
        <v>9494.7</v>
      </c>
      <c r="I903" s="24" t="e">
        <f t="shared" si="23"/>
        <v>#DIV/0!</v>
      </c>
      <c r="J903"/>
    </row>
    <row r="904" spans="1:10" ht="14.25" customHeight="1" hidden="1">
      <c r="A904" s="226" t="s">
        <v>895</v>
      </c>
      <c r="B904" s="58"/>
      <c r="C904" s="35" t="s">
        <v>389</v>
      </c>
      <c r="D904" s="35" t="s">
        <v>1013</v>
      </c>
      <c r="E904" s="35" t="s">
        <v>1179</v>
      </c>
      <c r="F904" s="26" t="s">
        <v>238</v>
      </c>
      <c r="G904" s="24"/>
      <c r="H904" s="24">
        <v>9494.7</v>
      </c>
      <c r="I904" s="24" t="e">
        <f t="shared" si="23"/>
        <v>#DIV/0!</v>
      </c>
      <c r="J904"/>
    </row>
    <row r="905" spans="1:10" ht="14.25" customHeight="1" hidden="1">
      <c r="A905" s="223" t="s">
        <v>282</v>
      </c>
      <c r="B905" s="21"/>
      <c r="C905" s="35" t="s">
        <v>389</v>
      </c>
      <c r="D905" s="35" t="s">
        <v>1013</v>
      </c>
      <c r="E905" s="35" t="s">
        <v>1341</v>
      </c>
      <c r="F905" s="26" t="s">
        <v>1342</v>
      </c>
      <c r="G905" s="24"/>
      <c r="H905" s="24"/>
      <c r="I905" s="24" t="e">
        <f t="shared" si="23"/>
        <v>#DIV/0!</v>
      </c>
      <c r="J905"/>
    </row>
    <row r="906" spans="1:10" ht="15">
      <c r="A906" s="226" t="s">
        <v>226</v>
      </c>
      <c r="B906" s="21"/>
      <c r="C906" s="35" t="s">
        <v>389</v>
      </c>
      <c r="D906" s="35" t="s">
        <v>1037</v>
      </c>
      <c r="E906" s="35"/>
      <c r="F906" s="26"/>
      <c r="G906" s="24">
        <f>SUM(G909+G913+G907)</f>
        <v>76077.3</v>
      </c>
      <c r="H906" s="24">
        <f>SUM(H909+H913+H907)</f>
        <v>40136</v>
      </c>
      <c r="I906" s="24">
        <f t="shared" si="23"/>
        <v>52.756867028666896</v>
      </c>
      <c r="J906"/>
    </row>
    <row r="907" spans="1:10" ht="15" hidden="1">
      <c r="A907" s="226" t="s">
        <v>545</v>
      </c>
      <c r="B907" s="21"/>
      <c r="C907" s="35" t="s">
        <v>389</v>
      </c>
      <c r="D907" s="35" t="s">
        <v>1037</v>
      </c>
      <c r="E907" s="35" t="s">
        <v>546</v>
      </c>
      <c r="F907" s="26"/>
      <c r="G907" s="24">
        <f>SUM(G908)</f>
        <v>0</v>
      </c>
      <c r="H907" s="24">
        <f>SUM(H908)</f>
        <v>60</v>
      </c>
      <c r="I907" s="24" t="e">
        <f t="shared" si="23"/>
        <v>#DIV/0!</v>
      </c>
      <c r="J907"/>
    </row>
    <row r="908" spans="1:10" ht="15" hidden="1">
      <c r="A908" s="226" t="s">
        <v>237</v>
      </c>
      <c r="B908" s="21"/>
      <c r="C908" s="35" t="s">
        <v>389</v>
      </c>
      <c r="D908" s="35" t="s">
        <v>1037</v>
      </c>
      <c r="E908" s="35" t="s">
        <v>546</v>
      </c>
      <c r="F908" s="26" t="s">
        <v>238</v>
      </c>
      <c r="G908" s="24"/>
      <c r="H908" s="24">
        <v>60</v>
      </c>
      <c r="I908" s="24" t="e">
        <f t="shared" si="23"/>
        <v>#DIV/0!</v>
      </c>
      <c r="J908"/>
    </row>
    <row r="909" spans="1:10" ht="15" customHeight="1">
      <c r="A909" s="223" t="s">
        <v>227</v>
      </c>
      <c r="B909" s="21"/>
      <c r="C909" s="35" t="s">
        <v>389</v>
      </c>
      <c r="D909" s="35" t="s">
        <v>1037</v>
      </c>
      <c r="E909" s="35" t="s">
        <v>228</v>
      </c>
      <c r="F909" s="26"/>
      <c r="G909" s="24">
        <f>SUM(G910)</f>
        <v>67038</v>
      </c>
      <c r="H909" s="24">
        <f>SUM(H910)</f>
        <v>34637.7</v>
      </c>
      <c r="I909" s="24">
        <f t="shared" si="23"/>
        <v>51.66875503445807</v>
      </c>
      <c r="J909"/>
    </row>
    <row r="910" spans="1:10" ht="30" customHeight="1">
      <c r="A910" s="223" t="s">
        <v>894</v>
      </c>
      <c r="B910" s="21"/>
      <c r="C910" s="35" t="s">
        <v>389</v>
      </c>
      <c r="D910" s="35" t="s">
        <v>1037</v>
      </c>
      <c r="E910" s="35" t="s">
        <v>229</v>
      </c>
      <c r="F910" s="26"/>
      <c r="G910" s="24">
        <f>SUM(G911:G912)</f>
        <v>67038</v>
      </c>
      <c r="H910" s="24">
        <f>SUM(H911:H912)</f>
        <v>34637.7</v>
      </c>
      <c r="I910" s="24">
        <f t="shared" si="23"/>
        <v>51.66875503445807</v>
      </c>
      <c r="J910"/>
    </row>
    <row r="911" spans="1:10" ht="17.25" customHeight="1">
      <c r="A911" s="226" t="s">
        <v>895</v>
      </c>
      <c r="B911" s="21"/>
      <c r="C911" s="35" t="s">
        <v>389</v>
      </c>
      <c r="D911" s="35" t="s">
        <v>1037</v>
      </c>
      <c r="E911" s="35" t="s">
        <v>229</v>
      </c>
      <c r="F911" s="26" t="s">
        <v>238</v>
      </c>
      <c r="G911" s="24">
        <v>67038</v>
      </c>
      <c r="H911" s="24">
        <v>34637.7</v>
      </c>
      <c r="I911" s="24">
        <f t="shared" si="23"/>
        <v>51.66875503445807</v>
      </c>
      <c r="J911" s="160">
        <f>SUM('[1]ведомствен.2012'!G1589)+'[1]ведомствен.2012'!G802</f>
        <v>67038</v>
      </c>
    </row>
    <row r="912" spans="1:10" ht="57" customHeight="1" hidden="1">
      <c r="A912" s="223" t="s">
        <v>282</v>
      </c>
      <c r="B912" s="21"/>
      <c r="C912" s="35" t="s">
        <v>389</v>
      </c>
      <c r="D912" s="35" t="s">
        <v>1037</v>
      </c>
      <c r="E912" s="35" t="s">
        <v>229</v>
      </c>
      <c r="F912" s="26" t="s">
        <v>1342</v>
      </c>
      <c r="G912" s="24"/>
      <c r="H912" s="24"/>
      <c r="I912" s="24" t="e">
        <f t="shared" si="23"/>
        <v>#DIV/0!</v>
      </c>
      <c r="J912"/>
    </row>
    <row r="913" spans="1:10" ht="27" customHeight="1">
      <c r="A913" s="231" t="s">
        <v>458</v>
      </c>
      <c r="B913" s="21"/>
      <c r="C913" s="35" t="s">
        <v>389</v>
      </c>
      <c r="D913" s="35" t="s">
        <v>1037</v>
      </c>
      <c r="E913" s="35" t="s">
        <v>459</v>
      </c>
      <c r="F913" s="26"/>
      <c r="G913" s="24">
        <f>SUM(G914)</f>
        <v>9039.3</v>
      </c>
      <c r="H913" s="24">
        <f>SUM(H914)</f>
        <v>5438.3</v>
      </c>
      <c r="I913" s="24">
        <f t="shared" si="23"/>
        <v>60.162844468045094</v>
      </c>
      <c r="J913"/>
    </row>
    <row r="914" spans="1:9" s="90" customFormat="1" ht="41.25" customHeight="1">
      <c r="A914" s="286" t="s">
        <v>285</v>
      </c>
      <c r="B914" s="21"/>
      <c r="C914" s="35" t="s">
        <v>389</v>
      </c>
      <c r="D914" s="35" t="s">
        <v>1037</v>
      </c>
      <c r="E914" s="35" t="s">
        <v>1345</v>
      </c>
      <c r="F914" s="26"/>
      <c r="G914" s="24">
        <f>SUM(G915)</f>
        <v>9039.3</v>
      </c>
      <c r="H914" s="24">
        <f>SUM(H915)</f>
        <v>5438.3</v>
      </c>
      <c r="I914" s="24">
        <f t="shared" si="23"/>
        <v>60.162844468045094</v>
      </c>
    </row>
    <row r="915" spans="1:10" ht="19.5" customHeight="1">
      <c r="A915" s="226" t="s">
        <v>895</v>
      </c>
      <c r="B915" s="21"/>
      <c r="C915" s="35" t="s">
        <v>389</v>
      </c>
      <c r="D915" s="35" t="s">
        <v>1037</v>
      </c>
      <c r="E915" s="35" t="s">
        <v>1345</v>
      </c>
      <c r="F915" s="26" t="s">
        <v>238</v>
      </c>
      <c r="G915" s="24">
        <v>9039.3</v>
      </c>
      <c r="H915" s="24">
        <v>5438.3</v>
      </c>
      <c r="I915" s="24">
        <f t="shared" si="23"/>
        <v>60.162844468045094</v>
      </c>
      <c r="J915" s="160">
        <f>SUM('[1]ведомствен.2012'!G1593)</f>
        <v>9039.3</v>
      </c>
    </row>
    <row r="916" spans="1:10" ht="15" hidden="1">
      <c r="A916" s="223" t="s">
        <v>230</v>
      </c>
      <c r="B916" s="21"/>
      <c r="C916" s="22" t="s">
        <v>389</v>
      </c>
      <c r="D916" s="22" t="s">
        <v>1039</v>
      </c>
      <c r="E916" s="22"/>
      <c r="F916" s="23"/>
      <c r="G916" s="24">
        <f>SUM(G919+G922+G917)</f>
        <v>0</v>
      </c>
      <c r="H916" s="24">
        <f>SUM(H919+H922+H917)</f>
        <v>1344.5</v>
      </c>
      <c r="I916" s="24" t="e">
        <f t="shared" si="23"/>
        <v>#DIV/0!</v>
      </c>
      <c r="J916"/>
    </row>
    <row r="917" spans="1:10" ht="15" hidden="1">
      <c r="A917" s="226" t="s">
        <v>545</v>
      </c>
      <c r="B917" s="21"/>
      <c r="C917" s="22" t="s">
        <v>389</v>
      </c>
      <c r="D917" s="22" t="s">
        <v>1039</v>
      </c>
      <c r="E917" s="35" t="s">
        <v>546</v>
      </c>
      <c r="F917" s="26"/>
      <c r="G917" s="24">
        <f>SUM(G918)</f>
        <v>0</v>
      </c>
      <c r="H917" s="24">
        <f>SUM(H918)</f>
        <v>79.5</v>
      </c>
      <c r="I917" s="24"/>
      <c r="J917"/>
    </row>
    <row r="918" spans="1:10" ht="15" hidden="1">
      <c r="A918" s="223" t="s">
        <v>1010</v>
      </c>
      <c r="B918" s="21"/>
      <c r="C918" s="22" t="s">
        <v>389</v>
      </c>
      <c r="D918" s="22" t="s">
        <v>1039</v>
      </c>
      <c r="E918" s="35" t="s">
        <v>546</v>
      </c>
      <c r="F918" s="26" t="s">
        <v>1011</v>
      </c>
      <c r="G918" s="24"/>
      <c r="H918" s="24">
        <v>79.5</v>
      </c>
      <c r="I918" s="24"/>
      <c r="J918"/>
    </row>
    <row r="919" spans="1:10" ht="28.5" hidden="1">
      <c r="A919" s="223" t="s">
        <v>1324</v>
      </c>
      <c r="B919" s="21"/>
      <c r="C919" s="22" t="s">
        <v>389</v>
      </c>
      <c r="D919" s="22" t="s">
        <v>1039</v>
      </c>
      <c r="E919" s="41" t="s">
        <v>1292</v>
      </c>
      <c r="F919" s="23"/>
      <c r="G919" s="24">
        <f>SUM(G920)</f>
        <v>0</v>
      </c>
      <c r="H919" s="24">
        <f>SUM(H920)</f>
        <v>1265</v>
      </c>
      <c r="I919" s="24" t="e">
        <f t="shared" si="23"/>
        <v>#DIV/0!</v>
      </c>
      <c r="J919"/>
    </row>
    <row r="920" spans="1:10" ht="26.25" customHeight="1" hidden="1">
      <c r="A920" s="223" t="s">
        <v>485</v>
      </c>
      <c r="B920" s="21"/>
      <c r="C920" s="22" t="s">
        <v>389</v>
      </c>
      <c r="D920" s="22" t="s">
        <v>1039</v>
      </c>
      <c r="E920" s="41" t="s">
        <v>1293</v>
      </c>
      <c r="F920" s="23"/>
      <c r="G920" s="24">
        <f>SUM(G921)</f>
        <v>0</v>
      </c>
      <c r="H920" s="24">
        <f>SUM(H921)</f>
        <v>1265</v>
      </c>
      <c r="I920" s="24" t="e">
        <f t="shared" si="23"/>
        <v>#DIV/0!</v>
      </c>
      <c r="J920"/>
    </row>
    <row r="921" spans="1:10" ht="15" customHeight="1" hidden="1">
      <c r="A921" s="223" t="s">
        <v>1010</v>
      </c>
      <c r="B921" s="21"/>
      <c r="C921" s="22" t="s">
        <v>389</v>
      </c>
      <c r="D921" s="22" t="s">
        <v>1039</v>
      </c>
      <c r="E921" s="41" t="s">
        <v>1293</v>
      </c>
      <c r="F921" s="23" t="s">
        <v>1011</v>
      </c>
      <c r="G921" s="24"/>
      <c r="H921" s="24">
        <v>1265</v>
      </c>
      <c r="I921" s="24" t="e">
        <f t="shared" si="23"/>
        <v>#DIV/0!</v>
      </c>
      <c r="J921"/>
    </row>
    <row r="922" spans="1:10" ht="15" hidden="1">
      <c r="A922" s="226" t="s">
        <v>1046</v>
      </c>
      <c r="B922" s="34"/>
      <c r="C922" s="22" t="s">
        <v>389</v>
      </c>
      <c r="D922" s="22" t="s">
        <v>1039</v>
      </c>
      <c r="E922" s="35" t="s">
        <v>1047</v>
      </c>
      <c r="F922" s="26"/>
      <c r="G922" s="24">
        <f>SUM(G923)</f>
        <v>0</v>
      </c>
      <c r="H922" s="24">
        <f>SUM(H923)</f>
        <v>0</v>
      </c>
      <c r="I922" s="24" t="e">
        <f t="shared" si="23"/>
        <v>#DIV/0!</v>
      </c>
      <c r="J922"/>
    </row>
    <row r="923" spans="1:10" ht="15.75" customHeight="1" hidden="1">
      <c r="A923" s="223" t="s">
        <v>1010</v>
      </c>
      <c r="B923" s="71"/>
      <c r="C923" s="22" t="s">
        <v>389</v>
      </c>
      <c r="D923" s="22" t="s">
        <v>1039</v>
      </c>
      <c r="E923" s="52" t="s">
        <v>1047</v>
      </c>
      <c r="F923" s="27" t="s">
        <v>1011</v>
      </c>
      <c r="G923" s="24">
        <f>SUM(G924)</f>
        <v>0</v>
      </c>
      <c r="H923" s="24">
        <f>SUM(H924)</f>
        <v>0</v>
      </c>
      <c r="I923" s="24" t="e">
        <f t="shared" si="23"/>
        <v>#DIV/0!</v>
      </c>
      <c r="J923"/>
    </row>
    <row r="924" spans="1:10" ht="28.5" customHeight="1" hidden="1">
      <c r="A924" s="223" t="s">
        <v>1325</v>
      </c>
      <c r="B924" s="21"/>
      <c r="C924" s="22" t="s">
        <v>389</v>
      </c>
      <c r="D924" s="22" t="s">
        <v>1039</v>
      </c>
      <c r="E924" s="52" t="s">
        <v>1326</v>
      </c>
      <c r="F924" s="27" t="s">
        <v>1011</v>
      </c>
      <c r="G924" s="24">
        <f>1738.6-1738.6</f>
        <v>0</v>
      </c>
      <c r="H924" s="24">
        <f>1738.6-1738.6</f>
        <v>0</v>
      </c>
      <c r="I924" s="24" t="e">
        <f t="shared" si="23"/>
        <v>#DIV/0!</v>
      </c>
      <c r="J924"/>
    </row>
    <row r="925" spans="1:10" ht="19.5" customHeight="1">
      <c r="A925" s="223" t="s">
        <v>1335</v>
      </c>
      <c r="B925" s="21"/>
      <c r="C925" s="35" t="s">
        <v>389</v>
      </c>
      <c r="D925" s="35" t="s">
        <v>389</v>
      </c>
      <c r="E925" s="35"/>
      <c r="F925" s="26"/>
      <c r="G925" s="24">
        <f>SUM(G926+G934+G941+G943+G939+G929+G931)</f>
        <v>190208.5</v>
      </c>
      <c r="H925" s="24">
        <f>SUM(H926+H934+H941+H943+H939)</f>
        <v>9403.5</v>
      </c>
      <c r="I925" s="24">
        <f t="shared" si="23"/>
        <v>4.9437853723676914</v>
      </c>
      <c r="J925"/>
    </row>
    <row r="926" spans="1:10" ht="47.25" customHeight="1">
      <c r="A926" s="277" t="s">
        <v>1270</v>
      </c>
      <c r="B926" s="34"/>
      <c r="C926" s="35" t="s">
        <v>389</v>
      </c>
      <c r="D926" s="35" t="s">
        <v>389</v>
      </c>
      <c r="E926" s="35" t="s">
        <v>1271</v>
      </c>
      <c r="F926" s="26"/>
      <c r="G926" s="24">
        <f>SUM(G927)</f>
        <v>118967</v>
      </c>
      <c r="H926" s="24"/>
      <c r="I926" s="24"/>
      <c r="J926"/>
    </row>
    <row r="927" spans="1:10" ht="18" customHeight="1">
      <c r="A927" s="226" t="s">
        <v>1126</v>
      </c>
      <c r="B927" s="34"/>
      <c r="C927" s="35" t="s">
        <v>389</v>
      </c>
      <c r="D927" s="35" t="s">
        <v>389</v>
      </c>
      <c r="E927" s="35" t="s">
        <v>1271</v>
      </c>
      <c r="F927" s="26" t="s">
        <v>978</v>
      </c>
      <c r="G927" s="24">
        <v>118967</v>
      </c>
      <c r="H927" s="24"/>
      <c r="I927" s="24"/>
      <c r="J927">
        <f>SUM('[1]ведомствен.2012'!G1598)</f>
        <v>118967</v>
      </c>
    </row>
    <row r="928" spans="1:10" ht="21.75" customHeight="1" hidden="1">
      <c r="A928" s="223" t="s">
        <v>1010</v>
      </c>
      <c r="B928" s="21"/>
      <c r="C928" s="35" t="s">
        <v>389</v>
      </c>
      <c r="D928" s="35" t="s">
        <v>389</v>
      </c>
      <c r="E928" s="22" t="s">
        <v>1016</v>
      </c>
      <c r="F928" s="23" t="s">
        <v>1011</v>
      </c>
      <c r="G928" s="24"/>
      <c r="H928" s="141"/>
      <c r="I928" s="24"/>
      <c r="J928"/>
    </row>
    <row r="929" spans="1:10" ht="15" hidden="1">
      <c r="A929" s="226" t="s">
        <v>545</v>
      </c>
      <c r="B929" s="21"/>
      <c r="C929" s="35" t="s">
        <v>389</v>
      </c>
      <c r="D929" s="35" t="s">
        <v>389</v>
      </c>
      <c r="E929" s="35" t="s">
        <v>546</v>
      </c>
      <c r="F929" s="26"/>
      <c r="G929" s="24">
        <f>SUM(G930)</f>
        <v>0</v>
      </c>
      <c r="H929" s="24">
        <f>SUM(H930)</f>
        <v>79.5</v>
      </c>
      <c r="I929" s="24"/>
      <c r="J929"/>
    </row>
    <row r="930" spans="1:10" ht="15" hidden="1">
      <c r="A930" s="223" t="s">
        <v>1010</v>
      </c>
      <c r="B930" s="21"/>
      <c r="C930" s="35" t="s">
        <v>389</v>
      </c>
      <c r="D930" s="35" t="s">
        <v>389</v>
      </c>
      <c r="E930" s="35" t="s">
        <v>546</v>
      </c>
      <c r="F930" s="26" t="s">
        <v>1011</v>
      </c>
      <c r="G930" s="24"/>
      <c r="H930" s="24">
        <v>79.5</v>
      </c>
      <c r="I930" s="24"/>
      <c r="J930"/>
    </row>
    <row r="931" spans="1:10" ht="28.5" hidden="1">
      <c r="A931" s="286" t="s">
        <v>1021</v>
      </c>
      <c r="B931" s="21"/>
      <c r="C931" s="35" t="s">
        <v>389</v>
      </c>
      <c r="D931" s="35" t="s">
        <v>389</v>
      </c>
      <c r="E931" s="22" t="s">
        <v>1022</v>
      </c>
      <c r="F931" s="27"/>
      <c r="G931" s="24">
        <f>SUM(G933)</f>
        <v>0</v>
      </c>
      <c r="H931" s="24">
        <f>SUM(H933)</f>
        <v>186.6</v>
      </c>
      <c r="I931" s="24" t="e">
        <f>SUM(H931/G931*100)</f>
        <v>#DIV/0!</v>
      </c>
      <c r="J931"/>
    </row>
    <row r="932" spans="1:10" ht="15.75" customHeight="1" hidden="1">
      <c r="A932" s="286" t="s">
        <v>1023</v>
      </c>
      <c r="B932" s="21"/>
      <c r="C932" s="35" t="s">
        <v>389</v>
      </c>
      <c r="D932" s="35" t="s">
        <v>389</v>
      </c>
      <c r="E932" s="22" t="s">
        <v>241</v>
      </c>
      <c r="F932" s="27"/>
      <c r="G932" s="24">
        <f>SUM(G933)</f>
        <v>0</v>
      </c>
      <c r="H932" s="24">
        <f>SUM(H933)</f>
        <v>186.6</v>
      </c>
      <c r="I932" s="24" t="e">
        <f>SUM(H932/G932*100)</f>
        <v>#DIV/0!</v>
      </c>
      <c r="J932"/>
    </row>
    <row r="933" spans="1:10" ht="17.25" customHeight="1" hidden="1">
      <c r="A933" s="223" t="s">
        <v>1010</v>
      </c>
      <c r="B933" s="21"/>
      <c r="C933" s="35" t="s">
        <v>389</v>
      </c>
      <c r="D933" s="35" t="s">
        <v>389</v>
      </c>
      <c r="E933" s="22" t="s">
        <v>241</v>
      </c>
      <c r="F933" s="27" t="s">
        <v>1011</v>
      </c>
      <c r="G933" s="24"/>
      <c r="H933" s="24">
        <v>186.6</v>
      </c>
      <c r="I933" s="24" t="e">
        <f>SUM(H933/G933*100)</f>
        <v>#DIV/0!</v>
      </c>
      <c r="J933"/>
    </row>
    <row r="934" spans="1:10" ht="28.5">
      <c r="A934" s="277" t="s">
        <v>1175</v>
      </c>
      <c r="B934" s="21"/>
      <c r="C934" s="35" t="s">
        <v>389</v>
      </c>
      <c r="D934" s="35" t="s">
        <v>389</v>
      </c>
      <c r="E934" s="35" t="s">
        <v>1176</v>
      </c>
      <c r="F934" s="26"/>
      <c r="G934" s="24">
        <f>SUM(G935)</f>
        <v>11408.8</v>
      </c>
      <c r="H934" s="24">
        <f>SUM(H935)</f>
        <v>6864.8</v>
      </c>
      <c r="I934" s="24">
        <f aca="true" t="shared" si="24" ref="I934:I1010">SUM(H934/G934*100)</f>
        <v>60.17109599607321</v>
      </c>
      <c r="J934"/>
    </row>
    <row r="935" spans="1:10" ht="29.25" customHeight="1">
      <c r="A935" s="223" t="s">
        <v>894</v>
      </c>
      <c r="B935" s="21"/>
      <c r="C935" s="35" t="s">
        <v>389</v>
      </c>
      <c r="D935" s="35" t="s">
        <v>389</v>
      </c>
      <c r="E935" s="35" t="s">
        <v>1177</v>
      </c>
      <c r="F935" s="26"/>
      <c r="G935" s="24">
        <f>SUM(G936:G937)</f>
        <v>11408.8</v>
      </c>
      <c r="H935" s="24">
        <f>SUM(H936:H937)</f>
        <v>6864.8</v>
      </c>
      <c r="I935" s="24">
        <f t="shared" si="24"/>
        <v>60.17109599607321</v>
      </c>
      <c r="J935"/>
    </row>
    <row r="936" spans="1:10" ht="18.75" customHeight="1">
      <c r="A936" s="226" t="s">
        <v>895</v>
      </c>
      <c r="B936" s="21"/>
      <c r="C936" s="35" t="s">
        <v>389</v>
      </c>
      <c r="D936" s="35" t="s">
        <v>389</v>
      </c>
      <c r="E936" s="35" t="s">
        <v>1177</v>
      </c>
      <c r="F936" s="26" t="s">
        <v>238</v>
      </c>
      <c r="G936" s="24">
        <v>11408.8</v>
      </c>
      <c r="H936" s="24">
        <v>6864.8</v>
      </c>
      <c r="I936" s="24">
        <f t="shared" si="24"/>
        <v>60.17109599607321</v>
      </c>
      <c r="J936" s="160">
        <f>SUM('[1]ведомствен.2012'!G1601)+'[1]ведомствен.2012'!G806</f>
        <v>11408.800000000001</v>
      </c>
    </row>
    <row r="937" spans="1:10" ht="18" customHeight="1" hidden="1">
      <c r="A937" s="223" t="s">
        <v>282</v>
      </c>
      <c r="B937" s="21"/>
      <c r="C937" s="35" t="s">
        <v>389</v>
      </c>
      <c r="D937" s="35" t="s">
        <v>389</v>
      </c>
      <c r="E937" s="35" t="s">
        <v>1177</v>
      </c>
      <c r="F937" s="26" t="s">
        <v>1342</v>
      </c>
      <c r="G937" s="24"/>
      <c r="H937" s="24"/>
      <c r="I937" s="24" t="e">
        <f t="shared" si="24"/>
        <v>#DIV/0!</v>
      </c>
      <c r="J937"/>
    </row>
    <row r="938" spans="1:10" ht="15" customHeight="1" hidden="1">
      <c r="A938" s="223" t="s">
        <v>785</v>
      </c>
      <c r="B938" s="21"/>
      <c r="C938" s="35" t="s">
        <v>389</v>
      </c>
      <c r="D938" s="35" t="s">
        <v>389</v>
      </c>
      <c r="E938" s="35" t="s">
        <v>786</v>
      </c>
      <c r="F938" s="26"/>
      <c r="G938" s="24">
        <f>SUM(G939+G941)</f>
        <v>0</v>
      </c>
      <c r="H938" s="24">
        <f>SUM(H939+H941)</f>
        <v>0</v>
      </c>
      <c r="I938" s="24" t="e">
        <f t="shared" si="24"/>
        <v>#DIV/0!</v>
      </c>
      <c r="J938"/>
    </row>
    <row r="939" spans="1:10" ht="29.25" customHeight="1" hidden="1">
      <c r="A939" s="226" t="s">
        <v>284</v>
      </c>
      <c r="B939" s="51"/>
      <c r="C939" s="35" t="s">
        <v>389</v>
      </c>
      <c r="D939" s="35" t="s">
        <v>389</v>
      </c>
      <c r="E939" s="35" t="s">
        <v>355</v>
      </c>
      <c r="F939" s="27"/>
      <c r="G939" s="24">
        <f>SUM(G940)</f>
        <v>0</v>
      </c>
      <c r="H939" s="24">
        <f>SUM(H940)</f>
        <v>0</v>
      </c>
      <c r="I939" s="24" t="e">
        <f t="shared" si="24"/>
        <v>#DIV/0!</v>
      </c>
      <c r="J939"/>
    </row>
    <row r="940" spans="1:10" ht="29.25" customHeight="1" hidden="1">
      <c r="A940" s="223" t="s">
        <v>485</v>
      </c>
      <c r="B940" s="51"/>
      <c r="C940" s="35" t="s">
        <v>389</v>
      </c>
      <c r="D940" s="35" t="s">
        <v>389</v>
      </c>
      <c r="E940" s="35" t="s">
        <v>355</v>
      </c>
      <c r="F940" s="27" t="s">
        <v>354</v>
      </c>
      <c r="G940" s="24"/>
      <c r="H940" s="24"/>
      <c r="I940" s="24" t="e">
        <f t="shared" si="24"/>
        <v>#DIV/0!</v>
      </c>
      <c r="J940"/>
    </row>
    <row r="941" spans="1:10" ht="31.5" customHeight="1" hidden="1">
      <c r="A941" s="223" t="s">
        <v>1327</v>
      </c>
      <c r="B941" s="21"/>
      <c r="C941" s="35" t="s">
        <v>389</v>
      </c>
      <c r="D941" s="35" t="s">
        <v>389</v>
      </c>
      <c r="E941" s="35" t="s">
        <v>1328</v>
      </c>
      <c r="F941" s="26"/>
      <c r="G941" s="24">
        <f>SUM(G942)</f>
        <v>0</v>
      </c>
      <c r="H941" s="24">
        <f>SUM(H942)</f>
        <v>0</v>
      </c>
      <c r="I941" s="24" t="e">
        <f t="shared" si="24"/>
        <v>#DIV/0!</v>
      </c>
      <c r="J941"/>
    </row>
    <row r="942" spans="1:10" ht="28.5" customHeight="1" hidden="1">
      <c r="A942" s="223" t="s">
        <v>485</v>
      </c>
      <c r="B942" s="21"/>
      <c r="C942" s="35" t="s">
        <v>389</v>
      </c>
      <c r="D942" s="35" t="s">
        <v>389</v>
      </c>
      <c r="E942" s="35" t="s">
        <v>1328</v>
      </c>
      <c r="F942" s="26" t="s">
        <v>354</v>
      </c>
      <c r="G942" s="24"/>
      <c r="H942" s="24"/>
      <c r="I942" s="24" t="e">
        <f t="shared" si="24"/>
        <v>#DIV/0!</v>
      </c>
      <c r="J942"/>
    </row>
    <row r="943" spans="1:10" ht="16.5" customHeight="1">
      <c r="A943" s="226" t="s">
        <v>1046</v>
      </c>
      <c r="B943" s="34"/>
      <c r="C943" s="35" t="s">
        <v>389</v>
      </c>
      <c r="D943" s="35" t="s">
        <v>389</v>
      </c>
      <c r="E943" s="35" t="s">
        <v>1047</v>
      </c>
      <c r="F943" s="26"/>
      <c r="G943" s="24">
        <f>SUM(G953+G955+G957)+G959</f>
        <v>59832.69999999999</v>
      </c>
      <c r="H943" s="24">
        <f>SUM(H945+H960)+H954+H956+H965+H966</f>
        <v>2538.7</v>
      </c>
      <c r="I943" s="24">
        <f t="shared" si="24"/>
        <v>4.242997558191424</v>
      </c>
      <c r="J943"/>
    </row>
    <row r="944" spans="1:10" ht="27" customHeight="1" hidden="1">
      <c r="A944" s="223" t="s">
        <v>485</v>
      </c>
      <c r="B944" s="34"/>
      <c r="C944" s="35" t="s">
        <v>389</v>
      </c>
      <c r="D944" s="35" t="s">
        <v>389</v>
      </c>
      <c r="E944" s="35" t="s">
        <v>1047</v>
      </c>
      <c r="F944" s="26" t="s">
        <v>354</v>
      </c>
      <c r="G944" s="24"/>
      <c r="H944" s="24"/>
      <c r="I944" s="24" t="e">
        <f t="shared" si="24"/>
        <v>#DIV/0!</v>
      </c>
      <c r="J944"/>
    </row>
    <row r="945" spans="1:10" ht="15" customHeight="1" hidden="1">
      <c r="A945" s="223" t="s">
        <v>1329</v>
      </c>
      <c r="B945" s="34"/>
      <c r="C945" s="35" t="s">
        <v>389</v>
      </c>
      <c r="D945" s="35" t="s">
        <v>389</v>
      </c>
      <c r="E945" s="35" t="s">
        <v>1330</v>
      </c>
      <c r="F945" s="26"/>
      <c r="G945" s="24">
        <f>SUM(G946:G947)</f>
        <v>0</v>
      </c>
      <c r="H945" s="24">
        <f>SUM(H946:H947)</f>
        <v>0</v>
      </c>
      <c r="I945" s="24" t="e">
        <f t="shared" si="24"/>
        <v>#DIV/0!</v>
      </c>
      <c r="J945"/>
    </row>
    <row r="946" spans="1:10" ht="15" customHeight="1" hidden="1">
      <c r="A946" s="220" t="s">
        <v>917</v>
      </c>
      <c r="B946" s="21"/>
      <c r="C946" s="35" t="s">
        <v>389</v>
      </c>
      <c r="D946" s="35" t="s">
        <v>389</v>
      </c>
      <c r="E946" s="35" t="s">
        <v>1330</v>
      </c>
      <c r="F946" s="26" t="s">
        <v>1054</v>
      </c>
      <c r="G946" s="24"/>
      <c r="H946" s="24"/>
      <c r="I946" s="24" t="e">
        <f t="shared" si="24"/>
        <v>#DIV/0!</v>
      </c>
      <c r="J946"/>
    </row>
    <row r="947" spans="1:9" s="73" customFormat="1" ht="21.75" customHeight="1" hidden="1">
      <c r="A947" s="223" t="s">
        <v>485</v>
      </c>
      <c r="B947" s="91"/>
      <c r="C947" s="35" t="s">
        <v>389</v>
      </c>
      <c r="D947" s="35" t="s">
        <v>389</v>
      </c>
      <c r="E947" s="35" t="s">
        <v>1330</v>
      </c>
      <c r="F947" s="26" t="s">
        <v>354</v>
      </c>
      <c r="G947" s="49"/>
      <c r="H947" s="49"/>
      <c r="I947" s="24" t="e">
        <f t="shared" si="24"/>
        <v>#DIV/0!</v>
      </c>
    </row>
    <row r="948" spans="1:10" ht="18.75" customHeight="1" hidden="1">
      <c r="A948" s="223" t="s">
        <v>1010</v>
      </c>
      <c r="B948" s="71"/>
      <c r="C948" s="35" t="s">
        <v>389</v>
      </c>
      <c r="D948" s="35" t="s">
        <v>389</v>
      </c>
      <c r="E948" s="35" t="s">
        <v>1330</v>
      </c>
      <c r="F948" s="27" t="s">
        <v>1011</v>
      </c>
      <c r="G948" s="24"/>
      <c r="H948" s="24"/>
      <c r="I948" s="24" t="e">
        <f t="shared" si="24"/>
        <v>#DIV/0!</v>
      </c>
      <c r="J948"/>
    </row>
    <row r="949" spans="1:10" ht="27.75" customHeight="1" hidden="1">
      <c r="A949" s="223" t="s">
        <v>485</v>
      </c>
      <c r="B949" s="71"/>
      <c r="C949" s="35" t="s">
        <v>389</v>
      </c>
      <c r="D949" s="35" t="s">
        <v>389</v>
      </c>
      <c r="E949" s="31" t="s">
        <v>1047</v>
      </c>
      <c r="F949" s="88" t="s">
        <v>354</v>
      </c>
      <c r="G949" s="24"/>
      <c r="H949" s="24">
        <f>SUM(H954,H956,H965)</f>
        <v>1496.4</v>
      </c>
      <c r="I949" s="24" t="e">
        <f t="shared" si="24"/>
        <v>#DIV/0!</v>
      </c>
      <c r="J949"/>
    </row>
    <row r="950" spans="1:10" ht="26.25" customHeight="1" hidden="1">
      <c r="A950" s="223" t="s">
        <v>382</v>
      </c>
      <c r="B950" s="91"/>
      <c r="C950" s="35" t="s">
        <v>389</v>
      </c>
      <c r="D950" s="35" t="s">
        <v>389</v>
      </c>
      <c r="E950" s="35" t="s">
        <v>383</v>
      </c>
      <c r="F950" s="26"/>
      <c r="G950" s="49">
        <f>SUM(G951)</f>
        <v>0</v>
      </c>
      <c r="H950" s="49"/>
      <c r="I950" s="24"/>
      <c r="J950"/>
    </row>
    <row r="951" spans="1:10" ht="23.25" customHeight="1" hidden="1">
      <c r="A951" s="223" t="s">
        <v>796</v>
      </c>
      <c r="B951" s="91"/>
      <c r="C951" s="35" t="s">
        <v>389</v>
      </c>
      <c r="D951" s="35" t="s">
        <v>389</v>
      </c>
      <c r="E951" s="35" t="s">
        <v>383</v>
      </c>
      <c r="F951" s="26" t="s">
        <v>797</v>
      </c>
      <c r="G951" s="49"/>
      <c r="H951" s="49"/>
      <c r="I951" s="24"/>
      <c r="J951"/>
    </row>
    <row r="952" spans="1:10" ht="36.75" customHeight="1">
      <c r="A952" s="223" t="s">
        <v>286</v>
      </c>
      <c r="B952" s="91"/>
      <c r="C952" s="35" t="s">
        <v>389</v>
      </c>
      <c r="D952" s="35" t="s">
        <v>389</v>
      </c>
      <c r="E952" s="35" t="s">
        <v>574</v>
      </c>
      <c r="F952" s="26"/>
      <c r="G952" s="49">
        <f>SUM(G953)</f>
        <v>50093.1</v>
      </c>
      <c r="H952" s="49"/>
      <c r="I952" s="24"/>
      <c r="J952"/>
    </row>
    <row r="953" spans="1:10" ht="28.5" customHeight="1">
      <c r="A953" s="226" t="s">
        <v>1126</v>
      </c>
      <c r="B953" s="21"/>
      <c r="C953" s="35" t="s">
        <v>389</v>
      </c>
      <c r="D953" s="35" t="s">
        <v>389</v>
      </c>
      <c r="E953" s="35" t="s">
        <v>574</v>
      </c>
      <c r="F953" s="27" t="s">
        <v>978</v>
      </c>
      <c r="G953" s="24">
        <v>50093.1</v>
      </c>
      <c r="H953" s="24">
        <v>340</v>
      </c>
      <c r="I953" s="24">
        <f>SUM(H953/G953*100)</f>
        <v>0.6787361932082463</v>
      </c>
      <c r="J953">
        <f>SUM('[1]ведомствен.2012'!G1614)</f>
        <v>50093.1</v>
      </c>
    </row>
    <row r="954" spans="1:10" s="89" customFormat="1" ht="42.75">
      <c r="A954" s="274" t="s">
        <v>735</v>
      </c>
      <c r="B954" s="92"/>
      <c r="C954" s="31" t="s">
        <v>389</v>
      </c>
      <c r="D954" s="35" t="s">
        <v>389</v>
      </c>
      <c r="E954" s="31" t="s">
        <v>509</v>
      </c>
      <c r="F954" s="88"/>
      <c r="G954" s="49">
        <f>SUM(G955)</f>
        <v>4661.2</v>
      </c>
      <c r="H954" s="49">
        <v>1424.2</v>
      </c>
      <c r="I954" s="24">
        <f t="shared" si="24"/>
        <v>30.55436368317172</v>
      </c>
      <c r="J954" s="164"/>
    </row>
    <row r="955" spans="1:10" s="89" customFormat="1" ht="28.5">
      <c r="A955" s="226" t="s">
        <v>1126</v>
      </c>
      <c r="B955" s="92"/>
      <c r="C955" s="31" t="s">
        <v>389</v>
      </c>
      <c r="D955" s="35" t="s">
        <v>389</v>
      </c>
      <c r="E955" s="31" t="s">
        <v>509</v>
      </c>
      <c r="F955" s="27" t="s">
        <v>978</v>
      </c>
      <c r="G955" s="49">
        <v>4661.2</v>
      </c>
      <c r="H955" s="49"/>
      <c r="I955" s="24"/>
      <c r="J955" s="164">
        <f>SUM('[1]ведомствен.2012'!G1616)</f>
        <v>4661.2</v>
      </c>
    </row>
    <row r="956" spans="1:10" s="89" customFormat="1" ht="45" customHeight="1">
      <c r="A956" s="274" t="s">
        <v>738</v>
      </c>
      <c r="B956" s="92"/>
      <c r="C956" s="31" t="s">
        <v>389</v>
      </c>
      <c r="D956" s="35" t="s">
        <v>389</v>
      </c>
      <c r="E956" s="31" t="s">
        <v>510</v>
      </c>
      <c r="F956" s="88"/>
      <c r="G956" s="49">
        <f>SUM(G957)</f>
        <v>308.2</v>
      </c>
      <c r="H956" s="49">
        <v>67.2</v>
      </c>
      <c r="I956" s="24">
        <f t="shared" si="24"/>
        <v>21.804023361453602</v>
      </c>
      <c r="J956" s="164"/>
    </row>
    <row r="957" spans="1:10" s="89" customFormat="1" ht="32.25" customHeight="1">
      <c r="A957" s="226" t="s">
        <v>1126</v>
      </c>
      <c r="B957" s="92"/>
      <c r="C957" s="31" t="s">
        <v>389</v>
      </c>
      <c r="D957" s="35" t="s">
        <v>389</v>
      </c>
      <c r="E957" s="31" t="s">
        <v>510</v>
      </c>
      <c r="F957" s="27" t="s">
        <v>978</v>
      </c>
      <c r="G957" s="49">
        <v>308.2</v>
      </c>
      <c r="H957" s="49"/>
      <c r="I957" s="24"/>
      <c r="J957" s="164">
        <f>SUM('[1]ведомствен.2012'!G1618)</f>
        <v>308.2</v>
      </c>
    </row>
    <row r="958" spans="1:10" ht="47.25" customHeight="1">
      <c r="A958" s="226" t="s">
        <v>739</v>
      </c>
      <c r="B958" s="92"/>
      <c r="C958" s="31" t="s">
        <v>389</v>
      </c>
      <c r="D958" s="35" t="s">
        <v>389</v>
      </c>
      <c r="E958" s="31" t="s">
        <v>1106</v>
      </c>
      <c r="F958" s="27"/>
      <c r="G958" s="49">
        <f>SUM(G959)</f>
        <v>4770.2</v>
      </c>
      <c r="H958" s="49"/>
      <c r="I958" s="24"/>
      <c r="J958"/>
    </row>
    <row r="959" spans="1:10" ht="29.25" customHeight="1">
      <c r="A959" s="226" t="s">
        <v>1126</v>
      </c>
      <c r="B959" s="92"/>
      <c r="C959" s="31" t="s">
        <v>389</v>
      </c>
      <c r="D959" s="35" t="s">
        <v>389</v>
      </c>
      <c r="E959" s="31" t="s">
        <v>1106</v>
      </c>
      <c r="F959" s="27" t="s">
        <v>978</v>
      </c>
      <c r="G959" s="49">
        <v>4770.2</v>
      </c>
      <c r="H959" s="49"/>
      <c r="I959" s="24"/>
      <c r="J959">
        <f>SUM('[1]ведомствен.2012'!G1620)</f>
        <v>4770.2</v>
      </c>
    </row>
    <row r="960" spans="1:9" s="89" customFormat="1" ht="28.5" hidden="1">
      <c r="A960" s="274" t="s">
        <v>511</v>
      </c>
      <c r="B960" s="92"/>
      <c r="C960" s="35" t="s">
        <v>389</v>
      </c>
      <c r="D960" s="35" t="s">
        <v>389</v>
      </c>
      <c r="E960" s="31" t="s">
        <v>959</v>
      </c>
      <c r="F960" s="88" t="s">
        <v>354</v>
      </c>
      <c r="G960" s="49"/>
      <c r="H960" s="49"/>
      <c r="I960" s="24" t="e">
        <f t="shared" si="24"/>
        <v>#DIV/0!</v>
      </c>
    </row>
    <row r="961" spans="1:9" s="89" customFormat="1" ht="28.5" hidden="1">
      <c r="A961" s="274" t="s">
        <v>960</v>
      </c>
      <c r="B961" s="92"/>
      <c r="C961" s="35" t="s">
        <v>389</v>
      </c>
      <c r="D961" s="35" t="s">
        <v>389</v>
      </c>
      <c r="E961" s="31" t="s">
        <v>961</v>
      </c>
      <c r="F961" s="88" t="s">
        <v>354</v>
      </c>
      <c r="G961" s="49"/>
      <c r="H961" s="49"/>
      <c r="I961" s="24" t="e">
        <f t="shared" si="24"/>
        <v>#DIV/0!</v>
      </c>
    </row>
    <row r="962" spans="1:9" s="89" customFormat="1" ht="28.5" hidden="1">
      <c r="A962" s="223" t="s">
        <v>485</v>
      </c>
      <c r="B962" s="21"/>
      <c r="C962" s="35" t="s">
        <v>389</v>
      </c>
      <c r="D962" s="35" t="s">
        <v>389</v>
      </c>
      <c r="E962" s="35" t="s">
        <v>513</v>
      </c>
      <c r="F962" s="88" t="s">
        <v>354</v>
      </c>
      <c r="G962" s="49"/>
      <c r="H962" s="49"/>
      <c r="I962" s="24" t="e">
        <f t="shared" si="24"/>
        <v>#DIV/0!</v>
      </c>
    </row>
    <row r="963" spans="1:9" s="89" customFormat="1" ht="57" hidden="1">
      <c r="A963" s="231" t="s">
        <v>1193</v>
      </c>
      <c r="B963" s="21"/>
      <c r="C963" s="35" t="s">
        <v>389</v>
      </c>
      <c r="D963" s="35" t="s">
        <v>389</v>
      </c>
      <c r="E963" s="35" t="s">
        <v>1194</v>
      </c>
      <c r="F963" s="88" t="s">
        <v>354</v>
      </c>
      <c r="G963" s="49">
        <f>SUM('[2]Ведомств.'!F701)</f>
        <v>0</v>
      </c>
      <c r="H963" s="49">
        <f>SUM('[2]Ведомств.'!G701)</f>
        <v>0</v>
      </c>
      <c r="I963" s="24" t="e">
        <f t="shared" si="24"/>
        <v>#DIV/0!</v>
      </c>
    </row>
    <row r="964" spans="1:9" s="89" customFormat="1" ht="30.75" customHeight="1" hidden="1">
      <c r="A964" s="231" t="s">
        <v>1195</v>
      </c>
      <c r="B964" s="21"/>
      <c r="C964" s="35" t="s">
        <v>389</v>
      </c>
      <c r="D964" s="35" t="s">
        <v>389</v>
      </c>
      <c r="E964" s="35" t="s">
        <v>1330</v>
      </c>
      <c r="F964" s="88"/>
      <c r="G964" s="49">
        <f>SUM(G965)</f>
        <v>0</v>
      </c>
      <c r="H964" s="49">
        <f>SUM(H965)</f>
        <v>5</v>
      </c>
      <c r="I964" s="24" t="e">
        <f t="shared" si="24"/>
        <v>#DIV/0!</v>
      </c>
    </row>
    <row r="965" spans="1:9" s="89" customFormat="1" ht="30.75" customHeight="1" hidden="1">
      <c r="A965" s="231" t="s">
        <v>485</v>
      </c>
      <c r="B965" s="21"/>
      <c r="C965" s="35" t="s">
        <v>389</v>
      </c>
      <c r="D965" s="35" t="s">
        <v>389</v>
      </c>
      <c r="E965" s="35" t="s">
        <v>1330</v>
      </c>
      <c r="F965" s="88" t="s">
        <v>354</v>
      </c>
      <c r="G965" s="49"/>
      <c r="H965" s="49">
        <v>5</v>
      </c>
      <c r="I965" s="24" t="e">
        <f t="shared" si="24"/>
        <v>#DIV/0!</v>
      </c>
    </row>
    <row r="966" spans="1:9" s="89" customFormat="1" ht="30.75" customHeight="1" hidden="1">
      <c r="A966" s="231" t="s">
        <v>1196</v>
      </c>
      <c r="B966" s="21"/>
      <c r="C966" s="35" t="s">
        <v>389</v>
      </c>
      <c r="D966" s="35" t="s">
        <v>389</v>
      </c>
      <c r="E966" s="35" t="s">
        <v>886</v>
      </c>
      <c r="F966" s="88"/>
      <c r="G966" s="49">
        <f>SUM(G967)</f>
        <v>0</v>
      </c>
      <c r="H966" s="49">
        <f>SUM(H967)</f>
        <v>1042.3</v>
      </c>
      <c r="I966" s="24" t="e">
        <f t="shared" si="24"/>
        <v>#DIV/0!</v>
      </c>
    </row>
    <row r="967" spans="1:9" s="89" customFormat="1" ht="21.75" customHeight="1" hidden="1">
      <c r="A967" s="231" t="s">
        <v>1053</v>
      </c>
      <c r="B967" s="21"/>
      <c r="C967" s="35" t="s">
        <v>389</v>
      </c>
      <c r="D967" s="35" t="s">
        <v>389</v>
      </c>
      <c r="E967" s="35" t="s">
        <v>886</v>
      </c>
      <c r="F967" s="88" t="s">
        <v>1054</v>
      </c>
      <c r="G967" s="49"/>
      <c r="H967" s="49">
        <v>1042.3</v>
      </c>
      <c r="I967" s="24" t="e">
        <f t="shared" si="24"/>
        <v>#DIV/0!</v>
      </c>
    </row>
    <row r="968" spans="1:11" s="93" customFormat="1" ht="21.75" customHeight="1">
      <c r="A968" s="287" t="s">
        <v>1197</v>
      </c>
      <c r="B968" s="37"/>
      <c r="C968" s="54" t="s">
        <v>793</v>
      </c>
      <c r="D968" s="54" t="s">
        <v>1198</v>
      </c>
      <c r="E968" s="54"/>
      <c r="F968" s="55"/>
      <c r="G968" s="40">
        <f>SUM(G969+G973+G984+G1106+G1125)</f>
        <v>797204.3</v>
      </c>
      <c r="H968" s="40" t="e">
        <f>SUM(H969+H973+H984+H1106+H1125)</f>
        <v>#REF!</v>
      </c>
      <c r="I968" s="40" t="e">
        <f t="shared" si="24"/>
        <v>#REF!</v>
      </c>
      <c r="K968" s="93">
        <f>SUM(J969:J1148)</f>
        <v>797204.3</v>
      </c>
    </row>
    <row r="969" spans="1:9" s="36" customFormat="1" ht="15">
      <c r="A969" s="274" t="s">
        <v>1199</v>
      </c>
      <c r="B969" s="21"/>
      <c r="C969" s="72" t="s">
        <v>793</v>
      </c>
      <c r="D969" s="72" t="s">
        <v>663</v>
      </c>
      <c r="E969" s="72"/>
      <c r="F969" s="44"/>
      <c r="G969" s="49">
        <f aca="true" t="shared" si="25" ref="G969:H971">SUM(G970)</f>
        <v>3199.4</v>
      </c>
      <c r="H969" s="49">
        <f t="shared" si="25"/>
        <v>1203.5</v>
      </c>
      <c r="I969" s="24">
        <f t="shared" si="24"/>
        <v>37.616428080265045</v>
      </c>
    </row>
    <row r="970" spans="1:13" s="36" customFormat="1" ht="28.5">
      <c r="A970" s="273" t="s">
        <v>1200</v>
      </c>
      <c r="B970" s="21"/>
      <c r="C970" s="22" t="s">
        <v>793</v>
      </c>
      <c r="D970" s="22" t="s">
        <v>663</v>
      </c>
      <c r="E970" s="22" t="s">
        <v>1201</v>
      </c>
      <c r="F970" s="44"/>
      <c r="G970" s="24">
        <f t="shared" si="25"/>
        <v>3199.4</v>
      </c>
      <c r="H970" s="24">
        <f t="shared" si="25"/>
        <v>1203.5</v>
      </c>
      <c r="I970" s="24">
        <f t="shared" si="24"/>
        <v>37.616428080265045</v>
      </c>
      <c r="M970" s="271">
        <f>SUM(G968-K968)</f>
        <v>0</v>
      </c>
    </row>
    <row r="971" spans="1:9" s="36" customFormat="1" ht="28.5">
      <c r="A971" s="273" t="s">
        <v>1202</v>
      </c>
      <c r="B971" s="58"/>
      <c r="C971" s="22" t="s">
        <v>793</v>
      </c>
      <c r="D971" s="22" t="s">
        <v>663</v>
      </c>
      <c r="E971" s="22" t="s">
        <v>1203</v>
      </c>
      <c r="F971" s="44"/>
      <c r="G971" s="24">
        <f t="shared" si="25"/>
        <v>3199.4</v>
      </c>
      <c r="H971" s="24">
        <f t="shared" si="25"/>
        <v>1203.5</v>
      </c>
      <c r="I971" s="24">
        <f t="shared" si="24"/>
        <v>37.616428080265045</v>
      </c>
    </row>
    <row r="972" spans="1:10" s="36" customFormat="1" ht="15">
      <c r="A972" s="223" t="s">
        <v>378</v>
      </c>
      <c r="B972" s="21"/>
      <c r="C972" s="22" t="s">
        <v>793</v>
      </c>
      <c r="D972" s="22" t="s">
        <v>663</v>
      </c>
      <c r="E972" s="22" t="s">
        <v>1203</v>
      </c>
      <c r="F972" s="44" t="s">
        <v>379</v>
      </c>
      <c r="G972" s="24">
        <v>3199.4</v>
      </c>
      <c r="H972" s="24">
        <v>1203.5</v>
      </c>
      <c r="I972" s="24">
        <f t="shared" si="24"/>
        <v>37.616428080265045</v>
      </c>
      <c r="J972" s="162">
        <f>SUM('[1]ведомствен.2012'!G811)</f>
        <v>3199.4</v>
      </c>
    </row>
    <row r="973" spans="1:9" s="36" customFormat="1" ht="15">
      <c r="A973" s="223" t="s">
        <v>1204</v>
      </c>
      <c r="B973" s="21"/>
      <c r="C973" s="31" t="s">
        <v>793</v>
      </c>
      <c r="D973" s="31" t="s">
        <v>665</v>
      </c>
      <c r="E973" s="22"/>
      <c r="F973" s="44"/>
      <c r="G973" s="49">
        <f>SUM(G974+G979)</f>
        <v>36459.5</v>
      </c>
      <c r="H973" s="49">
        <f>SUM(H974+H979)</f>
        <v>16618.3</v>
      </c>
      <c r="I973" s="24">
        <f t="shared" si="24"/>
        <v>45.58016429188552</v>
      </c>
    </row>
    <row r="974" spans="1:9" s="36" customFormat="1" ht="15" customHeight="1">
      <c r="A974" s="222" t="s">
        <v>1021</v>
      </c>
      <c r="B974" s="21"/>
      <c r="C974" s="35" t="s">
        <v>793</v>
      </c>
      <c r="D974" s="35" t="s">
        <v>665</v>
      </c>
      <c r="E974" s="22" t="s">
        <v>1022</v>
      </c>
      <c r="F974" s="27"/>
      <c r="G974" s="24">
        <f>SUM(G975)</f>
        <v>50</v>
      </c>
      <c r="H974" s="49">
        <f>SUM(H975)+H977</f>
        <v>0</v>
      </c>
      <c r="I974" s="24">
        <f t="shared" si="24"/>
        <v>0</v>
      </c>
    </row>
    <row r="975" spans="1:9" s="36" customFormat="1" ht="42.75" customHeight="1">
      <c r="A975" s="239" t="s">
        <v>745</v>
      </c>
      <c r="B975" s="21"/>
      <c r="C975" s="35" t="s">
        <v>793</v>
      </c>
      <c r="D975" s="35" t="s">
        <v>665</v>
      </c>
      <c r="E975" s="22" t="s">
        <v>746</v>
      </c>
      <c r="F975" s="26"/>
      <c r="G975" s="24">
        <f>SUM(G976+G977)</f>
        <v>50</v>
      </c>
      <c r="H975" s="24">
        <f>SUM(H976)</f>
        <v>0</v>
      </c>
      <c r="I975" s="24">
        <f t="shared" si="24"/>
        <v>0</v>
      </c>
    </row>
    <row r="976" spans="1:10" s="36" customFormat="1" ht="16.5" customHeight="1">
      <c r="A976" s="228" t="s">
        <v>895</v>
      </c>
      <c r="B976" s="21"/>
      <c r="C976" s="35" t="s">
        <v>793</v>
      </c>
      <c r="D976" s="35" t="s">
        <v>665</v>
      </c>
      <c r="E976" s="22" t="s">
        <v>746</v>
      </c>
      <c r="F976" s="88" t="s">
        <v>238</v>
      </c>
      <c r="G976" s="24">
        <v>50</v>
      </c>
      <c r="H976" s="24"/>
      <c r="I976" s="24">
        <f t="shared" si="24"/>
        <v>0</v>
      </c>
      <c r="J976" s="36">
        <f>SUM('[1]ведомствен.2012'!G815)</f>
        <v>50</v>
      </c>
    </row>
    <row r="977" spans="1:9" s="36" customFormat="1" ht="31.5" customHeight="1" hidden="1">
      <c r="A977" s="241" t="s">
        <v>814</v>
      </c>
      <c r="B977" s="21"/>
      <c r="C977" s="35" t="s">
        <v>793</v>
      </c>
      <c r="D977" s="35" t="s">
        <v>665</v>
      </c>
      <c r="E977" s="35" t="s">
        <v>815</v>
      </c>
      <c r="F977" s="26"/>
      <c r="G977" s="24">
        <f>SUM(G978)</f>
        <v>0</v>
      </c>
      <c r="H977" s="24">
        <f>SUM(H978)</f>
        <v>0</v>
      </c>
      <c r="I977" s="24" t="e">
        <f t="shared" si="24"/>
        <v>#DIV/0!</v>
      </c>
    </row>
    <row r="978" spans="1:9" s="36" customFormat="1" ht="18.75" customHeight="1" hidden="1">
      <c r="A978" s="220" t="s">
        <v>237</v>
      </c>
      <c r="B978" s="21"/>
      <c r="C978" s="35" t="s">
        <v>793</v>
      </c>
      <c r="D978" s="35" t="s">
        <v>665</v>
      </c>
      <c r="E978" s="35" t="s">
        <v>815</v>
      </c>
      <c r="F978" s="88" t="s">
        <v>238</v>
      </c>
      <c r="G978" s="24"/>
      <c r="H978" s="24"/>
      <c r="I978" s="24" t="e">
        <f t="shared" si="24"/>
        <v>#DIV/0!</v>
      </c>
    </row>
    <row r="979" spans="1:9" s="36" customFormat="1" ht="18.75" customHeight="1">
      <c r="A979" s="241" t="s">
        <v>962</v>
      </c>
      <c r="B979" s="21"/>
      <c r="C979" s="31" t="s">
        <v>793</v>
      </c>
      <c r="D979" s="31" t="s">
        <v>665</v>
      </c>
      <c r="E979" s="31" t="s">
        <v>816</v>
      </c>
      <c r="F979" s="88"/>
      <c r="G979" s="24">
        <f>SUM(G980)</f>
        <v>36409.5</v>
      </c>
      <c r="H979" s="24">
        <f>SUM(H980+H982)</f>
        <v>16618.3</v>
      </c>
      <c r="I979" s="24">
        <f t="shared" si="24"/>
        <v>45.64275807138247</v>
      </c>
    </row>
    <row r="980" spans="1:9" s="36" customFormat="1" ht="28.5">
      <c r="A980" s="223" t="s">
        <v>894</v>
      </c>
      <c r="B980" s="21"/>
      <c r="C980" s="35" t="s">
        <v>793</v>
      </c>
      <c r="D980" s="35" t="s">
        <v>665</v>
      </c>
      <c r="E980" s="35" t="s">
        <v>817</v>
      </c>
      <c r="F980" s="88"/>
      <c r="G980" s="24">
        <f>SUM(G981,G983)</f>
        <v>36409.5</v>
      </c>
      <c r="H980" s="24">
        <f>SUM(H981)</f>
        <v>0</v>
      </c>
      <c r="I980" s="24">
        <f t="shared" si="24"/>
        <v>0</v>
      </c>
    </row>
    <row r="981" spans="1:10" s="36" customFormat="1" ht="15">
      <c r="A981" s="220" t="s">
        <v>895</v>
      </c>
      <c r="B981" s="21"/>
      <c r="C981" s="35" t="s">
        <v>793</v>
      </c>
      <c r="D981" s="35" t="s">
        <v>665</v>
      </c>
      <c r="E981" s="35" t="s">
        <v>817</v>
      </c>
      <c r="F981" s="88" t="s">
        <v>238</v>
      </c>
      <c r="G981" s="24">
        <v>1977.4</v>
      </c>
      <c r="H981" s="24"/>
      <c r="I981" s="24">
        <f t="shared" si="24"/>
        <v>0</v>
      </c>
      <c r="J981" s="36">
        <f>SUM('[1]ведомствен.2012'!G820)</f>
        <v>1977.4</v>
      </c>
    </row>
    <row r="982" spans="1:9" s="36" customFormat="1" ht="42.75" customHeight="1">
      <c r="A982" s="220" t="s">
        <v>818</v>
      </c>
      <c r="B982" s="21"/>
      <c r="C982" s="35" t="s">
        <v>793</v>
      </c>
      <c r="D982" s="35" t="s">
        <v>665</v>
      </c>
      <c r="E982" s="35" t="s">
        <v>819</v>
      </c>
      <c r="F982" s="88"/>
      <c r="G982" s="24">
        <v>17</v>
      </c>
      <c r="H982" s="24">
        <f>SUM(H983)</f>
        <v>16618.3</v>
      </c>
      <c r="I982" s="24">
        <f t="shared" si="24"/>
        <v>97754.70588235294</v>
      </c>
    </row>
    <row r="983" spans="1:10" s="36" customFormat="1" ht="15" customHeight="1">
      <c r="A983" s="220" t="s">
        <v>981</v>
      </c>
      <c r="B983" s="21"/>
      <c r="C983" s="35" t="s">
        <v>793</v>
      </c>
      <c r="D983" s="35" t="s">
        <v>665</v>
      </c>
      <c r="E983" s="35" t="s">
        <v>819</v>
      </c>
      <c r="F983" s="88" t="s">
        <v>238</v>
      </c>
      <c r="G983" s="24">
        <v>34432.1</v>
      </c>
      <c r="H983" s="24">
        <v>16618.3</v>
      </c>
      <c r="I983" s="24">
        <f t="shared" si="24"/>
        <v>48.26397460509234</v>
      </c>
      <c r="J983" s="162">
        <f>SUM('[1]ведомствен.2012'!G822)</f>
        <v>34432.1</v>
      </c>
    </row>
    <row r="984" spans="1:9" s="36" customFormat="1" ht="18.75" customHeight="1">
      <c r="A984" s="274" t="s">
        <v>820</v>
      </c>
      <c r="B984" s="21"/>
      <c r="C984" s="72" t="s">
        <v>793</v>
      </c>
      <c r="D984" s="72" t="s">
        <v>1013</v>
      </c>
      <c r="E984" s="72"/>
      <c r="F984" s="44"/>
      <c r="G984" s="49">
        <f>SUM(G997+G1082+G1092)+G988+G985+G1085+G994</f>
        <v>656692</v>
      </c>
      <c r="H984" s="49">
        <f>SUM(H997+H1082+H1085+H1092+H985)</f>
        <v>454278.8</v>
      </c>
      <c r="I984" s="24">
        <f t="shared" si="24"/>
        <v>69.17684393901555</v>
      </c>
    </row>
    <row r="985" spans="1:9" s="36" customFormat="1" ht="14.25" customHeight="1">
      <c r="A985" s="223" t="s">
        <v>567</v>
      </c>
      <c r="B985" s="21"/>
      <c r="C985" s="72" t="s">
        <v>793</v>
      </c>
      <c r="D985" s="72" t="s">
        <v>1013</v>
      </c>
      <c r="E985" s="22" t="s">
        <v>569</v>
      </c>
      <c r="F985" s="23"/>
      <c r="G985" s="24">
        <f>SUM(G987)</f>
        <v>300</v>
      </c>
      <c r="H985" s="24">
        <f>SUM(H987)</f>
        <v>200</v>
      </c>
      <c r="I985" s="24">
        <f t="shared" si="24"/>
        <v>66.66666666666666</v>
      </c>
    </row>
    <row r="986" spans="1:9" s="36" customFormat="1" ht="14.25" customHeight="1">
      <c r="A986" s="223" t="s">
        <v>545</v>
      </c>
      <c r="B986" s="21"/>
      <c r="C986" s="72" t="s">
        <v>793</v>
      </c>
      <c r="D986" s="72" t="s">
        <v>1013</v>
      </c>
      <c r="E986" s="22" t="s">
        <v>546</v>
      </c>
      <c r="F986" s="23"/>
      <c r="G986" s="24">
        <f>SUM(G987)</f>
        <v>300</v>
      </c>
      <c r="H986" s="24">
        <f>SUM(H987)</f>
        <v>200</v>
      </c>
      <c r="I986" s="24">
        <f t="shared" si="24"/>
        <v>66.66666666666666</v>
      </c>
    </row>
    <row r="987" spans="1:10" s="36" customFormat="1" ht="14.25" customHeight="1">
      <c r="A987" s="223" t="s">
        <v>378</v>
      </c>
      <c r="B987" s="34"/>
      <c r="C987" s="72" t="s">
        <v>793</v>
      </c>
      <c r="D987" s="72" t="s">
        <v>1013</v>
      </c>
      <c r="E987" s="22" t="s">
        <v>546</v>
      </c>
      <c r="F987" s="26" t="s">
        <v>379</v>
      </c>
      <c r="G987" s="24">
        <v>300</v>
      </c>
      <c r="H987" s="24">
        <v>200</v>
      </c>
      <c r="I987" s="24">
        <f t="shared" si="24"/>
        <v>66.66666666666666</v>
      </c>
      <c r="J987" s="36">
        <f>SUM('[1]ведомствен.2012'!G826)</f>
        <v>300</v>
      </c>
    </row>
    <row r="988" spans="1:9" s="36" customFormat="1" ht="14.25" customHeight="1">
      <c r="A988" s="274" t="s">
        <v>1103</v>
      </c>
      <c r="B988" s="21"/>
      <c r="C988" s="22" t="s">
        <v>793</v>
      </c>
      <c r="D988" s="35" t="s">
        <v>1013</v>
      </c>
      <c r="E988" s="22" t="s">
        <v>1104</v>
      </c>
      <c r="F988" s="44"/>
      <c r="G988" s="49">
        <f>SUM(G989)</f>
        <v>5862.5</v>
      </c>
      <c r="H988" s="24"/>
      <c r="I988" s="24"/>
    </row>
    <row r="989" spans="1:10" ht="31.5" customHeight="1">
      <c r="A989" s="286" t="s">
        <v>1100</v>
      </c>
      <c r="B989" s="21"/>
      <c r="C989" s="22" t="s">
        <v>793</v>
      </c>
      <c r="D989" s="35" t="s">
        <v>1013</v>
      </c>
      <c r="E989" s="22" t="s">
        <v>1101</v>
      </c>
      <c r="F989" s="23"/>
      <c r="G989" s="49">
        <f>SUM(G992)+G990</f>
        <v>5862.5</v>
      </c>
      <c r="H989" s="24">
        <f>SUM(H992)</f>
        <v>0</v>
      </c>
      <c r="I989" s="24">
        <f>SUM(H989/G989*100)</f>
        <v>0</v>
      </c>
      <c r="J989"/>
    </row>
    <row r="990" spans="1:10" ht="31.5" customHeight="1">
      <c r="A990" s="286" t="s">
        <v>1272</v>
      </c>
      <c r="B990" s="21"/>
      <c r="C990" s="22" t="s">
        <v>793</v>
      </c>
      <c r="D990" s="35" t="s">
        <v>1013</v>
      </c>
      <c r="E990" s="22" t="s">
        <v>1260</v>
      </c>
      <c r="F990" s="23"/>
      <c r="G990" s="49">
        <f>SUM(G991)</f>
        <v>1425.6</v>
      </c>
      <c r="H990" s="24"/>
      <c r="I990" s="24"/>
      <c r="J990"/>
    </row>
    <row r="991" spans="1:10" ht="21" customHeight="1">
      <c r="A991" s="223" t="s">
        <v>378</v>
      </c>
      <c r="B991" s="21"/>
      <c r="C991" s="22" t="s">
        <v>793</v>
      </c>
      <c r="D991" s="35" t="s">
        <v>1013</v>
      </c>
      <c r="E991" s="22" t="s">
        <v>1260</v>
      </c>
      <c r="F991" s="23" t="s">
        <v>379</v>
      </c>
      <c r="G991" s="49">
        <v>1425.6</v>
      </c>
      <c r="H991" s="24"/>
      <c r="I991" s="24"/>
      <c r="J991">
        <f>SUM('[1]ведомствен.2012'!G1016)</f>
        <v>1425.6</v>
      </c>
    </row>
    <row r="992" spans="1:10" ht="18.75" customHeight="1">
      <c r="A992" s="286" t="s">
        <v>1216</v>
      </c>
      <c r="B992" s="21"/>
      <c r="C992" s="35" t="s">
        <v>793</v>
      </c>
      <c r="D992" s="35" t="s">
        <v>1013</v>
      </c>
      <c r="E992" s="22" t="s">
        <v>1102</v>
      </c>
      <c r="F992" s="26"/>
      <c r="G992" s="49">
        <f>SUM(G993)</f>
        <v>4436.9</v>
      </c>
      <c r="H992" s="24">
        <f>SUM(H993)</f>
        <v>0</v>
      </c>
      <c r="I992" s="24">
        <f>SUM(H992/G992*100)</f>
        <v>0</v>
      </c>
      <c r="J992"/>
    </row>
    <row r="993" spans="1:10" ht="23.25" customHeight="1">
      <c r="A993" s="286" t="s">
        <v>243</v>
      </c>
      <c r="B993" s="21"/>
      <c r="C993" s="35" t="s">
        <v>793</v>
      </c>
      <c r="D993" s="35" t="s">
        <v>1013</v>
      </c>
      <c r="E993" s="22" t="s">
        <v>1102</v>
      </c>
      <c r="F993" s="26" t="s">
        <v>245</v>
      </c>
      <c r="G993" s="49">
        <v>4436.9</v>
      </c>
      <c r="H993" s="24"/>
      <c r="I993" s="24">
        <f>SUM(H993/G993*100)</f>
        <v>0</v>
      </c>
      <c r="J993">
        <f>SUM('[1]ведомствен.2012'!G1018)</f>
        <v>4436.9</v>
      </c>
    </row>
    <row r="994" spans="1:10" ht="34.5" customHeight="1">
      <c r="A994" s="222" t="s">
        <v>720</v>
      </c>
      <c r="B994" s="21"/>
      <c r="C994" s="22" t="s">
        <v>793</v>
      </c>
      <c r="D994" s="22" t="s">
        <v>1013</v>
      </c>
      <c r="E994" s="22" t="s">
        <v>723</v>
      </c>
      <c r="F994" s="26"/>
      <c r="G994" s="49">
        <f>SUM(G995)</f>
        <v>3020.4</v>
      </c>
      <c r="H994" s="24"/>
      <c r="I994" s="24"/>
      <c r="J994"/>
    </row>
    <row r="995" spans="1:10" ht="30" customHeight="1">
      <c r="A995" s="222" t="s">
        <v>722</v>
      </c>
      <c r="B995" s="21"/>
      <c r="C995" s="35" t="s">
        <v>793</v>
      </c>
      <c r="D995" s="35" t="s">
        <v>1013</v>
      </c>
      <c r="E995" s="22" t="s">
        <v>721</v>
      </c>
      <c r="F995" s="23"/>
      <c r="G995" s="24">
        <f>SUM(G996)</f>
        <v>3020.4</v>
      </c>
      <c r="H995" s="24"/>
      <c r="I995" s="24"/>
      <c r="J995"/>
    </row>
    <row r="996" spans="1:10" ht="23.25" customHeight="1">
      <c r="A996" s="222" t="s">
        <v>1010</v>
      </c>
      <c r="B996" s="21"/>
      <c r="C996" s="35" t="s">
        <v>793</v>
      </c>
      <c r="D996" s="35" t="s">
        <v>1013</v>
      </c>
      <c r="E996" s="22" t="s">
        <v>721</v>
      </c>
      <c r="F996" s="26" t="s">
        <v>1011</v>
      </c>
      <c r="G996" s="24">
        <v>3020.4</v>
      </c>
      <c r="H996" s="24"/>
      <c r="I996" s="24"/>
      <c r="J996">
        <f>SUM('[1]ведомствен.2012'!G1021)</f>
        <v>3020.4</v>
      </c>
    </row>
    <row r="997" spans="1:10" ht="18" customHeight="1">
      <c r="A997" s="223" t="s">
        <v>821</v>
      </c>
      <c r="B997" s="21"/>
      <c r="C997" s="22" t="s">
        <v>793</v>
      </c>
      <c r="D997" s="22" t="s">
        <v>1013</v>
      </c>
      <c r="E997" s="22" t="s">
        <v>822</v>
      </c>
      <c r="F997" s="23"/>
      <c r="G997" s="24">
        <f>SUM(G998+G1000+G1002+G1015+G1017+G1037+G1041+G1046+G1049+G1051+G1075)+G1080+G1021+G1023+G1030+G1033+G1039+G1044+G1012+G1028+G1025+G1035+G1007+G1010+G1004+G1019</f>
        <v>624897.9</v>
      </c>
      <c r="H997" s="24">
        <f>SUM(H998+H1000+H1002+H1015+H1017+H1037+H1041+H1046+H1049+H1051+H1075)+H1080+H1021+H1023+H1030+H1033+H1039+H1044+H1014+H1028+H1025+H1035+H1007+H1010+H1004</f>
        <v>446896.3</v>
      </c>
      <c r="I997" s="24">
        <f t="shared" si="24"/>
        <v>71.5150907052176</v>
      </c>
      <c r="J997"/>
    </row>
    <row r="998" spans="1:10" ht="55.5" customHeight="1" hidden="1">
      <c r="A998" s="295" t="s">
        <v>823</v>
      </c>
      <c r="B998" s="21"/>
      <c r="C998" s="22" t="s">
        <v>793</v>
      </c>
      <c r="D998" s="22" t="s">
        <v>1013</v>
      </c>
      <c r="E998" s="22" t="s">
        <v>824</v>
      </c>
      <c r="F998" s="23"/>
      <c r="G998" s="24">
        <f>SUM(G999:G999)</f>
        <v>0</v>
      </c>
      <c r="H998" s="24">
        <f>SUM(H999:H999)</f>
        <v>0</v>
      </c>
      <c r="I998" s="24" t="e">
        <f t="shared" si="24"/>
        <v>#DIV/0!</v>
      </c>
      <c r="J998"/>
    </row>
    <row r="999" spans="1:10" ht="20.25" customHeight="1" hidden="1">
      <c r="A999" s="223" t="s">
        <v>378</v>
      </c>
      <c r="B999" s="21"/>
      <c r="C999" s="22" t="s">
        <v>793</v>
      </c>
      <c r="D999" s="22" t="s">
        <v>1013</v>
      </c>
      <c r="E999" s="22" t="s">
        <v>824</v>
      </c>
      <c r="F999" s="23" t="s">
        <v>379</v>
      </c>
      <c r="G999" s="24"/>
      <c r="H999" s="24"/>
      <c r="I999" s="24" t="e">
        <f t="shared" si="24"/>
        <v>#DIV/0!</v>
      </c>
      <c r="J999"/>
    </row>
    <row r="1000" spans="1:9" s="36" customFormat="1" ht="42.75" customHeight="1" hidden="1">
      <c r="A1000" s="223" t="s">
        <v>825</v>
      </c>
      <c r="B1000" s="21"/>
      <c r="C1000" s="22" t="s">
        <v>793</v>
      </c>
      <c r="D1000" s="22" t="s">
        <v>1013</v>
      </c>
      <c r="E1000" s="22" t="s">
        <v>826</v>
      </c>
      <c r="F1000" s="23"/>
      <c r="G1000" s="24">
        <f>SUM(G1001:G1001)</f>
        <v>0</v>
      </c>
      <c r="H1000" s="24">
        <f>SUM(H1001:H1001)</f>
        <v>0</v>
      </c>
      <c r="I1000" s="24" t="e">
        <f t="shared" si="24"/>
        <v>#DIV/0!</v>
      </c>
    </row>
    <row r="1001" spans="1:9" s="36" customFormat="1" ht="15" customHeight="1" hidden="1">
      <c r="A1001" s="223" t="s">
        <v>378</v>
      </c>
      <c r="B1001" s="21"/>
      <c r="C1001" s="22" t="s">
        <v>793</v>
      </c>
      <c r="D1001" s="22" t="s">
        <v>1013</v>
      </c>
      <c r="E1001" s="22" t="s">
        <v>826</v>
      </c>
      <c r="F1001" s="23" t="s">
        <v>379</v>
      </c>
      <c r="G1001" s="24"/>
      <c r="H1001" s="24"/>
      <c r="I1001" s="24" t="e">
        <f t="shared" si="24"/>
        <v>#DIV/0!</v>
      </c>
    </row>
    <row r="1002" spans="1:9" s="36" customFormat="1" ht="42.75" customHeight="1" hidden="1">
      <c r="A1002" s="223" t="s">
        <v>827</v>
      </c>
      <c r="B1002" s="28"/>
      <c r="C1002" s="35" t="s">
        <v>793</v>
      </c>
      <c r="D1002" s="22" t="s">
        <v>1013</v>
      </c>
      <c r="E1002" s="22" t="s">
        <v>828</v>
      </c>
      <c r="F1002" s="23"/>
      <c r="G1002" s="24">
        <f>SUM(G1003)</f>
        <v>0</v>
      </c>
      <c r="H1002" s="24">
        <f>SUM(H1003)</f>
        <v>0</v>
      </c>
      <c r="I1002" s="24" t="e">
        <f t="shared" si="24"/>
        <v>#DIV/0!</v>
      </c>
    </row>
    <row r="1003" spans="1:9" s="36" customFormat="1" ht="23.25" customHeight="1" hidden="1">
      <c r="A1003" s="223" t="s">
        <v>378</v>
      </c>
      <c r="B1003" s="28"/>
      <c r="C1003" s="35" t="s">
        <v>793</v>
      </c>
      <c r="D1003" s="22" t="s">
        <v>1013</v>
      </c>
      <c r="E1003" s="22" t="s">
        <v>828</v>
      </c>
      <c r="F1003" s="23" t="s">
        <v>379</v>
      </c>
      <c r="G1003" s="24"/>
      <c r="H1003" s="24"/>
      <c r="I1003" s="24" t="e">
        <f t="shared" si="24"/>
        <v>#DIV/0!</v>
      </c>
    </row>
    <row r="1004" spans="1:9" s="36" customFormat="1" ht="60" customHeight="1" hidden="1">
      <c r="A1004" s="226" t="s">
        <v>829</v>
      </c>
      <c r="B1004" s="28"/>
      <c r="C1004" s="22" t="s">
        <v>793</v>
      </c>
      <c r="D1004" s="35" t="s">
        <v>1013</v>
      </c>
      <c r="E1004" s="22" t="s">
        <v>830</v>
      </c>
      <c r="F1004" s="23"/>
      <c r="G1004" s="24">
        <f>SUM(G1005)</f>
        <v>0</v>
      </c>
      <c r="H1004" s="24">
        <f>SUM(H1005)</f>
        <v>361.8</v>
      </c>
      <c r="I1004" s="24" t="e">
        <f t="shared" si="24"/>
        <v>#DIV/0!</v>
      </c>
    </row>
    <row r="1005" spans="1:9" s="36" customFormat="1" ht="19.5" customHeight="1" hidden="1">
      <c r="A1005" s="223" t="s">
        <v>378</v>
      </c>
      <c r="B1005" s="28"/>
      <c r="C1005" s="35" t="s">
        <v>793</v>
      </c>
      <c r="D1005" s="22" t="s">
        <v>1013</v>
      </c>
      <c r="E1005" s="22" t="s">
        <v>830</v>
      </c>
      <c r="F1005" s="23" t="s">
        <v>379</v>
      </c>
      <c r="G1005" s="24"/>
      <c r="H1005" s="24">
        <v>361.8</v>
      </c>
      <c r="I1005" s="24" t="e">
        <f t="shared" si="24"/>
        <v>#DIV/0!</v>
      </c>
    </row>
    <row r="1006" spans="1:9" s="36" customFormat="1" ht="60" customHeight="1" hidden="1">
      <c r="A1006" s="226" t="s">
        <v>829</v>
      </c>
      <c r="B1006" s="28"/>
      <c r="C1006" s="22" t="s">
        <v>793</v>
      </c>
      <c r="D1006" s="35" t="s">
        <v>1013</v>
      </c>
      <c r="E1006" s="22" t="s">
        <v>830</v>
      </c>
      <c r="F1006" s="23"/>
      <c r="G1006" s="24"/>
      <c r="H1006" s="24"/>
      <c r="I1006" s="24" t="e">
        <f t="shared" si="24"/>
        <v>#DIV/0!</v>
      </c>
    </row>
    <row r="1007" spans="1:9" s="36" customFormat="1" ht="104.25" customHeight="1">
      <c r="A1007" s="223" t="s">
        <v>831</v>
      </c>
      <c r="B1007" s="28"/>
      <c r="C1007" s="35" t="s">
        <v>793</v>
      </c>
      <c r="D1007" s="22" t="s">
        <v>1013</v>
      </c>
      <c r="E1007" s="22" t="s">
        <v>832</v>
      </c>
      <c r="F1007" s="23"/>
      <c r="G1007" s="24">
        <f>SUM(G1008:G1009)</f>
        <v>885.8</v>
      </c>
      <c r="H1007" s="24">
        <f>SUM(H1008)</f>
        <v>634.3</v>
      </c>
      <c r="I1007" s="24">
        <f t="shared" si="24"/>
        <v>71.60758636261006</v>
      </c>
    </row>
    <row r="1008" spans="1:10" s="36" customFormat="1" ht="16.5" customHeight="1">
      <c r="A1008" s="223" t="s">
        <v>378</v>
      </c>
      <c r="B1008" s="28"/>
      <c r="C1008" s="35" t="s">
        <v>793</v>
      </c>
      <c r="D1008" s="22" t="s">
        <v>1013</v>
      </c>
      <c r="E1008" s="22" t="s">
        <v>832</v>
      </c>
      <c r="F1008" s="23" t="s">
        <v>379</v>
      </c>
      <c r="G1008" s="24">
        <v>873.3</v>
      </c>
      <c r="H1008" s="24">
        <v>634.3</v>
      </c>
      <c r="I1008" s="24">
        <f t="shared" si="24"/>
        <v>72.63254322684072</v>
      </c>
      <c r="J1008" s="162">
        <f>SUM('[1]ведомствен.2012'!G835)</f>
        <v>873.3</v>
      </c>
    </row>
    <row r="1009" spans="1:10" s="36" customFormat="1" ht="16.5" customHeight="1">
      <c r="A1009" s="274" t="s">
        <v>1010</v>
      </c>
      <c r="B1009" s="28"/>
      <c r="C1009" s="35" t="s">
        <v>793</v>
      </c>
      <c r="D1009" s="22" t="s">
        <v>1013</v>
      </c>
      <c r="E1009" s="22" t="s">
        <v>832</v>
      </c>
      <c r="F1009" s="23" t="s">
        <v>1011</v>
      </c>
      <c r="G1009" s="24">
        <v>12.5</v>
      </c>
      <c r="H1009" s="24"/>
      <c r="I1009" s="24"/>
      <c r="J1009" s="162">
        <f>SUM('[1]ведомствен.2012'!G836)</f>
        <v>12.5</v>
      </c>
    </row>
    <row r="1010" spans="1:9" s="36" customFormat="1" ht="60" customHeight="1">
      <c r="A1010" s="223" t="s">
        <v>909</v>
      </c>
      <c r="B1010" s="28"/>
      <c r="C1010" s="35" t="s">
        <v>793</v>
      </c>
      <c r="D1010" s="22" t="s">
        <v>1013</v>
      </c>
      <c r="E1010" s="22" t="s">
        <v>910</v>
      </c>
      <c r="F1010" s="23"/>
      <c r="G1010" s="24">
        <f>SUM(G1011)</f>
        <v>179.6</v>
      </c>
      <c r="H1010" s="24">
        <f>SUM(H1011)</f>
        <v>542.8</v>
      </c>
      <c r="I1010" s="24">
        <f t="shared" si="24"/>
        <v>302.2271714922049</v>
      </c>
    </row>
    <row r="1011" spans="1:10" s="36" customFormat="1" ht="22.5" customHeight="1">
      <c r="A1011" s="223" t="s">
        <v>378</v>
      </c>
      <c r="B1011" s="28"/>
      <c r="C1011" s="35" t="s">
        <v>793</v>
      </c>
      <c r="D1011" s="22" t="s">
        <v>1013</v>
      </c>
      <c r="E1011" s="22" t="s">
        <v>910</v>
      </c>
      <c r="F1011" s="23" t="s">
        <v>379</v>
      </c>
      <c r="G1011" s="24">
        <v>179.6</v>
      </c>
      <c r="H1011" s="24">
        <v>542.8</v>
      </c>
      <c r="I1011" s="24">
        <f aca="true" t="shared" si="26" ref="I1011:I1083">SUM(H1011/G1011*100)</f>
        <v>302.2271714922049</v>
      </c>
      <c r="J1011" s="162">
        <f>SUM('[1]ведомствен.2012'!G838)</f>
        <v>179.6</v>
      </c>
    </row>
    <row r="1012" spans="1:9" s="36" customFormat="1" ht="45.75" customHeight="1">
      <c r="A1012" s="222" t="s">
        <v>672</v>
      </c>
      <c r="B1012" s="28"/>
      <c r="C1012" s="35" t="s">
        <v>793</v>
      </c>
      <c r="D1012" s="22" t="s">
        <v>1013</v>
      </c>
      <c r="E1012" s="22" t="s">
        <v>673</v>
      </c>
      <c r="F1012" s="23"/>
      <c r="G1012" s="24">
        <f>SUM(G1013)</f>
        <v>153</v>
      </c>
      <c r="H1012" s="49"/>
      <c r="I1012" s="24"/>
    </row>
    <row r="1013" spans="1:10" s="36" customFormat="1" ht="21" customHeight="1">
      <c r="A1013" s="222" t="s">
        <v>378</v>
      </c>
      <c r="B1013" s="28"/>
      <c r="C1013" s="35" t="s">
        <v>793</v>
      </c>
      <c r="D1013" s="22" t="s">
        <v>1013</v>
      </c>
      <c r="E1013" s="22" t="s">
        <v>673</v>
      </c>
      <c r="F1013" s="23" t="s">
        <v>379</v>
      </c>
      <c r="G1013" s="24">
        <v>153</v>
      </c>
      <c r="H1013" s="49"/>
      <c r="I1013" s="24"/>
      <c r="J1013" s="36">
        <f>SUM('[1]ведомствен.2012'!G840)</f>
        <v>153</v>
      </c>
    </row>
    <row r="1014" spans="1:10" s="36" customFormat="1" ht="0.75" customHeight="1" hidden="1">
      <c r="A1014" s="223" t="s">
        <v>378</v>
      </c>
      <c r="B1014" s="77"/>
      <c r="C1014" s="35" t="s">
        <v>793</v>
      </c>
      <c r="D1014" s="35" t="s">
        <v>1013</v>
      </c>
      <c r="E1014" s="22" t="s">
        <v>969</v>
      </c>
      <c r="F1014" s="88" t="s">
        <v>379</v>
      </c>
      <c r="G1014" s="49"/>
      <c r="H1014" s="49"/>
      <c r="I1014" s="24"/>
      <c r="J1014" s="162">
        <f>SUM('[1]ведомствен.2012'!G1022)</f>
        <v>0</v>
      </c>
    </row>
    <row r="1015" spans="1:9" s="36" customFormat="1" ht="71.25">
      <c r="A1015" s="286" t="s">
        <v>1220</v>
      </c>
      <c r="B1015" s="21"/>
      <c r="C1015" s="35" t="s">
        <v>793</v>
      </c>
      <c r="D1015" s="22" t="s">
        <v>1013</v>
      </c>
      <c r="E1015" s="22" t="s">
        <v>1221</v>
      </c>
      <c r="F1015" s="23"/>
      <c r="G1015" s="24">
        <f>SUM(G1016)</f>
        <v>1994.3</v>
      </c>
      <c r="H1015" s="24">
        <f>SUM(H1016)</f>
        <v>1313.1</v>
      </c>
      <c r="I1015" s="24">
        <f t="shared" si="26"/>
        <v>65.84265155693727</v>
      </c>
    </row>
    <row r="1016" spans="1:10" s="36" customFormat="1" ht="15">
      <c r="A1016" s="223" t="s">
        <v>378</v>
      </c>
      <c r="B1016" s="21"/>
      <c r="C1016" s="35" t="s">
        <v>793</v>
      </c>
      <c r="D1016" s="22" t="s">
        <v>1013</v>
      </c>
      <c r="E1016" s="22" t="s">
        <v>1221</v>
      </c>
      <c r="F1016" s="23" t="s">
        <v>379</v>
      </c>
      <c r="G1016" s="24">
        <v>1994.3</v>
      </c>
      <c r="H1016" s="24">
        <v>1313.1</v>
      </c>
      <c r="I1016" s="24">
        <f t="shared" si="26"/>
        <v>65.84265155693727</v>
      </c>
      <c r="J1016" s="162">
        <f>SUM('[1]ведомствен.2012'!G842)</f>
        <v>1994.3</v>
      </c>
    </row>
    <row r="1017" spans="1:9" s="36" customFormat="1" ht="42.75">
      <c r="A1017" s="273" t="s">
        <v>1222</v>
      </c>
      <c r="B1017" s="21"/>
      <c r="C1017" s="35" t="s">
        <v>793</v>
      </c>
      <c r="D1017" s="22" t="s">
        <v>1013</v>
      </c>
      <c r="E1017" s="22" t="s">
        <v>1223</v>
      </c>
      <c r="F1017" s="23"/>
      <c r="G1017" s="24">
        <f>SUM(G1018)</f>
        <v>10693.4</v>
      </c>
      <c r="H1017" s="24">
        <f>SUM(H1018)</f>
        <v>6301</v>
      </c>
      <c r="I1017" s="24">
        <f t="shared" si="26"/>
        <v>58.92419623319057</v>
      </c>
    </row>
    <row r="1018" spans="1:10" s="36" customFormat="1" ht="15">
      <c r="A1018" s="223" t="s">
        <v>378</v>
      </c>
      <c r="B1018" s="21"/>
      <c r="C1018" s="35" t="s">
        <v>793</v>
      </c>
      <c r="D1018" s="22" t="s">
        <v>1013</v>
      </c>
      <c r="E1018" s="22" t="s">
        <v>1223</v>
      </c>
      <c r="F1018" s="23" t="s">
        <v>379</v>
      </c>
      <c r="G1018" s="24">
        <v>10693.4</v>
      </c>
      <c r="H1018" s="24">
        <v>6301</v>
      </c>
      <c r="I1018" s="24">
        <f t="shared" si="26"/>
        <v>58.92419623319057</v>
      </c>
      <c r="J1018" s="162">
        <f>SUM('[1]ведомствен.2012'!G844)</f>
        <v>10693.4</v>
      </c>
    </row>
    <row r="1019" spans="1:10" s="36" customFormat="1" ht="28.5">
      <c r="A1019" s="222" t="s">
        <v>674</v>
      </c>
      <c r="B1019" s="21"/>
      <c r="C1019" s="35" t="s">
        <v>793</v>
      </c>
      <c r="D1019" s="22" t="s">
        <v>1013</v>
      </c>
      <c r="E1019" s="22" t="s">
        <v>675</v>
      </c>
      <c r="F1019" s="23"/>
      <c r="G1019" s="24">
        <f>SUM(G1020)</f>
        <v>56105</v>
      </c>
      <c r="H1019" s="24"/>
      <c r="I1019" s="24"/>
      <c r="J1019" s="162"/>
    </row>
    <row r="1020" spans="1:10" s="36" customFormat="1" ht="15">
      <c r="A1020" s="222" t="s">
        <v>378</v>
      </c>
      <c r="B1020" s="21"/>
      <c r="C1020" s="35" t="s">
        <v>793</v>
      </c>
      <c r="D1020" s="22" t="s">
        <v>1013</v>
      </c>
      <c r="E1020" s="22" t="s">
        <v>675</v>
      </c>
      <c r="F1020" s="23" t="s">
        <v>379</v>
      </c>
      <c r="G1020" s="24">
        <v>56105</v>
      </c>
      <c r="H1020" s="24"/>
      <c r="I1020" s="24"/>
      <c r="J1020" s="162">
        <f>SUM('[1]ведомствен.2012'!G846)</f>
        <v>56105</v>
      </c>
    </row>
    <row r="1021" spans="1:9" s="36" customFormat="1" ht="57" customHeight="1">
      <c r="A1021" s="223" t="s">
        <v>292</v>
      </c>
      <c r="B1021" s="21"/>
      <c r="C1021" s="35" t="s">
        <v>793</v>
      </c>
      <c r="D1021" s="22" t="s">
        <v>1013</v>
      </c>
      <c r="E1021" s="22" t="s">
        <v>1224</v>
      </c>
      <c r="F1021" s="23"/>
      <c r="G1021" s="24">
        <f>SUM(G1022)</f>
        <v>14453.4</v>
      </c>
      <c r="H1021" s="24">
        <f>SUM(H1022)</f>
        <v>18786.9</v>
      </c>
      <c r="I1021" s="24">
        <f t="shared" si="26"/>
        <v>129.9825646560671</v>
      </c>
    </row>
    <row r="1022" spans="1:10" s="36" customFormat="1" ht="18.75" customHeight="1">
      <c r="A1022" s="223" t="s">
        <v>378</v>
      </c>
      <c r="B1022" s="21"/>
      <c r="C1022" s="35" t="s">
        <v>793</v>
      </c>
      <c r="D1022" s="22" t="s">
        <v>1013</v>
      </c>
      <c r="E1022" s="22" t="s">
        <v>1224</v>
      </c>
      <c r="F1022" s="23" t="s">
        <v>379</v>
      </c>
      <c r="G1022" s="24">
        <v>14453.4</v>
      </c>
      <c r="H1022" s="24">
        <v>18786.9</v>
      </c>
      <c r="I1022" s="24">
        <f t="shared" si="26"/>
        <v>129.9825646560671</v>
      </c>
      <c r="J1022" s="162">
        <f>SUM('[1]ведомствен.2012'!G847)</f>
        <v>14453.4</v>
      </c>
    </row>
    <row r="1023" spans="1:9" s="36" customFormat="1" ht="72" customHeight="1">
      <c r="A1023" s="223" t="s">
        <v>300</v>
      </c>
      <c r="B1023" s="21"/>
      <c r="C1023" s="35" t="s">
        <v>793</v>
      </c>
      <c r="D1023" s="22" t="s">
        <v>1013</v>
      </c>
      <c r="E1023" s="22" t="s">
        <v>1225</v>
      </c>
      <c r="F1023" s="23"/>
      <c r="G1023" s="24">
        <f>SUM(G1024)</f>
        <v>4523.1</v>
      </c>
      <c r="H1023" s="24">
        <f>SUM(H1024)</f>
        <v>15760.4</v>
      </c>
      <c r="I1023" s="24">
        <f t="shared" si="26"/>
        <v>348.4424399195242</v>
      </c>
    </row>
    <row r="1024" spans="1:10" s="36" customFormat="1" ht="20.25" customHeight="1">
      <c r="A1024" s="223" t="s">
        <v>378</v>
      </c>
      <c r="B1024" s="21"/>
      <c r="C1024" s="35" t="s">
        <v>793</v>
      </c>
      <c r="D1024" s="22" t="s">
        <v>1013</v>
      </c>
      <c r="E1024" s="22" t="s">
        <v>1225</v>
      </c>
      <c r="F1024" s="23" t="s">
        <v>379</v>
      </c>
      <c r="G1024" s="24">
        <v>4523.1</v>
      </c>
      <c r="H1024" s="24">
        <v>15760.4</v>
      </c>
      <c r="I1024" s="24">
        <f t="shared" si="26"/>
        <v>348.4424399195242</v>
      </c>
      <c r="J1024" s="162">
        <f>SUM('[1]ведомствен.2012'!G849)</f>
        <v>4523.1</v>
      </c>
    </row>
    <row r="1025" spans="1:9" s="83" customFormat="1" ht="75.75" customHeight="1">
      <c r="A1025" s="223" t="s">
        <v>1276</v>
      </c>
      <c r="B1025" s="21"/>
      <c r="C1025" s="35" t="s">
        <v>793</v>
      </c>
      <c r="D1025" s="22" t="s">
        <v>1013</v>
      </c>
      <c r="E1025" s="22" t="s">
        <v>1277</v>
      </c>
      <c r="F1025" s="23"/>
      <c r="G1025" s="24">
        <f>SUM(G1026:G1027)</f>
        <v>52972.1</v>
      </c>
      <c r="H1025" s="24">
        <f>SUM(H1026)</f>
        <v>40636.1</v>
      </c>
      <c r="I1025" s="24">
        <f t="shared" si="26"/>
        <v>76.71226928892757</v>
      </c>
    </row>
    <row r="1026" spans="1:10" s="83" customFormat="1" ht="21.75" customHeight="1">
      <c r="A1026" s="223" t="s">
        <v>378</v>
      </c>
      <c r="B1026" s="21"/>
      <c r="C1026" s="35" t="s">
        <v>793</v>
      </c>
      <c r="D1026" s="22" t="s">
        <v>1013</v>
      </c>
      <c r="E1026" s="22" t="s">
        <v>1277</v>
      </c>
      <c r="F1026" s="23" t="s">
        <v>379</v>
      </c>
      <c r="G1026" s="24">
        <v>52573.9</v>
      </c>
      <c r="H1026" s="24">
        <v>40636.1</v>
      </c>
      <c r="I1026" s="24">
        <f t="shared" si="26"/>
        <v>77.2932957227826</v>
      </c>
      <c r="J1026" s="162">
        <f>SUM('[1]ведомствен.2012'!G852)</f>
        <v>52573.9</v>
      </c>
    </row>
    <row r="1027" spans="1:10" s="83" customFormat="1" ht="21.75" customHeight="1">
      <c r="A1027" s="274" t="s">
        <v>1010</v>
      </c>
      <c r="B1027" s="21"/>
      <c r="C1027" s="35" t="s">
        <v>793</v>
      </c>
      <c r="D1027" s="22" t="s">
        <v>1013</v>
      </c>
      <c r="E1027" s="22" t="s">
        <v>1277</v>
      </c>
      <c r="F1027" s="23" t="s">
        <v>1011</v>
      </c>
      <c r="G1027" s="24">
        <v>398.2</v>
      </c>
      <c r="H1027" s="24"/>
      <c r="I1027" s="24"/>
      <c r="J1027" s="162">
        <f>SUM('[1]ведомствен.2012'!G853)</f>
        <v>398.2</v>
      </c>
    </row>
    <row r="1028" spans="1:9" s="36" customFormat="1" ht="44.25" customHeight="1">
      <c r="A1028" s="223" t="s">
        <v>1278</v>
      </c>
      <c r="B1028" s="21"/>
      <c r="C1028" s="35" t="s">
        <v>793</v>
      </c>
      <c r="D1028" s="22" t="s">
        <v>1013</v>
      </c>
      <c r="E1028" s="22" t="s">
        <v>1279</v>
      </c>
      <c r="F1028" s="23"/>
      <c r="G1028" s="24">
        <f>SUM(G1029)</f>
        <v>4705.1</v>
      </c>
      <c r="H1028" s="24">
        <f>SUM(H1029)</f>
        <v>191.3</v>
      </c>
      <c r="I1028" s="24">
        <f t="shared" si="26"/>
        <v>4.065800939406176</v>
      </c>
    </row>
    <row r="1029" spans="1:10" s="36" customFormat="1" ht="20.25" customHeight="1">
      <c r="A1029" s="223" t="s">
        <v>378</v>
      </c>
      <c r="B1029" s="21"/>
      <c r="C1029" s="35" t="s">
        <v>793</v>
      </c>
      <c r="D1029" s="22" t="s">
        <v>1013</v>
      </c>
      <c r="E1029" s="22" t="s">
        <v>1279</v>
      </c>
      <c r="F1029" s="23" t="s">
        <v>379</v>
      </c>
      <c r="G1029" s="24">
        <v>4705.1</v>
      </c>
      <c r="H1029" s="24">
        <v>191.3</v>
      </c>
      <c r="I1029" s="24">
        <f t="shared" si="26"/>
        <v>4.065800939406176</v>
      </c>
      <c r="J1029" s="162">
        <f>SUM('[1]ведомствен.2012'!G854)</f>
        <v>4705.1</v>
      </c>
    </row>
    <row r="1030" spans="1:9" s="36" customFormat="1" ht="60.75" customHeight="1">
      <c r="A1030" s="223" t="s">
        <v>1280</v>
      </c>
      <c r="B1030" s="21"/>
      <c r="C1030" s="35" t="s">
        <v>793</v>
      </c>
      <c r="D1030" s="22" t="s">
        <v>1013</v>
      </c>
      <c r="E1030" s="22" t="s">
        <v>1281</v>
      </c>
      <c r="F1030" s="23"/>
      <c r="G1030" s="24">
        <f>SUM(G1031:G1032)</f>
        <v>5291.2</v>
      </c>
      <c r="H1030" s="24">
        <f>SUM(H1032)</f>
        <v>4180.7</v>
      </c>
      <c r="I1030" s="24">
        <f t="shared" si="26"/>
        <v>79.01232234653764</v>
      </c>
    </row>
    <row r="1031" spans="1:10" s="36" customFormat="1" ht="21.75" customHeight="1">
      <c r="A1031" s="223" t="s">
        <v>378</v>
      </c>
      <c r="B1031" s="21"/>
      <c r="C1031" s="35" t="s">
        <v>793</v>
      </c>
      <c r="D1031" s="22" t="s">
        <v>1013</v>
      </c>
      <c r="E1031" s="22" t="s">
        <v>1281</v>
      </c>
      <c r="F1031" s="23" t="s">
        <v>379</v>
      </c>
      <c r="G1031" s="24">
        <v>5271.4</v>
      </c>
      <c r="H1031" s="24"/>
      <c r="I1031" s="24"/>
      <c r="J1031" s="162">
        <f>SUM('[1]ведомствен.2012'!G857)</f>
        <v>5271.4</v>
      </c>
    </row>
    <row r="1032" spans="1:10" s="36" customFormat="1" ht="17.25" customHeight="1">
      <c r="A1032" s="274" t="s">
        <v>1010</v>
      </c>
      <c r="B1032" s="21"/>
      <c r="C1032" s="35" t="s">
        <v>793</v>
      </c>
      <c r="D1032" s="22" t="s">
        <v>1013</v>
      </c>
      <c r="E1032" s="22" t="s">
        <v>1281</v>
      </c>
      <c r="F1032" s="23" t="s">
        <v>1011</v>
      </c>
      <c r="G1032" s="24">
        <v>19.8</v>
      </c>
      <c r="H1032" s="24">
        <v>4180.7</v>
      </c>
      <c r="I1032" s="24">
        <f t="shared" si="26"/>
        <v>21114.646464646463</v>
      </c>
      <c r="J1032" s="162">
        <f>SUM('[1]ведомствен.2012'!G858)</f>
        <v>19.8</v>
      </c>
    </row>
    <row r="1033" spans="1:9" s="36" customFormat="1" ht="44.25" customHeight="1" hidden="1">
      <c r="A1033" s="223" t="s">
        <v>825</v>
      </c>
      <c r="B1033" s="21"/>
      <c r="C1033" s="35" t="s">
        <v>793</v>
      </c>
      <c r="D1033" s="22" t="s">
        <v>1013</v>
      </c>
      <c r="E1033" s="22" t="s">
        <v>1282</v>
      </c>
      <c r="F1033" s="23"/>
      <c r="G1033" s="24">
        <f>SUM(G1034)</f>
        <v>0</v>
      </c>
      <c r="H1033" s="24">
        <f>SUM(H1034)</f>
        <v>0</v>
      </c>
      <c r="I1033" s="24" t="e">
        <f t="shared" si="26"/>
        <v>#DIV/0!</v>
      </c>
    </row>
    <row r="1034" spans="1:9" s="36" customFormat="1" ht="15" hidden="1">
      <c r="A1034" s="223" t="s">
        <v>378</v>
      </c>
      <c r="B1034" s="21"/>
      <c r="C1034" s="35" t="s">
        <v>793</v>
      </c>
      <c r="D1034" s="22" t="s">
        <v>1013</v>
      </c>
      <c r="E1034" s="22" t="s">
        <v>1282</v>
      </c>
      <c r="F1034" s="23" t="s">
        <v>379</v>
      </c>
      <c r="G1034" s="24"/>
      <c r="H1034" s="24"/>
      <c r="I1034" s="24" t="e">
        <f t="shared" si="26"/>
        <v>#DIV/0!</v>
      </c>
    </row>
    <row r="1035" spans="1:9" s="83" customFormat="1" ht="109.5" customHeight="1" hidden="1">
      <c r="A1035" s="223" t="s">
        <v>1283</v>
      </c>
      <c r="B1035" s="21"/>
      <c r="C1035" s="35" t="s">
        <v>793</v>
      </c>
      <c r="D1035" s="22" t="s">
        <v>1013</v>
      </c>
      <c r="E1035" s="22" t="s">
        <v>1284</v>
      </c>
      <c r="F1035" s="23"/>
      <c r="G1035" s="24">
        <f>SUM(G1036)</f>
        <v>0</v>
      </c>
      <c r="H1035" s="24">
        <f>SUM(H1036)</f>
        <v>0</v>
      </c>
      <c r="I1035" s="24" t="e">
        <f t="shared" si="26"/>
        <v>#DIV/0!</v>
      </c>
    </row>
    <row r="1036" spans="1:9" s="83" customFormat="1" ht="19.5" customHeight="1" hidden="1">
      <c r="A1036" s="223" t="s">
        <v>378</v>
      </c>
      <c r="B1036" s="21"/>
      <c r="C1036" s="35" t="s">
        <v>793</v>
      </c>
      <c r="D1036" s="22" t="s">
        <v>1013</v>
      </c>
      <c r="E1036" s="22" t="s">
        <v>1284</v>
      </c>
      <c r="F1036" s="23" t="s">
        <v>379</v>
      </c>
      <c r="G1036" s="24"/>
      <c r="H1036" s="24"/>
      <c r="I1036" s="24" t="e">
        <f t="shared" si="26"/>
        <v>#DIV/0!</v>
      </c>
    </row>
    <row r="1037" spans="1:9" s="36" customFormat="1" ht="15">
      <c r="A1037" s="295" t="s">
        <v>1285</v>
      </c>
      <c r="B1037" s="71"/>
      <c r="C1037" s="52" t="s">
        <v>793</v>
      </c>
      <c r="D1037" s="52" t="s">
        <v>1013</v>
      </c>
      <c r="E1037" s="52" t="s">
        <v>1286</v>
      </c>
      <c r="F1037" s="27"/>
      <c r="G1037" s="24">
        <f>SUM(G1038)</f>
        <v>12819.8</v>
      </c>
      <c r="H1037" s="24">
        <f>SUM(H1038)</f>
        <v>16724.6</v>
      </c>
      <c r="I1037" s="24">
        <f t="shared" si="26"/>
        <v>130.45913352782415</v>
      </c>
    </row>
    <row r="1038" spans="1:10" s="36" customFormat="1" ht="15">
      <c r="A1038" s="223" t="s">
        <v>378</v>
      </c>
      <c r="B1038" s="71"/>
      <c r="C1038" s="52" t="s">
        <v>793</v>
      </c>
      <c r="D1038" s="52" t="s">
        <v>1013</v>
      </c>
      <c r="E1038" s="52" t="s">
        <v>1286</v>
      </c>
      <c r="F1038" s="27" t="s">
        <v>379</v>
      </c>
      <c r="G1038" s="24">
        <v>12819.8</v>
      </c>
      <c r="H1038" s="24">
        <v>16724.6</v>
      </c>
      <c r="I1038" s="24">
        <f t="shared" si="26"/>
        <v>130.45913352782415</v>
      </c>
      <c r="J1038" s="162">
        <f>SUM('[1]ведомствен.2012'!G863)</f>
        <v>12819.8</v>
      </c>
    </row>
    <row r="1039" spans="1:9" s="36" customFormat="1" ht="33" customHeight="1">
      <c r="A1039" s="223" t="s">
        <v>1287</v>
      </c>
      <c r="B1039" s="71"/>
      <c r="C1039" s="52" t="s">
        <v>793</v>
      </c>
      <c r="D1039" s="52" t="s">
        <v>1013</v>
      </c>
      <c r="E1039" s="52" t="s">
        <v>1288</v>
      </c>
      <c r="F1039" s="27"/>
      <c r="G1039" s="24">
        <f>SUM(G1040)</f>
        <v>6110.6</v>
      </c>
      <c r="H1039" s="24">
        <f>SUM(H1040)</f>
        <v>4118.3</v>
      </c>
      <c r="I1039" s="24">
        <f t="shared" si="26"/>
        <v>67.39600039276013</v>
      </c>
    </row>
    <row r="1040" spans="1:10" s="36" customFormat="1" ht="15">
      <c r="A1040" s="223" t="s">
        <v>378</v>
      </c>
      <c r="B1040" s="71"/>
      <c r="C1040" s="52" t="s">
        <v>793</v>
      </c>
      <c r="D1040" s="52" t="s">
        <v>1013</v>
      </c>
      <c r="E1040" s="52" t="s">
        <v>1288</v>
      </c>
      <c r="F1040" s="27" t="s">
        <v>379</v>
      </c>
      <c r="G1040" s="24">
        <v>6110.6</v>
      </c>
      <c r="H1040" s="24">
        <v>4118.3</v>
      </c>
      <c r="I1040" s="24">
        <f t="shared" si="26"/>
        <v>67.39600039276013</v>
      </c>
      <c r="J1040" s="162">
        <f>SUM('[1]ведомствен.2012'!G865)</f>
        <v>6110.6</v>
      </c>
    </row>
    <row r="1041" spans="1:9" s="36" customFormat="1" ht="57" hidden="1">
      <c r="A1041" s="223" t="s">
        <v>293</v>
      </c>
      <c r="B1041" s="21"/>
      <c r="C1041" s="35" t="s">
        <v>793</v>
      </c>
      <c r="D1041" s="35" t="s">
        <v>1013</v>
      </c>
      <c r="E1041" s="22" t="s">
        <v>330</v>
      </c>
      <c r="F1041" s="23"/>
      <c r="G1041" s="24">
        <f>SUM(G1042)</f>
        <v>0</v>
      </c>
      <c r="H1041" s="24">
        <f>SUM(H1042)</f>
        <v>5628.5</v>
      </c>
      <c r="I1041" s="24" t="e">
        <f t="shared" si="26"/>
        <v>#DIV/0!</v>
      </c>
    </row>
    <row r="1042" spans="1:9" s="36" customFormat="1" ht="57" hidden="1">
      <c r="A1042" s="286" t="s">
        <v>331</v>
      </c>
      <c r="B1042" s="21"/>
      <c r="C1042" s="35" t="s">
        <v>793</v>
      </c>
      <c r="D1042" s="35" t="s">
        <v>1013</v>
      </c>
      <c r="E1042" s="22" t="s">
        <v>332</v>
      </c>
      <c r="F1042" s="26"/>
      <c r="G1042" s="24">
        <f>SUM(G1043)</f>
        <v>0</v>
      </c>
      <c r="H1042" s="24">
        <f>SUM(H1043)</f>
        <v>5628.5</v>
      </c>
      <c r="I1042" s="24" t="e">
        <f t="shared" si="26"/>
        <v>#DIV/0!</v>
      </c>
    </row>
    <row r="1043" spans="1:9" s="36" customFormat="1" ht="15" hidden="1">
      <c r="A1043" s="223" t="s">
        <v>378</v>
      </c>
      <c r="B1043" s="77"/>
      <c r="C1043" s="35" t="s">
        <v>793</v>
      </c>
      <c r="D1043" s="35" t="s">
        <v>1013</v>
      </c>
      <c r="E1043" s="22" t="s">
        <v>332</v>
      </c>
      <c r="F1043" s="88" t="s">
        <v>379</v>
      </c>
      <c r="G1043" s="49"/>
      <c r="H1043" s="49">
        <v>5628.5</v>
      </c>
      <c r="I1043" s="24" t="e">
        <f t="shared" si="26"/>
        <v>#DIV/0!</v>
      </c>
    </row>
    <row r="1044" spans="1:9" s="36" customFormat="1" ht="48" customHeight="1">
      <c r="A1044" s="286" t="s">
        <v>333</v>
      </c>
      <c r="B1044" s="21"/>
      <c r="C1044" s="35" t="s">
        <v>793</v>
      </c>
      <c r="D1044" s="35" t="s">
        <v>1013</v>
      </c>
      <c r="E1044" s="35" t="s">
        <v>334</v>
      </c>
      <c r="F1044" s="26"/>
      <c r="G1044" s="24">
        <f>SUM(G1045)</f>
        <v>115.7</v>
      </c>
      <c r="H1044" s="24">
        <f>SUM(H1045)</f>
        <v>12.8</v>
      </c>
      <c r="I1044" s="24">
        <f t="shared" si="26"/>
        <v>11.063094209161624</v>
      </c>
    </row>
    <row r="1045" spans="1:10" s="36" customFormat="1" ht="23.25" customHeight="1">
      <c r="A1045" s="223" t="s">
        <v>378</v>
      </c>
      <c r="B1045" s="21"/>
      <c r="C1045" s="35" t="s">
        <v>793</v>
      </c>
      <c r="D1045" s="35" t="s">
        <v>1013</v>
      </c>
      <c r="E1045" s="35" t="s">
        <v>334</v>
      </c>
      <c r="F1045" s="26" t="s">
        <v>379</v>
      </c>
      <c r="G1045" s="24">
        <v>115.7</v>
      </c>
      <c r="H1045" s="24">
        <v>12.8</v>
      </c>
      <c r="I1045" s="24">
        <f t="shared" si="26"/>
        <v>11.063094209161624</v>
      </c>
      <c r="J1045" s="162">
        <f>SUM('[1]ведомствен.2012'!G868)</f>
        <v>115.7</v>
      </c>
    </row>
    <row r="1046" spans="1:9" s="36" customFormat="1" ht="28.5">
      <c r="A1046" s="273" t="s">
        <v>335</v>
      </c>
      <c r="B1046" s="21"/>
      <c r="C1046" s="35" t="s">
        <v>793</v>
      </c>
      <c r="D1046" s="35" t="s">
        <v>1013</v>
      </c>
      <c r="E1046" s="35" t="s">
        <v>336</v>
      </c>
      <c r="F1046" s="26"/>
      <c r="G1046" s="24">
        <f>SUM(G1047:G1048)</f>
        <v>134736.19999999998</v>
      </c>
      <c r="H1046" s="24">
        <f>SUM(H1047)</f>
        <v>90050.4</v>
      </c>
      <c r="I1046" s="24">
        <f t="shared" si="26"/>
        <v>66.83459975863948</v>
      </c>
    </row>
    <row r="1047" spans="1:10" s="36" customFormat="1" ht="15">
      <c r="A1047" s="223" t="s">
        <v>378</v>
      </c>
      <c r="B1047" s="34"/>
      <c r="C1047" s="35" t="s">
        <v>793</v>
      </c>
      <c r="D1047" s="35" t="s">
        <v>1013</v>
      </c>
      <c r="E1047" s="35" t="s">
        <v>336</v>
      </c>
      <c r="F1047" s="26" t="s">
        <v>379</v>
      </c>
      <c r="G1047" s="24">
        <v>134246.9</v>
      </c>
      <c r="H1047" s="24">
        <v>90050.4</v>
      </c>
      <c r="I1047" s="24">
        <f t="shared" si="26"/>
        <v>67.07819696395224</v>
      </c>
      <c r="J1047" s="162">
        <f>SUM('[1]ведомствен.2012'!G870)</f>
        <v>134246.9</v>
      </c>
    </row>
    <row r="1048" spans="1:10" s="36" customFormat="1" ht="15">
      <c r="A1048" s="236" t="s">
        <v>1010</v>
      </c>
      <c r="B1048" s="34"/>
      <c r="C1048" s="35" t="s">
        <v>793</v>
      </c>
      <c r="D1048" s="35" t="s">
        <v>1013</v>
      </c>
      <c r="E1048" s="35" t="s">
        <v>336</v>
      </c>
      <c r="F1048" s="26" t="s">
        <v>1011</v>
      </c>
      <c r="G1048" s="24">
        <v>489.3</v>
      </c>
      <c r="H1048" s="24"/>
      <c r="I1048" s="24"/>
      <c r="J1048" s="162">
        <f>SUM('[1]ведомствен.2012'!G871)</f>
        <v>489.3</v>
      </c>
    </row>
    <row r="1049" spans="1:9" s="36" customFormat="1" ht="42.75">
      <c r="A1049" s="223" t="s">
        <v>337</v>
      </c>
      <c r="B1049" s="21"/>
      <c r="C1049" s="35" t="s">
        <v>793</v>
      </c>
      <c r="D1049" s="35" t="s">
        <v>1013</v>
      </c>
      <c r="E1049" s="35" t="s">
        <v>338</v>
      </c>
      <c r="F1049" s="26"/>
      <c r="G1049" s="24">
        <f>SUM(G1050)</f>
        <v>83492.9</v>
      </c>
      <c r="H1049" s="24">
        <f>SUM(H1050)</f>
        <v>56493.7</v>
      </c>
      <c r="I1049" s="24">
        <f t="shared" si="26"/>
        <v>67.66287911906282</v>
      </c>
    </row>
    <row r="1050" spans="1:10" s="36" customFormat="1" ht="15">
      <c r="A1050" s="223" t="s">
        <v>378</v>
      </c>
      <c r="B1050" s="21"/>
      <c r="C1050" s="35" t="s">
        <v>793</v>
      </c>
      <c r="D1050" s="35" t="s">
        <v>1013</v>
      </c>
      <c r="E1050" s="35" t="s">
        <v>338</v>
      </c>
      <c r="F1050" s="26" t="s">
        <v>379</v>
      </c>
      <c r="G1050" s="24">
        <v>83492.9</v>
      </c>
      <c r="H1050" s="24">
        <v>56493.7</v>
      </c>
      <c r="I1050" s="24">
        <f t="shared" si="26"/>
        <v>67.66287911906282</v>
      </c>
      <c r="J1050" s="162">
        <f>SUM('[1]ведомствен.2012'!G873)</f>
        <v>83492.9</v>
      </c>
    </row>
    <row r="1051" spans="1:9" s="36" customFormat="1" ht="28.5">
      <c r="A1051" s="223" t="s">
        <v>341</v>
      </c>
      <c r="B1051" s="21"/>
      <c r="C1051" s="35" t="s">
        <v>793</v>
      </c>
      <c r="D1051" s="35" t="s">
        <v>1013</v>
      </c>
      <c r="E1051" s="35" t="s">
        <v>342</v>
      </c>
      <c r="F1051" s="26"/>
      <c r="G1051" s="24">
        <f>SUM(G1052+G1056+G1058+G1071+G1073+G1066+G1077)+G1054+G1069</f>
        <v>230625.30000000002</v>
      </c>
      <c r="H1051" s="24">
        <f>SUM(H1052+H1056+H1058+H1071+H1073+H1066+H1077)</f>
        <v>182903.19999999998</v>
      </c>
      <c r="I1051" s="24">
        <f t="shared" si="26"/>
        <v>79.30751743195563</v>
      </c>
    </row>
    <row r="1052" spans="1:9" s="36" customFormat="1" ht="28.5">
      <c r="A1052" s="286" t="s">
        <v>588</v>
      </c>
      <c r="B1052" s="21"/>
      <c r="C1052" s="35" t="s">
        <v>793</v>
      </c>
      <c r="D1052" s="35" t="s">
        <v>1013</v>
      </c>
      <c r="E1052" s="35" t="s">
        <v>589</v>
      </c>
      <c r="F1052" s="26"/>
      <c r="G1052" s="24">
        <f>SUM(G1053)</f>
        <v>50197</v>
      </c>
      <c r="H1052" s="24">
        <f>SUM(H1053)</f>
        <v>37224.7</v>
      </c>
      <c r="I1052" s="24">
        <f t="shared" si="26"/>
        <v>74.15722055102893</v>
      </c>
    </row>
    <row r="1053" spans="1:10" s="36" customFormat="1" ht="15">
      <c r="A1053" s="223" t="s">
        <v>378</v>
      </c>
      <c r="B1053" s="21"/>
      <c r="C1053" s="35" t="s">
        <v>793</v>
      </c>
      <c r="D1053" s="35" t="s">
        <v>1013</v>
      </c>
      <c r="E1053" s="35" t="s">
        <v>589</v>
      </c>
      <c r="F1053" s="26" t="s">
        <v>379</v>
      </c>
      <c r="G1053" s="24">
        <v>50197</v>
      </c>
      <c r="H1053" s="24">
        <v>37224.7</v>
      </c>
      <c r="I1053" s="24">
        <f t="shared" si="26"/>
        <v>74.15722055102893</v>
      </c>
      <c r="J1053" s="162">
        <f>SUM('[1]ведомствен.2012'!G876)</f>
        <v>50197</v>
      </c>
    </row>
    <row r="1054" spans="1:9" s="36" customFormat="1" ht="87" customHeight="1">
      <c r="A1054" s="222" t="s">
        <v>676</v>
      </c>
      <c r="B1054" s="28"/>
      <c r="C1054" s="35" t="s">
        <v>793</v>
      </c>
      <c r="D1054" s="22" t="s">
        <v>1013</v>
      </c>
      <c r="E1054" s="35" t="s">
        <v>677</v>
      </c>
      <c r="F1054" s="23"/>
      <c r="G1054" s="24">
        <f>SUM(G1055)</f>
        <v>19493</v>
      </c>
      <c r="H1054" s="24">
        <f>SUM(H1055)</f>
        <v>0</v>
      </c>
      <c r="I1054" s="24">
        <f t="shared" si="26"/>
        <v>0</v>
      </c>
    </row>
    <row r="1055" spans="1:10" s="36" customFormat="1" ht="27" customHeight="1">
      <c r="A1055" s="222" t="s">
        <v>378</v>
      </c>
      <c r="B1055" s="28"/>
      <c r="C1055" s="35" t="s">
        <v>793</v>
      </c>
      <c r="D1055" s="22" t="s">
        <v>1013</v>
      </c>
      <c r="E1055" s="35" t="s">
        <v>677</v>
      </c>
      <c r="F1055" s="23" t="s">
        <v>379</v>
      </c>
      <c r="G1055" s="24">
        <v>19493</v>
      </c>
      <c r="H1055" s="24"/>
      <c r="I1055" s="24">
        <f t="shared" si="26"/>
        <v>0</v>
      </c>
      <c r="J1055" s="36">
        <f>SUM('[1]ведомствен.2012'!G878)</f>
        <v>19493</v>
      </c>
    </row>
    <row r="1056" spans="1:9" s="36" customFormat="1" ht="72.75" customHeight="1">
      <c r="A1056" s="276" t="s">
        <v>1228</v>
      </c>
      <c r="B1056" s="28"/>
      <c r="C1056" s="35" t="s">
        <v>793</v>
      </c>
      <c r="D1056" s="22" t="s">
        <v>1013</v>
      </c>
      <c r="E1056" s="35" t="s">
        <v>590</v>
      </c>
      <c r="F1056" s="23"/>
      <c r="G1056" s="24">
        <f>SUM(G1057)</f>
        <v>18167</v>
      </c>
      <c r="H1056" s="24">
        <f>SUM(H1057)</f>
        <v>29554</v>
      </c>
      <c r="I1056" s="24">
        <f t="shared" si="26"/>
        <v>162.6795838608466</v>
      </c>
    </row>
    <row r="1057" spans="1:10" s="36" customFormat="1" ht="15">
      <c r="A1057" s="223" t="s">
        <v>378</v>
      </c>
      <c r="B1057" s="28"/>
      <c r="C1057" s="35" t="s">
        <v>793</v>
      </c>
      <c r="D1057" s="22" t="s">
        <v>1013</v>
      </c>
      <c r="E1057" s="35" t="s">
        <v>590</v>
      </c>
      <c r="F1057" s="23" t="s">
        <v>379</v>
      </c>
      <c r="G1057" s="24">
        <v>18167</v>
      </c>
      <c r="H1057" s="24">
        <v>29554</v>
      </c>
      <c r="I1057" s="24">
        <f t="shared" si="26"/>
        <v>162.6795838608466</v>
      </c>
      <c r="J1057" s="162">
        <f>SUM('[1]ведомствен.2012'!G880)</f>
        <v>18167</v>
      </c>
    </row>
    <row r="1058" spans="1:9" s="36" customFormat="1" ht="87.75" customHeight="1">
      <c r="A1058" s="276" t="s">
        <v>275</v>
      </c>
      <c r="B1058" s="28"/>
      <c r="C1058" s="35" t="s">
        <v>793</v>
      </c>
      <c r="D1058" s="22" t="s">
        <v>1013</v>
      </c>
      <c r="E1058" s="35" t="s">
        <v>591</v>
      </c>
      <c r="F1058" s="23"/>
      <c r="G1058" s="24">
        <f>SUM(G1059)</f>
        <v>8964.7</v>
      </c>
      <c r="H1058" s="24">
        <f>SUM(H1059)</f>
        <v>37911</v>
      </c>
      <c r="I1058" s="24">
        <f t="shared" si="26"/>
        <v>422.8920097716599</v>
      </c>
    </row>
    <row r="1059" spans="1:10" s="36" customFormat="1" ht="15">
      <c r="A1059" s="223" t="s">
        <v>378</v>
      </c>
      <c r="B1059" s="28"/>
      <c r="C1059" s="35" t="s">
        <v>793</v>
      </c>
      <c r="D1059" s="22" t="s">
        <v>1013</v>
      </c>
      <c r="E1059" s="35" t="s">
        <v>591</v>
      </c>
      <c r="F1059" s="23" t="s">
        <v>379</v>
      </c>
      <c r="G1059" s="24">
        <v>8964.7</v>
      </c>
      <c r="H1059" s="24">
        <v>37911</v>
      </c>
      <c r="I1059" s="24">
        <f t="shared" si="26"/>
        <v>422.8920097716599</v>
      </c>
      <c r="J1059" s="162">
        <f>SUM('[1]ведомствен.2012'!G882)</f>
        <v>8964.7</v>
      </c>
    </row>
    <row r="1060" spans="1:9" s="36" customFormat="1" ht="71.25" customHeight="1" hidden="1">
      <c r="A1060" s="223" t="s">
        <v>276</v>
      </c>
      <c r="B1060" s="28"/>
      <c r="C1060" s="35" t="s">
        <v>793</v>
      </c>
      <c r="D1060" s="22" t="s">
        <v>1013</v>
      </c>
      <c r="E1060" s="35" t="s">
        <v>590</v>
      </c>
      <c r="F1060" s="23"/>
      <c r="G1060" s="24">
        <f>SUM(G1061)</f>
        <v>0</v>
      </c>
      <c r="H1060" s="24">
        <f>SUM(H1061)</f>
        <v>0</v>
      </c>
      <c r="I1060" s="24" t="e">
        <f t="shared" si="26"/>
        <v>#DIV/0!</v>
      </c>
    </row>
    <row r="1061" spans="1:9" s="36" customFormat="1" ht="15" customHeight="1" hidden="1">
      <c r="A1061" s="223" t="s">
        <v>378</v>
      </c>
      <c r="B1061" s="28"/>
      <c r="C1061" s="35" t="s">
        <v>793</v>
      </c>
      <c r="D1061" s="22" t="s">
        <v>1013</v>
      </c>
      <c r="E1061" s="35" t="s">
        <v>590</v>
      </c>
      <c r="F1061" s="23" t="s">
        <v>379</v>
      </c>
      <c r="G1061" s="24"/>
      <c r="H1061" s="24"/>
      <c r="I1061" s="24" t="e">
        <f t="shared" si="26"/>
        <v>#DIV/0!</v>
      </c>
    </row>
    <row r="1062" spans="1:9" s="36" customFormat="1" ht="85.5" customHeight="1" hidden="1">
      <c r="A1062" s="223" t="s">
        <v>277</v>
      </c>
      <c r="B1062" s="28"/>
      <c r="C1062" s="35" t="s">
        <v>793</v>
      </c>
      <c r="D1062" s="22" t="s">
        <v>1013</v>
      </c>
      <c r="E1062" s="35" t="s">
        <v>591</v>
      </c>
      <c r="F1062" s="23"/>
      <c r="G1062" s="24">
        <f>SUM(G1063)</f>
        <v>0</v>
      </c>
      <c r="H1062" s="24">
        <f>SUM(H1063)</f>
        <v>0</v>
      </c>
      <c r="I1062" s="24" t="e">
        <f t="shared" si="26"/>
        <v>#DIV/0!</v>
      </c>
    </row>
    <row r="1063" spans="1:9" s="36" customFormat="1" ht="15" customHeight="1" hidden="1">
      <c r="A1063" s="223" t="s">
        <v>378</v>
      </c>
      <c r="B1063" s="28"/>
      <c r="C1063" s="35" t="s">
        <v>793</v>
      </c>
      <c r="D1063" s="22" t="s">
        <v>1013</v>
      </c>
      <c r="E1063" s="35" t="s">
        <v>591</v>
      </c>
      <c r="F1063" s="23" t="s">
        <v>379</v>
      </c>
      <c r="G1063" s="24"/>
      <c r="H1063" s="24"/>
      <c r="I1063" s="24" t="e">
        <f t="shared" si="26"/>
        <v>#DIV/0!</v>
      </c>
    </row>
    <row r="1064" spans="1:9" s="36" customFormat="1" ht="57" customHeight="1" hidden="1">
      <c r="A1064" s="286" t="s">
        <v>592</v>
      </c>
      <c r="B1064" s="21"/>
      <c r="C1064" s="35" t="s">
        <v>793</v>
      </c>
      <c r="D1064" s="35" t="s">
        <v>1013</v>
      </c>
      <c r="E1064" s="35" t="s">
        <v>593</v>
      </c>
      <c r="F1064" s="26"/>
      <c r="G1064" s="24">
        <f>SUM(G1065)</f>
        <v>0</v>
      </c>
      <c r="H1064" s="24">
        <f>SUM(H1065)</f>
        <v>0</v>
      </c>
      <c r="I1064" s="24" t="e">
        <f t="shared" si="26"/>
        <v>#DIV/0!</v>
      </c>
    </row>
    <row r="1065" spans="1:9" s="36" customFormat="1" ht="15" customHeight="1" hidden="1">
      <c r="A1065" s="223" t="s">
        <v>378</v>
      </c>
      <c r="B1065" s="21"/>
      <c r="C1065" s="35" t="s">
        <v>793</v>
      </c>
      <c r="D1065" s="35" t="s">
        <v>1013</v>
      </c>
      <c r="E1065" s="35" t="s">
        <v>593</v>
      </c>
      <c r="F1065" s="26" t="s">
        <v>379</v>
      </c>
      <c r="G1065" s="24"/>
      <c r="H1065" s="24"/>
      <c r="I1065" s="24" t="e">
        <f t="shared" si="26"/>
        <v>#DIV/0!</v>
      </c>
    </row>
    <row r="1066" spans="1:10" ht="93" customHeight="1">
      <c r="A1066" s="223" t="s">
        <v>278</v>
      </c>
      <c r="B1066" s="21"/>
      <c r="C1066" s="35" t="s">
        <v>793</v>
      </c>
      <c r="D1066" s="35" t="s">
        <v>1013</v>
      </c>
      <c r="E1066" s="35" t="s">
        <v>597</v>
      </c>
      <c r="F1066" s="26"/>
      <c r="G1066" s="24">
        <f>SUM(G1067:G1068)</f>
        <v>122932.6</v>
      </c>
      <c r="H1066" s="24">
        <f>SUM(H1067)</f>
        <v>70381.4</v>
      </c>
      <c r="I1066" s="24">
        <f t="shared" si="26"/>
        <v>57.25202265306354</v>
      </c>
      <c r="J1066"/>
    </row>
    <row r="1067" spans="1:10" ht="15">
      <c r="A1067" s="223" t="s">
        <v>378</v>
      </c>
      <c r="B1067" s="21"/>
      <c r="C1067" s="35" t="s">
        <v>793</v>
      </c>
      <c r="D1067" s="22" t="s">
        <v>1013</v>
      </c>
      <c r="E1067" s="35" t="s">
        <v>597</v>
      </c>
      <c r="F1067" s="23" t="s">
        <v>379</v>
      </c>
      <c r="G1067" s="24">
        <v>122109.8</v>
      </c>
      <c r="H1067" s="24">
        <v>70381.4</v>
      </c>
      <c r="I1067" s="24">
        <f t="shared" si="26"/>
        <v>57.63779811284597</v>
      </c>
      <c r="J1067" s="162">
        <f>SUM('[1]ведомствен.2012'!G890)</f>
        <v>122109.8</v>
      </c>
    </row>
    <row r="1068" spans="1:10" ht="15">
      <c r="A1068" s="274" t="s">
        <v>1010</v>
      </c>
      <c r="B1068" s="21"/>
      <c r="C1068" s="35" t="s">
        <v>793</v>
      </c>
      <c r="D1068" s="22" t="s">
        <v>1013</v>
      </c>
      <c r="E1068" s="35" t="s">
        <v>597</v>
      </c>
      <c r="F1068" s="23" t="s">
        <v>1011</v>
      </c>
      <c r="G1068" s="24">
        <v>822.8</v>
      </c>
      <c r="H1068" s="24"/>
      <c r="I1068" s="24"/>
      <c r="J1068" s="162">
        <f>SUM('[1]ведомствен.2012'!G891)</f>
        <v>822.8</v>
      </c>
    </row>
    <row r="1069" spans="1:10" ht="42.75">
      <c r="A1069" s="236" t="s">
        <v>678</v>
      </c>
      <c r="B1069" s="21"/>
      <c r="C1069" s="35" t="s">
        <v>793</v>
      </c>
      <c r="D1069" s="35" t="s">
        <v>1013</v>
      </c>
      <c r="E1069" s="35" t="s">
        <v>679</v>
      </c>
      <c r="F1069" s="23"/>
      <c r="G1069" s="24">
        <f>SUM(G1070)</f>
        <v>1172</v>
      </c>
      <c r="H1069" s="24"/>
      <c r="I1069" s="24"/>
      <c r="J1069" s="162"/>
    </row>
    <row r="1070" spans="1:10" ht="15">
      <c r="A1070" s="222" t="s">
        <v>378</v>
      </c>
      <c r="B1070" s="21"/>
      <c r="C1070" s="35" t="s">
        <v>793</v>
      </c>
      <c r="D1070" s="35" t="s">
        <v>1013</v>
      </c>
      <c r="E1070" s="35" t="s">
        <v>679</v>
      </c>
      <c r="F1070" s="23" t="s">
        <v>379</v>
      </c>
      <c r="G1070" s="24">
        <v>1172</v>
      </c>
      <c r="H1070" s="24"/>
      <c r="I1070" s="24"/>
      <c r="J1070" s="162">
        <f>SUM('[1]ведомствен.2012'!G892)</f>
        <v>1172</v>
      </c>
    </row>
    <row r="1071" spans="1:9" s="36" customFormat="1" ht="85.5">
      <c r="A1071" s="286" t="s">
        <v>358</v>
      </c>
      <c r="B1071" s="21"/>
      <c r="C1071" s="35" t="s">
        <v>793</v>
      </c>
      <c r="D1071" s="35" t="s">
        <v>1013</v>
      </c>
      <c r="E1071" s="35" t="s">
        <v>598</v>
      </c>
      <c r="F1071" s="26"/>
      <c r="G1071" s="24">
        <f>SUM(G1072)</f>
        <v>845</v>
      </c>
      <c r="H1071" s="24">
        <f>SUM(H1072)</f>
        <v>1365.8</v>
      </c>
      <c r="I1071" s="24">
        <f t="shared" si="26"/>
        <v>161.63313609467457</v>
      </c>
    </row>
    <row r="1072" spans="1:10" s="36" customFormat="1" ht="15">
      <c r="A1072" s="223" t="s">
        <v>378</v>
      </c>
      <c r="B1072" s="21"/>
      <c r="C1072" s="35" t="s">
        <v>793</v>
      </c>
      <c r="D1072" s="35" t="s">
        <v>1013</v>
      </c>
      <c r="E1072" s="35" t="s">
        <v>598</v>
      </c>
      <c r="F1072" s="26" t="s">
        <v>379</v>
      </c>
      <c r="G1072" s="24">
        <v>845</v>
      </c>
      <c r="H1072" s="24">
        <v>1365.8</v>
      </c>
      <c r="I1072" s="24">
        <f t="shared" si="26"/>
        <v>161.63313609467457</v>
      </c>
      <c r="J1072" s="162">
        <f>SUM('[1]ведомствен.2012'!G895)</f>
        <v>845</v>
      </c>
    </row>
    <row r="1073" spans="1:9" s="36" customFormat="1" ht="87.75" customHeight="1">
      <c r="A1073" s="286" t="s">
        <v>358</v>
      </c>
      <c r="B1073" s="21"/>
      <c r="C1073" s="35" t="s">
        <v>793</v>
      </c>
      <c r="D1073" s="35" t="s">
        <v>1013</v>
      </c>
      <c r="E1073" s="35" t="s">
        <v>599</v>
      </c>
      <c r="F1073" s="26"/>
      <c r="G1073" s="24">
        <f>SUM(G1074)</f>
        <v>303.8</v>
      </c>
      <c r="H1073" s="24">
        <f>SUM(H1074)</f>
        <v>1324.9</v>
      </c>
      <c r="I1073" s="24">
        <f t="shared" si="26"/>
        <v>436.1092824226465</v>
      </c>
    </row>
    <row r="1074" spans="1:10" s="36" customFormat="1" ht="13.5" customHeight="1">
      <c r="A1074" s="223" t="s">
        <v>378</v>
      </c>
      <c r="B1074" s="21"/>
      <c r="C1074" s="35" t="s">
        <v>793</v>
      </c>
      <c r="D1074" s="35" t="s">
        <v>1013</v>
      </c>
      <c r="E1074" s="35" t="s">
        <v>599</v>
      </c>
      <c r="F1074" s="26" t="s">
        <v>379</v>
      </c>
      <c r="G1074" s="24">
        <v>303.8</v>
      </c>
      <c r="H1074" s="24">
        <v>1324.9</v>
      </c>
      <c r="I1074" s="24">
        <f t="shared" si="26"/>
        <v>436.1092824226465</v>
      </c>
      <c r="J1074" s="162">
        <f>SUM('[1]ведомствен.2012'!G897)</f>
        <v>303.8</v>
      </c>
    </row>
    <row r="1075" spans="1:9" s="36" customFormat="1" ht="24" customHeight="1" hidden="1">
      <c r="A1075" s="220" t="s">
        <v>1287</v>
      </c>
      <c r="B1075" s="34"/>
      <c r="C1075" s="35" t="s">
        <v>793</v>
      </c>
      <c r="D1075" s="35" t="s">
        <v>1013</v>
      </c>
      <c r="E1075" s="35" t="s">
        <v>600</v>
      </c>
      <c r="F1075" s="26"/>
      <c r="G1075" s="24">
        <f>SUM(G1076)</f>
        <v>0</v>
      </c>
      <c r="H1075" s="24">
        <f>SUM(H1076)</f>
        <v>0</v>
      </c>
      <c r="I1075" s="24" t="e">
        <f t="shared" si="26"/>
        <v>#DIV/0!</v>
      </c>
    </row>
    <row r="1076" spans="1:9" s="36" customFormat="1" ht="30.75" customHeight="1" hidden="1">
      <c r="A1076" s="220" t="s">
        <v>378</v>
      </c>
      <c r="B1076" s="34"/>
      <c r="C1076" s="35" t="s">
        <v>793</v>
      </c>
      <c r="D1076" s="35" t="s">
        <v>1013</v>
      </c>
      <c r="E1076" s="35" t="s">
        <v>600</v>
      </c>
      <c r="F1076" s="26" t="s">
        <v>379</v>
      </c>
      <c r="G1076" s="24"/>
      <c r="H1076" s="24"/>
      <c r="I1076" s="24" t="e">
        <f t="shared" si="26"/>
        <v>#DIV/0!</v>
      </c>
    </row>
    <row r="1077" spans="1:10" ht="114" customHeight="1">
      <c r="A1077" s="220" t="s">
        <v>1182</v>
      </c>
      <c r="B1077" s="34"/>
      <c r="C1077" s="35" t="s">
        <v>793</v>
      </c>
      <c r="D1077" s="35" t="s">
        <v>1013</v>
      </c>
      <c r="E1077" s="35" t="s">
        <v>1183</v>
      </c>
      <c r="F1077" s="26"/>
      <c r="G1077" s="24">
        <f>SUM(G1078:G1079)</f>
        <v>8550.2</v>
      </c>
      <c r="H1077" s="24">
        <f>SUM(H1078)</f>
        <v>5141.4</v>
      </c>
      <c r="I1077" s="24">
        <f t="shared" si="26"/>
        <v>60.13192673855582</v>
      </c>
      <c r="J1077"/>
    </row>
    <row r="1078" spans="1:10" ht="18" customHeight="1">
      <c r="A1078" s="223" t="s">
        <v>378</v>
      </c>
      <c r="B1078" s="21"/>
      <c r="C1078" s="35" t="s">
        <v>793</v>
      </c>
      <c r="D1078" s="22" t="s">
        <v>1013</v>
      </c>
      <c r="E1078" s="35" t="s">
        <v>1183</v>
      </c>
      <c r="F1078" s="23" t="s">
        <v>379</v>
      </c>
      <c r="G1078" s="24">
        <v>8505.5</v>
      </c>
      <c r="H1078" s="24">
        <v>5141.4</v>
      </c>
      <c r="I1078" s="24">
        <f t="shared" si="26"/>
        <v>60.44794544706365</v>
      </c>
      <c r="J1078" s="162">
        <f>SUM('[1]ведомствен.2012'!G901)</f>
        <v>8505.5</v>
      </c>
    </row>
    <row r="1079" spans="1:10" ht="18" customHeight="1">
      <c r="A1079" s="274" t="s">
        <v>1010</v>
      </c>
      <c r="B1079" s="21"/>
      <c r="C1079" s="35" t="s">
        <v>793</v>
      </c>
      <c r="D1079" s="22" t="s">
        <v>1013</v>
      </c>
      <c r="E1079" s="35" t="s">
        <v>1183</v>
      </c>
      <c r="F1079" s="23" t="s">
        <v>1011</v>
      </c>
      <c r="G1079" s="24">
        <v>44.7</v>
      </c>
      <c r="H1079" s="24"/>
      <c r="I1079" s="24"/>
      <c r="J1079" s="162">
        <f>SUM('[1]ведомствен.2012'!G902)</f>
        <v>44.7</v>
      </c>
    </row>
    <row r="1080" spans="1:10" ht="18" customHeight="1">
      <c r="A1080" s="223" t="s">
        <v>1184</v>
      </c>
      <c r="B1080" s="21"/>
      <c r="C1080" s="35" t="s">
        <v>793</v>
      </c>
      <c r="D1080" s="35" t="s">
        <v>1013</v>
      </c>
      <c r="E1080" s="35" t="s">
        <v>1185</v>
      </c>
      <c r="F1080" s="26"/>
      <c r="G1080" s="24">
        <f>SUM(G1081)</f>
        <v>5041.4</v>
      </c>
      <c r="H1080" s="24">
        <f>SUM(H1081)</f>
        <v>2256.4</v>
      </c>
      <c r="I1080" s="24">
        <f t="shared" si="26"/>
        <v>44.75740865632563</v>
      </c>
      <c r="J1080"/>
    </row>
    <row r="1081" spans="1:10" ht="18" customHeight="1">
      <c r="A1081" s="223" t="s">
        <v>378</v>
      </c>
      <c r="B1081" s="21"/>
      <c r="C1081" s="35" t="s">
        <v>793</v>
      </c>
      <c r="D1081" s="35" t="s">
        <v>1013</v>
      </c>
      <c r="E1081" s="35" t="s">
        <v>1185</v>
      </c>
      <c r="F1081" s="26" t="s">
        <v>379</v>
      </c>
      <c r="G1081" s="24">
        <v>5041.4</v>
      </c>
      <c r="H1081" s="24">
        <v>2256.4</v>
      </c>
      <c r="I1081" s="24">
        <f t="shared" si="26"/>
        <v>44.75740865632563</v>
      </c>
      <c r="J1081" s="162">
        <f>SUM('[1]ведомствен.2012'!G1396)</f>
        <v>5041.4</v>
      </c>
    </row>
    <row r="1082" spans="1:10" ht="30.75" customHeight="1">
      <c r="A1082" s="223" t="s">
        <v>1186</v>
      </c>
      <c r="B1082" s="21"/>
      <c r="C1082" s="35" t="s">
        <v>793</v>
      </c>
      <c r="D1082" s="22" t="s">
        <v>1013</v>
      </c>
      <c r="E1082" s="22" t="s">
        <v>1187</v>
      </c>
      <c r="F1082" s="26"/>
      <c r="G1082" s="24">
        <f>SUM(G1083)</f>
        <v>1952.1</v>
      </c>
      <c r="H1082" s="24">
        <f>SUM(H1083)</f>
        <v>927.6</v>
      </c>
      <c r="I1082" s="24">
        <f t="shared" si="26"/>
        <v>47.518057476563705</v>
      </c>
      <c r="J1082"/>
    </row>
    <row r="1083" spans="1:10" ht="15">
      <c r="A1083" s="220" t="s">
        <v>1188</v>
      </c>
      <c r="B1083" s="21"/>
      <c r="C1083" s="35" t="s">
        <v>793</v>
      </c>
      <c r="D1083" s="22" t="s">
        <v>1013</v>
      </c>
      <c r="E1083" s="22" t="s">
        <v>1189</v>
      </c>
      <c r="F1083" s="26"/>
      <c r="G1083" s="24">
        <f>SUM(G1084:G1084)</f>
        <v>1952.1</v>
      </c>
      <c r="H1083" s="24">
        <f>SUM(H1084:H1084)</f>
        <v>927.6</v>
      </c>
      <c r="I1083" s="24">
        <f t="shared" si="26"/>
        <v>47.518057476563705</v>
      </c>
      <c r="J1083"/>
    </row>
    <row r="1084" spans="1:10" ht="14.25" customHeight="1">
      <c r="A1084" s="223" t="s">
        <v>378</v>
      </c>
      <c r="B1084" s="21"/>
      <c r="C1084" s="35" t="s">
        <v>793</v>
      </c>
      <c r="D1084" s="22" t="s">
        <v>1013</v>
      </c>
      <c r="E1084" s="22" t="s">
        <v>1189</v>
      </c>
      <c r="F1084" s="26" t="s">
        <v>379</v>
      </c>
      <c r="G1084" s="24">
        <v>1952.1</v>
      </c>
      <c r="H1084" s="24">
        <v>927.6</v>
      </c>
      <c r="I1084" s="24">
        <f aca="true" t="shared" si="27" ref="I1084:I1138">SUM(H1084/G1084*100)</f>
        <v>47.518057476563705</v>
      </c>
      <c r="J1084" s="162">
        <f>SUM('[1]ведомствен.2012'!G905)</f>
        <v>1952.1</v>
      </c>
    </row>
    <row r="1085" spans="1:9" s="73" customFormat="1" ht="15.75">
      <c r="A1085" s="223" t="s">
        <v>785</v>
      </c>
      <c r="B1085" s="51"/>
      <c r="C1085" s="35" t="s">
        <v>793</v>
      </c>
      <c r="D1085" s="35" t="s">
        <v>1013</v>
      </c>
      <c r="E1085" s="35" t="s">
        <v>786</v>
      </c>
      <c r="F1085" s="88"/>
      <c r="G1085" s="49">
        <f>SUM(G1086)</f>
        <v>5738.2</v>
      </c>
      <c r="H1085" s="49">
        <f>SUM(H1086)</f>
        <v>1957.2</v>
      </c>
      <c r="I1085" s="24">
        <f t="shared" si="27"/>
        <v>34.10825694468649</v>
      </c>
    </row>
    <row r="1086" spans="1:9" s="73" customFormat="1" ht="57">
      <c r="A1086" s="223" t="s">
        <v>1190</v>
      </c>
      <c r="B1086" s="77"/>
      <c r="C1086" s="35" t="s">
        <v>793</v>
      </c>
      <c r="D1086" s="35" t="s">
        <v>1013</v>
      </c>
      <c r="E1086" s="35" t="s">
        <v>652</v>
      </c>
      <c r="F1086" s="88"/>
      <c r="G1086" s="49">
        <f>SUM(G1087)+G1090</f>
        <v>5738.2</v>
      </c>
      <c r="H1086" s="49">
        <f>SUM(H1087)+H1090</f>
        <v>1957.2</v>
      </c>
      <c r="I1086" s="24">
        <f t="shared" si="27"/>
        <v>34.10825694468649</v>
      </c>
    </row>
    <row r="1087" spans="1:9" s="73" customFormat="1" ht="27.75" customHeight="1">
      <c r="A1087" s="223" t="s">
        <v>1191</v>
      </c>
      <c r="B1087" s="77"/>
      <c r="C1087" s="35" t="s">
        <v>793</v>
      </c>
      <c r="D1087" s="35" t="s">
        <v>1013</v>
      </c>
      <c r="E1087" s="35" t="s">
        <v>1192</v>
      </c>
      <c r="F1087" s="88"/>
      <c r="G1087" s="49">
        <f>SUM(G1088:G1089)</f>
        <v>5738.2</v>
      </c>
      <c r="H1087" s="49">
        <f>SUM(H1088:H1089)</f>
        <v>0</v>
      </c>
      <c r="I1087" s="24">
        <f t="shared" si="27"/>
        <v>0</v>
      </c>
    </row>
    <row r="1088" spans="1:9" s="73" customFormat="1" ht="16.5" customHeight="1" hidden="1">
      <c r="A1088" s="274" t="s">
        <v>1010</v>
      </c>
      <c r="B1088" s="77"/>
      <c r="C1088" s="35" t="s">
        <v>793</v>
      </c>
      <c r="D1088" s="35" t="s">
        <v>1013</v>
      </c>
      <c r="E1088" s="35" t="s">
        <v>1192</v>
      </c>
      <c r="F1088" s="88" t="s">
        <v>1011</v>
      </c>
      <c r="G1088" s="49"/>
      <c r="H1088" s="49"/>
      <c r="I1088" s="24" t="e">
        <f t="shared" si="27"/>
        <v>#DIV/0!</v>
      </c>
    </row>
    <row r="1089" spans="1:10" s="73" customFormat="1" ht="21" customHeight="1">
      <c r="A1089" s="223" t="s">
        <v>243</v>
      </c>
      <c r="B1089" s="77"/>
      <c r="C1089" s="35" t="s">
        <v>793</v>
      </c>
      <c r="D1089" s="35" t="s">
        <v>1013</v>
      </c>
      <c r="E1089" s="35" t="s">
        <v>1192</v>
      </c>
      <c r="F1089" s="88" t="s">
        <v>245</v>
      </c>
      <c r="G1089" s="49">
        <v>5738.2</v>
      </c>
      <c r="H1089" s="49"/>
      <c r="I1089" s="24">
        <f t="shared" si="27"/>
        <v>0</v>
      </c>
      <c r="J1089" s="73">
        <f>SUM('[1]ведомствен.2012'!G1026)</f>
        <v>5738.2</v>
      </c>
    </row>
    <row r="1090" spans="1:9" s="73" customFormat="1" ht="42.75" hidden="1">
      <c r="A1090" s="223" t="s">
        <v>246</v>
      </c>
      <c r="B1090" s="77"/>
      <c r="C1090" s="35" t="s">
        <v>793</v>
      </c>
      <c r="D1090" s="35" t="s">
        <v>1013</v>
      </c>
      <c r="E1090" s="35" t="s">
        <v>244</v>
      </c>
      <c r="F1090" s="88"/>
      <c r="G1090" s="49">
        <f>SUM(G1091)</f>
        <v>0</v>
      </c>
      <c r="H1090" s="49">
        <f>SUM(H1091)</f>
        <v>1957.2</v>
      </c>
      <c r="I1090" s="24" t="e">
        <f t="shared" si="27"/>
        <v>#DIV/0!</v>
      </c>
    </row>
    <row r="1091" spans="1:9" s="73" customFormat="1" ht="15" hidden="1">
      <c r="A1091" s="223" t="s">
        <v>243</v>
      </c>
      <c r="B1091" s="77"/>
      <c r="C1091" s="35" t="s">
        <v>793</v>
      </c>
      <c r="D1091" s="35" t="s">
        <v>1013</v>
      </c>
      <c r="E1091" s="35" t="s">
        <v>244</v>
      </c>
      <c r="F1091" s="88" t="s">
        <v>245</v>
      </c>
      <c r="G1091" s="49"/>
      <c r="H1091" s="49">
        <v>1957.2</v>
      </c>
      <c r="I1091" s="24" t="e">
        <f t="shared" si="27"/>
        <v>#DIV/0!</v>
      </c>
    </row>
    <row r="1092" spans="1:10" ht="18" customHeight="1">
      <c r="A1092" s="226" t="s">
        <v>1046</v>
      </c>
      <c r="B1092" s="21"/>
      <c r="C1092" s="35" t="s">
        <v>793</v>
      </c>
      <c r="D1092" s="35" t="s">
        <v>1013</v>
      </c>
      <c r="E1092" s="35" t="s">
        <v>1047</v>
      </c>
      <c r="F1092" s="26"/>
      <c r="G1092" s="24">
        <f>SUM(G1095+G1093+G1099)+G1103+G1101</f>
        <v>14920.9</v>
      </c>
      <c r="H1092" s="24">
        <f>SUM(H1095+H1093)</f>
        <v>4297.7</v>
      </c>
      <c r="I1092" s="24">
        <f t="shared" si="27"/>
        <v>28.80322232573102</v>
      </c>
      <c r="J1092"/>
    </row>
    <row r="1093" spans="1:10" ht="44.25" customHeight="1">
      <c r="A1093" s="226" t="s">
        <v>1181</v>
      </c>
      <c r="B1093" s="21"/>
      <c r="C1093" s="35" t="s">
        <v>793</v>
      </c>
      <c r="D1093" s="35" t="s">
        <v>1013</v>
      </c>
      <c r="E1093" s="35" t="s">
        <v>247</v>
      </c>
      <c r="F1093" s="26"/>
      <c r="G1093" s="24">
        <f>SUM(G1094)</f>
        <v>4206.5</v>
      </c>
      <c r="H1093" s="24">
        <f>SUM(H1094)</f>
        <v>3319.1</v>
      </c>
      <c r="I1093" s="24">
        <f t="shared" si="27"/>
        <v>78.90407702365387</v>
      </c>
      <c r="J1093"/>
    </row>
    <row r="1094" spans="1:10" ht="19.5" customHeight="1">
      <c r="A1094" s="223" t="s">
        <v>1188</v>
      </c>
      <c r="B1094" s="51"/>
      <c r="C1094" s="35" t="s">
        <v>793</v>
      </c>
      <c r="D1094" s="35" t="s">
        <v>1013</v>
      </c>
      <c r="E1094" s="35" t="s">
        <v>247</v>
      </c>
      <c r="F1094" s="27" t="s">
        <v>248</v>
      </c>
      <c r="G1094" s="24">
        <v>4206.5</v>
      </c>
      <c r="H1094" s="24">
        <v>3319.1</v>
      </c>
      <c r="I1094" s="24">
        <f t="shared" si="27"/>
        <v>78.90407702365387</v>
      </c>
      <c r="J1094" s="160">
        <f>SUM('[1]ведомствен.2012'!G908)</f>
        <v>4206.5</v>
      </c>
    </row>
    <row r="1095" spans="1:10" ht="17.25" customHeight="1" hidden="1">
      <c r="A1095" s="274" t="s">
        <v>1010</v>
      </c>
      <c r="B1095" s="21"/>
      <c r="C1095" s="35" t="s">
        <v>793</v>
      </c>
      <c r="D1095" s="35" t="s">
        <v>1013</v>
      </c>
      <c r="E1095" s="35" t="s">
        <v>1047</v>
      </c>
      <c r="F1095" s="26" t="s">
        <v>1011</v>
      </c>
      <c r="G1095" s="24">
        <f>SUM(G1096:G1096)</f>
        <v>0</v>
      </c>
      <c r="H1095" s="24">
        <f>SUM(H1096:H1096)</f>
        <v>978.6</v>
      </c>
      <c r="I1095" s="24" t="e">
        <f t="shared" si="27"/>
        <v>#DIV/0!</v>
      </c>
      <c r="J1095"/>
    </row>
    <row r="1096" spans="1:10" ht="13.5" customHeight="1" hidden="1">
      <c r="A1096" s="274" t="s">
        <v>870</v>
      </c>
      <c r="B1096" s="21"/>
      <c r="C1096" s="35" t="s">
        <v>793</v>
      </c>
      <c r="D1096" s="35" t="s">
        <v>1013</v>
      </c>
      <c r="E1096" s="31" t="s">
        <v>871</v>
      </c>
      <c r="F1096" s="23" t="s">
        <v>1011</v>
      </c>
      <c r="G1096" s="24">
        <f>SUM(G1097:G1098)</f>
        <v>0</v>
      </c>
      <c r="H1096" s="24">
        <f>SUM(H1097:H1098)</f>
        <v>978.6</v>
      </c>
      <c r="I1096" s="24" t="e">
        <f t="shared" si="27"/>
        <v>#DIV/0!</v>
      </c>
      <c r="J1096"/>
    </row>
    <row r="1097" spans="1:9" s="60" customFormat="1" ht="15.75" customHeight="1" hidden="1">
      <c r="A1097" s="223" t="s">
        <v>1191</v>
      </c>
      <c r="B1097" s="34"/>
      <c r="C1097" s="35" t="s">
        <v>793</v>
      </c>
      <c r="D1097" s="35" t="s">
        <v>1013</v>
      </c>
      <c r="E1097" s="31" t="s">
        <v>249</v>
      </c>
      <c r="F1097" s="23" t="s">
        <v>1011</v>
      </c>
      <c r="G1097" s="49"/>
      <c r="H1097" s="49"/>
      <c r="I1097" s="24" t="e">
        <f t="shared" si="27"/>
        <v>#DIV/0!</v>
      </c>
    </row>
    <row r="1098" spans="1:9" s="60" customFormat="1" ht="13.5" customHeight="1" hidden="1">
      <c r="A1098" s="223" t="s">
        <v>1127</v>
      </c>
      <c r="B1098" s="34"/>
      <c r="C1098" s="35" t="s">
        <v>793</v>
      </c>
      <c r="D1098" s="35" t="s">
        <v>1013</v>
      </c>
      <c r="E1098" s="31" t="s">
        <v>1128</v>
      </c>
      <c r="F1098" s="23" t="s">
        <v>1011</v>
      </c>
      <c r="G1098" s="49"/>
      <c r="H1098" s="49">
        <v>978.6</v>
      </c>
      <c r="I1098" s="24" t="e">
        <f t="shared" si="27"/>
        <v>#DIV/0!</v>
      </c>
    </row>
    <row r="1099" spans="1:10" ht="42" customHeight="1" hidden="1">
      <c r="A1099" s="274" t="s">
        <v>395</v>
      </c>
      <c r="B1099" s="21"/>
      <c r="C1099" s="35" t="s">
        <v>793</v>
      </c>
      <c r="D1099" s="35" t="s">
        <v>1013</v>
      </c>
      <c r="E1099" s="35" t="s">
        <v>396</v>
      </c>
      <c r="F1099" s="26"/>
      <c r="G1099" s="24">
        <f>SUM(G1100)</f>
        <v>0</v>
      </c>
      <c r="H1099" s="24"/>
      <c r="I1099" s="24"/>
      <c r="J1099"/>
    </row>
    <row r="1100" spans="1:10" ht="22.5" customHeight="1" hidden="1">
      <c r="A1100" s="274" t="s">
        <v>1010</v>
      </c>
      <c r="B1100" s="21"/>
      <c r="C1100" s="35" t="s">
        <v>793</v>
      </c>
      <c r="D1100" s="35" t="s">
        <v>1013</v>
      </c>
      <c r="E1100" s="35" t="s">
        <v>396</v>
      </c>
      <c r="F1100" s="26" t="s">
        <v>1011</v>
      </c>
      <c r="G1100" s="24"/>
      <c r="H1100" s="24"/>
      <c r="I1100" s="24"/>
      <c r="J1100">
        <f>SUM('[1]ведомствен.2012'!G1031)</f>
        <v>0</v>
      </c>
    </row>
    <row r="1101" spans="1:10" s="36" customFormat="1" ht="57">
      <c r="A1101" s="228" t="s">
        <v>1121</v>
      </c>
      <c r="B1101" s="34"/>
      <c r="C1101" s="35" t="s">
        <v>793</v>
      </c>
      <c r="D1101" s="35" t="s">
        <v>1013</v>
      </c>
      <c r="E1101" s="35" t="s">
        <v>1120</v>
      </c>
      <c r="F1101" s="26"/>
      <c r="G1101" s="24">
        <f>SUM(G1102)</f>
        <v>7200</v>
      </c>
      <c r="H1101" s="24">
        <f>SUM(H1102)</f>
        <v>3319.1</v>
      </c>
      <c r="I1101" s="24">
        <f>SUM(H1101/G1101*100)</f>
        <v>46.09861111111111</v>
      </c>
      <c r="J1101" s="36">
        <f>SUM('[1]ведомствен.2012'!G909)</f>
        <v>7200</v>
      </c>
    </row>
    <row r="1102" spans="1:9" s="36" customFormat="1" ht="18" customHeight="1">
      <c r="A1102" s="228" t="s">
        <v>1188</v>
      </c>
      <c r="B1102" s="140"/>
      <c r="C1102" s="35" t="s">
        <v>793</v>
      </c>
      <c r="D1102" s="35" t="s">
        <v>1013</v>
      </c>
      <c r="E1102" s="35" t="s">
        <v>1120</v>
      </c>
      <c r="F1102" s="26" t="s">
        <v>248</v>
      </c>
      <c r="G1102" s="24">
        <v>7200</v>
      </c>
      <c r="H1102" s="24">
        <v>3319.1</v>
      </c>
      <c r="I1102" s="24">
        <f>SUM(H1102/G1102*100)</f>
        <v>46.09861111111111</v>
      </c>
    </row>
    <row r="1103" spans="1:10" ht="28.5">
      <c r="A1103" s="274" t="s">
        <v>1073</v>
      </c>
      <c r="B1103" s="21"/>
      <c r="C1103" s="35" t="s">
        <v>793</v>
      </c>
      <c r="D1103" s="35" t="s">
        <v>1013</v>
      </c>
      <c r="E1103" s="31" t="s">
        <v>871</v>
      </c>
      <c r="F1103" s="23" t="s">
        <v>1011</v>
      </c>
      <c r="G1103" s="24">
        <f>SUM(G1104:G1105)</f>
        <v>3514.4</v>
      </c>
      <c r="H1103" s="24"/>
      <c r="I1103" s="24"/>
      <c r="J1103"/>
    </row>
    <row r="1104" spans="1:10" ht="35.25" customHeight="1">
      <c r="A1104" s="223" t="s">
        <v>1191</v>
      </c>
      <c r="B1104" s="34"/>
      <c r="C1104" s="35" t="s">
        <v>793</v>
      </c>
      <c r="D1104" s="35" t="s">
        <v>1013</v>
      </c>
      <c r="E1104" s="31" t="s">
        <v>249</v>
      </c>
      <c r="F1104" s="23" t="s">
        <v>1011</v>
      </c>
      <c r="G1104" s="49">
        <v>3514.4</v>
      </c>
      <c r="H1104" s="24"/>
      <c r="I1104" s="24"/>
      <c r="J1104">
        <f>SUM('[1]ведомствен.2012'!G1033)</f>
        <v>3514.4</v>
      </c>
    </row>
    <row r="1105" spans="1:10" ht="45.75" customHeight="1" hidden="1">
      <c r="A1105" s="223" t="s">
        <v>1251</v>
      </c>
      <c r="B1105" s="34"/>
      <c r="C1105" s="35" t="s">
        <v>793</v>
      </c>
      <c r="D1105" s="35" t="s">
        <v>1013</v>
      </c>
      <c r="E1105" s="31" t="s">
        <v>1128</v>
      </c>
      <c r="F1105" s="23" t="s">
        <v>1011</v>
      </c>
      <c r="G1105" s="49"/>
      <c r="H1105" s="24"/>
      <c r="I1105" s="24"/>
      <c r="J1105">
        <f>SUM('[1]ведомствен.2012'!G1034)</f>
        <v>0</v>
      </c>
    </row>
    <row r="1106" spans="1:10" ht="18.75" customHeight="1">
      <c r="A1106" s="286" t="s">
        <v>1129</v>
      </c>
      <c r="B1106" s="21"/>
      <c r="C1106" s="31" t="s">
        <v>793</v>
      </c>
      <c r="D1106" s="72" t="s">
        <v>1037</v>
      </c>
      <c r="E1106" s="72"/>
      <c r="F1106" s="44"/>
      <c r="G1106" s="49">
        <f>SUM(G1107+G1111)</f>
        <v>71381.1</v>
      </c>
      <c r="H1106" s="49">
        <f>SUM(H1107+H1111)</f>
        <v>28575.699999999997</v>
      </c>
      <c r="I1106" s="24">
        <f t="shared" si="27"/>
        <v>40.03258565642726</v>
      </c>
      <c r="J1106"/>
    </row>
    <row r="1107" spans="1:10" ht="15" customHeight="1">
      <c r="A1107" s="286" t="s">
        <v>821</v>
      </c>
      <c r="B1107" s="21"/>
      <c r="C1107" s="31" t="s">
        <v>793</v>
      </c>
      <c r="D1107" s="72" t="s">
        <v>1037</v>
      </c>
      <c r="E1107" s="72" t="s">
        <v>822</v>
      </c>
      <c r="F1107" s="44"/>
      <c r="G1107" s="24">
        <f>SUM(G1108)</f>
        <v>13908</v>
      </c>
      <c r="H1107" s="24">
        <f>SUM(H1108)</f>
        <v>0</v>
      </c>
      <c r="I1107" s="24">
        <f t="shared" si="27"/>
        <v>0</v>
      </c>
      <c r="J1107"/>
    </row>
    <row r="1108" spans="1:9" s="36" customFormat="1" ht="61.5" customHeight="1">
      <c r="A1108" s="223" t="s">
        <v>1238</v>
      </c>
      <c r="B1108" s="21"/>
      <c r="C1108" s="31" t="s">
        <v>793</v>
      </c>
      <c r="D1108" s="72" t="s">
        <v>1037</v>
      </c>
      <c r="E1108" s="22" t="s">
        <v>1239</v>
      </c>
      <c r="F1108" s="23"/>
      <c r="G1108" s="24">
        <f>SUM(G1109)</f>
        <v>13908</v>
      </c>
      <c r="H1108" s="49"/>
      <c r="I1108" s="24"/>
    </row>
    <row r="1109" spans="1:9" s="36" customFormat="1" ht="60.75" customHeight="1">
      <c r="A1109" s="286" t="s">
        <v>968</v>
      </c>
      <c r="B1109" s="21"/>
      <c r="C1109" s="31" t="s">
        <v>793</v>
      </c>
      <c r="D1109" s="72" t="s">
        <v>1037</v>
      </c>
      <c r="E1109" s="22" t="s">
        <v>969</v>
      </c>
      <c r="F1109" s="26"/>
      <c r="G1109" s="24">
        <f>SUM(G1110)</f>
        <v>13908</v>
      </c>
      <c r="H1109" s="49"/>
      <c r="I1109" s="24"/>
    </row>
    <row r="1110" spans="1:10" s="36" customFormat="1" ht="16.5" customHeight="1">
      <c r="A1110" s="223" t="s">
        <v>378</v>
      </c>
      <c r="B1110" s="77"/>
      <c r="C1110" s="31" t="s">
        <v>793</v>
      </c>
      <c r="D1110" s="72" t="s">
        <v>1037</v>
      </c>
      <c r="E1110" s="22" t="s">
        <v>969</v>
      </c>
      <c r="F1110" s="88" t="s">
        <v>379</v>
      </c>
      <c r="G1110" s="49">
        <v>13908</v>
      </c>
      <c r="H1110" s="49"/>
      <c r="I1110" s="24"/>
      <c r="J1110" s="36">
        <f>SUM('[1]ведомствен.2012'!G1038)</f>
        <v>13908</v>
      </c>
    </row>
    <row r="1111" spans="1:10" ht="21" customHeight="1">
      <c r="A1111" s="226" t="s">
        <v>1131</v>
      </c>
      <c r="B1111" s="21"/>
      <c r="C1111" s="31" t="s">
        <v>793</v>
      </c>
      <c r="D1111" s="72" t="s">
        <v>1037</v>
      </c>
      <c r="E1111" s="72" t="s">
        <v>1295</v>
      </c>
      <c r="F1111" s="26"/>
      <c r="G1111" s="24">
        <f>SUM(G1115+G1112)</f>
        <v>57473.1</v>
      </c>
      <c r="H1111" s="24">
        <f>SUM(H1115+H1112)</f>
        <v>28575.699999999997</v>
      </c>
      <c r="I1111" s="24">
        <f t="shared" si="27"/>
        <v>49.72012993904975</v>
      </c>
      <c r="J1111"/>
    </row>
    <row r="1112" spans="1:10" ht="59.25" customHeight="1">
      <c r="A1112" s="231" t="s">
        <v>1132</v>
      </c>
      <c r="B1112" s="21"/>
      <c r="C1112" s="31" t="s">
        <v>793</v>
      </c>
      <c r="D1112" s="72" t="s">
        <v>1037</v>
      </c>
      <c r="E1112" s="35" t="s">
        <v>1133</v>
      </c>
      <c r="F1112" s="27"/>
      <c r="G1112" s="49">
        <f>SUM(G1114)</f>
        <v>23521.6</v>
      </c>
      <c r="H1112" s="49">
        <f>SUM(H1114)</f>
        <v>11370.3</v>
      </c>
      <c r="I1112" s="24">
        <f t="shared" si="27"/>
        <v>48.339823821508745</v>
      </c>
      <c r="J1112"/>
    </row>
    <row r="1113" spans="1:10" ht="73.5" customHeight="1">
      <c r="A1113" s="231" t="s">
        <v>1134</v>
      </c>
      <c r="B1113" s="21"/>
      <c r="C1113" s="31" t="s">
        <v>793</v>
      </c>
      <c r="D1113" s="72" t="s">
        <v>1037</v>
      </c>
      <c r="E1113" s="35" t="s">
        <v>1135</v>
      </c>
      <c r="F1113" s="27"/>
      <c r="G1113" s="49">
        <f>SUM(G1114)</f>
        <v>23521.6</v>
      </c>
      <c r="H1113" s="49">
        <f>SUM(H1114)</f>
        <v>11370.3</v>
      </c>
      <c r="I1113" s="24">
        <f t="shared" si="27"/>
        <v>48.339823821508745</v>
      </c>
      <c r="J1113"/>
    </row>
    <row r="1114" spans="1:10" ht="21" customHeight="1">
      <c r="A1114" s="231" t="s">
        <v>378</v>
      </c>
      <c r="B1114" s="21"/>
      <c r="C1114" s="31" t="s">
        <v>793</v>
      </c>
      <c r="D1114" s="72" t="s">
        <v>1037</v>
      </c>
      <c r="E1114" s="35" t="s">
        <v>1135</v>
      </c>
      <c r="F1114" s="27" t="s">
        <v>379</v>
      </c>
      <c r="G1114" s="49">
        <v>23521.6</v>
      </c>
      <c r="H1114" s="49">
        <v>11370.3</v>
      </c>
      <c r="I1114" s="24">
        <f t="shared" si="27"/>
        <v>48.339823821508745</v>
      </c>
      <c r="J1114" s="160">
        <f>SUM('[1]ведомствен.2012'!G1401)</f>
        <v>23521.6</v>
      </c>
    </row>
    <row r="1115" spans="1:10" ht="28.5">
      <c r="A1115" s="226" t="s">
        <v>1136</v>
      </c>
      <c r="B1115" s="21"/>
      <c r="C1115" s="31" t="s">
        <v>793</v>
      </c>
      <c r="D1115" s="72" t="s">
        <v>1037</v>
      </c>
      <c r="E1115" s="72" t="s">
        <v>1137</v>
      </c>
      <c r="F1115" s="44"/>
      <c r="G1115" s="24">
        <f>SUM(G1116)</f>
        <v>33951.5</v>
      </c>
      <c r="H1115" s="24">
        <f>SUM(H1116)</f>
        <v>17205.399999999998</v>
      </c>
      <c r="I1115" s="24">
        <f t="shared" si="27"/>
        <v>50.67640604980633</v>
      </c>
      <c r="J1115"/>
    </row>
    <row r="1116" spans="1:10" ht="63.75" customHeight="1">
      <c r="A1116" s="220" t="s">
        <v>1138</v>
      </c>
      <c r="B1116" s="21"/>
      <c r="C1116" s="31" t="s">
        <v>793</v>
      </c>
      <c r="D1116" s="31" t="s">
        <v>1037</v>
      </c>
      <c r="E1116" s="72" t="s">
        <v>1137</v>
      </c>
      <c r="F1116" s="88"/>
      <c r="G1116" s="24">
        <f>SUM(G1121+G1123+G1117+G1119)</f>
        <v>33951.5</v>
      </c>
      <c r="H1116" s="24">
        <f>SUM(H1121+H1123+H1117+H1119)</f>
        <v>17205.399999999998</v>
      </c>
      <c r="I1116" s="24">
        <f t="shared" si="27"/>
        <v>50.67640604980633</v>
      </c>
      <c r="J1116"/>
    </row>
    <row r="1117" spans="1:10" ht="26.25" customHeight="1">
      <c r="A1117" s="220" t="s">
        <v>1139</v>
      </c>
      <c r="B1117" s="21"/>
      <c r="C1117" s="31" t="s">
        <v>793</v>
      </c>
      <c r="D1117" s="31" t="s">
        <v>1037</v>
      </c>
      <c r="E1117" s="72" t="s">
        <v>1140</v>
      </c>
      <c r="F1117" s="88"/>
      <c r="G1117" s="24">
        <f>SUM(G1118)</f>
        <v>3820.3</v>
      </c>
      <c r="H1117" s="24">
        <f>SUM(H1118)</f>
        <v>241.8</v>
      </c>
      <c r="I1117" s="24">
        <f t="shared" si="27"/>
        <v>6.329345862890349</v>
      </c>
      <c r="J1117"/>
    </row>
    <row r="1118" spans="1:10" ht="30" customHeight="1">
      <c r="A1118" s="220" t="s">
        <v>1141</v>
      </c>
      <c r="B1118" s="21"/>
      <c r="C1118" s="31" t="s">
        <v>793</v>
      </c>
      <c r="D1118" s="31" t="s">
        <v>1037</v>
      </c>
      <c r="E1118" s="72" t="s">
        <v>1140</v>
      </c>
      <c r="F1118" s="88" t="s">
        <v>1142</v>
      </c>
      <c r="G1118" s="24">
        <v>3820.3</v>
      </c>
      <c r="H1118" s="24">
        <v>241.8</v>
      </c>
      <c r="I1118" s="24">
        <f t="shared" si="27"/>
        <v>6.329345862890349</v>
      </c>
      <c r="J1118" s="160">
        <f>SUM('[1]ведомствен.2012'!G918)</f>
        <v>3820.3</v>
      </c>
    </row>
    <row r="1119" spans="1:10" ht="26.25" customHeight="1">
      <c r="A1119" s="220" t="s">
        <v>1143</v>
      </c>
      <c r="B1119" s="21"/>
      <c r="C1119" s="31" t="s">
        <v>793</v>
      </c>
      <c r="D1119" s="31" t="s">
        <v>1037</v>
      </c>
      <c r="E1119" s="72" t="s">
        <v>1144</v>
      </c>
      <c r="F1119" s="88"/>
      <c r="G1119" s="24">
        <f>SUM(G1120)</f>
        <v>2323.2</v>
      </c>
      <c r="H1119" s="24">
        <f>SUM(H1120)</f>
        <v>252</v>
      </c>
      <c r="I1119" s="24">
        <f t="shared" si="27"/>
        <v>10.84710743801653</v>
      </c>
      <c r="J1119"/>
    </row>
    <row r="1120" spans="1:10" ht="36.75" customHeight="1">
      <c r="A1120" s="220" t="s">
        <v>1141</v>
      </c>
      <c r="B1120" s="21"/>
      <c r="C1120" s="31" t="s">
        <v>793</v>
      </c>
      <c r="D1120" s="31" t="s">
        <v>1037</v>
      </c>
      <c r="E1120" s="72" t="s">
        <v>1144</v>
      </c>
      <c r="F1120" s="88" t="s">
        <v>1142</v>
      </c>
      <c r="G1120" s="24">
        <v>2323.2</v>
      </c>
      <c r="H1120" s="24">
        <v>252</v>
      </c>
      <c r="I1120" s="24">
        <f t="shared" si="27"/>
        <v>10.84710743801653</v>
      </c>
      <c r="J1120" s="160">
        <f>SUM('[1]ведомствен.2012'!G920)</f>
        <v>2323.2</v>
      </c>
    </row>
    <row r="1121" spans="1:10" ht="32.25" customHeight="1" hidden="1">
      <c r="A1121" s="220" t="s">
        <v>1145</v>
      </c>
      <c r="B1121" s="21"/>
      <c r="C1121" s="31" t="s">
        <v>793</v>
      </c>
      <c r="D1121" s="31" t="s">
        <v>1037</v>
      </c>
      <c r="E1121" s="72" t="s">
        <v>1146</v>
      </c>
      <c r="F1121" s="88"/>
      <c r="G1121" s="24">
        <f>SUM(G1122)</f>
        <v>0</v>
      </c>
      <c r="H1121" s="24">
        <f>SUM(H1122)</f>
        <v>0</v>
      </c>
      <c r="I1121" s="24" t="e">
        <f t="shared" si="27"/>
        <v>#DIV/0!</v>
      </c>
      <c r="J1121"/>
    </row>
    <row r="1122" spans="1:10" ht="28.5" customHeight="1" hidden="1">
      <c r="A1122" s="220" t="s">
        <v>1141</v>
      </c>
      <c r="B1122" s="21"/>
      <c r="C1122" s="31" t="s">
        <v>793</v>
      </c>
      <c r="D1122" s="31" t="s">
        <v>1037</v>
      </c>
      <c r="E1122" s="72" t="s">
        <v>1146</v>
      </c>
      <c r="F1122" s="88" t="s">
        <v>1142</v>
      </c>
      <c r="G1122" s="24"/>
      <c r="H1122" s="24"/>
      <c r="I1122" s="24" t="e">
        <f t="shared" si="27"/>
        <v>#DIV/0!</v>
      </c>
      <c r="J1122"/>
    </row>
    <row r="1123" spans="1:10" ht="28.5" customHeight="1">
      <c r="A1123" s="220" t="s">
        <v>1141</v>
      </c>
      <c r="B1123" s="21"/>
      <c r="C1123" s="31" t="s">
        <v>793</v>
      </c>
      <c r="D1123" s="31" t="s">
        <v>1037</v>
      </c>
      <c r="E1123" s="72" t="s">
        <v>1147</v>
      </c>
      <c r="F1123" s="88"/>
      <c r="G1123" s="24">
        <f>SUM(G1124)</f>
        <v>27808</v>
      </c>
      <c r="H1123" s="24">
        <f>SUM(H1124)</f>
        <v>16711.6</v>
      </c>
      <c r="I1123" s="24">
        <f t="shared" si="27"/>
        <v>60.096375143843495</v>
      </c>
      <c r="J1123"/>
    </row>
    <row r="1124" spans="1:10" ht="63" customHeight="1">
      <c r="A1124" s="220" t="s">
        <v>1148</v>
      </c>
      <c r="B1124" s="21"/>
      <c r="C1124" s="31" t="s">
        <v>793</v>
      </c>
      <c r="D1124" s="31" t="s">
        <v>1037</v>
      </c>
      <c r="E1124" s="72" t="s">
        <v>1147</v>
      </c>
      <c r="F1124" s="88" t="s">
        <v>1142</v>
      </c>
      <c r="G1124" s="24">
        <v>27808</v>
      </c>
      <c r="H1124" s="24">
        <v>16711.6</v>
      </c>
      <c r="I1124" s="24">
        <f t="shared" si="27"/>
        <v>60.096375143843495</v>
      </c>
      <c r="J1124" s="160">
        <f>SUM('[1]ведомствен.2012'!G926)</f>
        <v>27808</v>
      </c>
    </row>
    <row r="1125" spans="1:10" ht="19.5" customHeight="1">
      <c r="A1125" s="274" t="s">
        <v>1149</v>
      </c>
      <c r="B1125" s="21"/>
      <c r="C1125" s="72" t="s">
        <v>793</v>
      </c>
      <c r="D1125" s="72" t="s">
        <v>549</v>
      </c>
      <c r="E1125" s="72"/>
      <c r="F1125" s="44"/>
      <c r="G1125" s="49">
        <f>SUM(G1126+G1144)+G1142+G1139</f>
        <v>29472.3</v>
      </c>
      <c r="H1125" s="49" t="e">
        <f>SUM(H1126+H1189)</f>
        <v>#REF!</v>
      </c>
      <c r="I1125" s="24" t="e">
        <f t="shared" si="27"/>
        <v>#REF!</v>
      </c>
      <c r="J1125"/>
    </row>
    <row r="1126" spans="1:10" ht="42.75">
      <c r="A1126" s="223" t="s">
        <v>1006</v>
      </c>
      <c r="B1126" s="21"/>
      <c r="C1126" s="22" t="s">
        <v>793</v>
      </c>
      <c r="D1126" s="22" t="s">
        <v>549</v>
      </c>
      <c r="E1126" s="22" t="s">
        <v>1007</v>
      </c>
      <c r="F1126" s="26"/>
      <c r="G1126" s="24">
        <f>SUM(G1127)</f>
        <v>27102.3</v>
      </c>
      <c r="H1126" s="24">
        <f>SUM(H1127)</f>
        <v>15109.2</v>
      </c>
      <c r="I1126" s="24">
        <f t="shared" si="27"/>
        <v>55.748774089283934</v>
      </c>
      <c r="J1126"/>
    </row>
    <row r="1127" spans="1:10" ht="15">
      <c r="A1127" s="223" t="s">
        <v>1014</v>
      </c>
      <c r="B1127" s="21"/>
      <c r="C1127" s="22" t="s">
        <v>793</v>
      </c>
      <c r="D1127" s="22" t="s">
        <v>549</v>
      </c>
      <c r="E1127" s="22" t="s">
        <v>1016</v>
      </c>
      <c r="F1127" s="26"/>
      <c r="G1127" s="24">
        <f>SUM(G1128+G1131+G1137+G1135)</f>
        <v>27102.3</v>
      </c>
      <c r="H1127" s="24">
        <f>SUM(H1128+H1131+H1137+H1135)</f>
        <v>15109.2</v>
      </c>
      <c r="I1127" s="24">
        <f t="shared" si="27"/>
        <v>55.748774089283934</v>
      </c>
      <c r="J1127"/>
    </row>
    <row r="1128" spans="1:10" ht="14.25" customHeight="1">
      <c r="A1128" s="274" t="s">
        <v>1010</v>
      </c>
      <c r="B1128" s="94"/>
      <c r="C1128" s="22" t="s">
        <v>793</v>
      </c>
      <c r="D1128" s="22" t="s">
        <v>549</v>
      </c>
      <c r="E1128" s="22" t="s">
        <v>1016</v>
      </c>
      <c r="F1128" s="149" t="s">
        <v>1011</v>
      </c>
      <c r="G1128" s="24">
        <v>3121.5</v>
      </c>
      <c r="H1128" s="24">
        <v>227.6</v>
      </c>
      <c r="I1128" s="24">
        <f t="shared" si="27"/>
        <v>7.291366330289925</v>
      </c>
      <c r="J1128" s="160">
        <f>SUM('[1]ведомствен.2012'!G930)</f>
        <v>3121.5</v>
      </c>
    </row>
    <row r="1129" spans="1:10" ht="28.5" customHeight="1" hidden="1">
      <c r="A1129" s="274" t="s">
        <v>1150</v>
      </c>
      <c r="B1129" s="94"/>
      <c r="C1129" s="22" t="s">
        <v>793</v>
      </c>
      <c r="D1129" s="22" t="s">
        <v>549</v>
      </c>
      <c r="E1129" s="22" t="s">
        <v>1151</v>
      </c>
      <c r="F1129" s="380"/>
      <c r="G1129" s="24">
        <f>SUM(G1130)</f>
        <v>0</v>
      </c>
      <c r="H1129" s="24">
        <f>SUM(H1130)</f>
        <v>0</v>
      </c>
      <c r="I1129" s="24" t="e">
        <f t="shared" si="27"/>
        <v>#DIV/0!</v>
      </c>
      <c r="J1129"/>
    </row>
    <row r="1130" spans="1:10" ht="14.25" customHeight="1" hidden="1">
      <c r="A1130" s="274" t="s">
        <v>1010</v>
      </c>
      <c r="B1130" s="94"/>
      <c r="C1130" s="22" t="s">
        <v>793</v>
      </c>
      <c r="D1130" s="22" t="s">
        <v>549</v>
      </c>
      <c r="E1130" s="22" t="s">
        <v>1151</v>
      </c>
      <c r="F1130" s="380" t="s">
        <v>1011</v>
      </c>
      <c r="G1130" s="24"/>
      <c r="H1130" s="24"/>
      <c r="I1130" s="24" t="e">
        <f t="shared" si="27"/>
        <v>#DIV/0!</v>
      </c>
      <c r="J1130"/>
    </row>
    <row r="1131" spans="1:10" ht="30.75" customHeight="1">
      <c r="A1131" s="274" t="s">
        <v>1152</v>
      </c>
      <c r="B1131" s="94"/>
      <c r="C1131" s="22" t="s">
        <v>793</v>
      </c>
      <c r="D1131" s="22" t="s">
        <v>549</v>
      </c>
      <c r="E1131" s="22" t="s">
        <v>1153</v>
      </c>
      <c r="F1131" s="380"/>
      <c r="G1131" s="24">
        <f>SUM(G1132)</f>
        <v>4023.2</v>
      </c>
      <c r="H1131" s="24">
        <f>SUM(H1132)</f>
        <v>2507.7</v>
      </c>
      <c r="I1131" s="24">
        <f t="shared" si="27"/>
        <v>62.330980314177765</v>
      </c>
      <c r="J1131"/>
    </row>
    <row r="1132" spans="1:10" ht="24" customHeight="1">
      <c r="A1132" s="274" t="s">
        <v>1010</v>
      </c>
      <c r="B1132" s="48"/>
      <c r="C1132" s="22" t="s">
        <v>793</v>
      </c>
      <c r="D1132" s="22" t="s">
        <v>549</v>
      </c>
      <c r="E1132" s="22" t="s">
        <v>1153</v>
      </c>
      <c r="F1132" s="149" t="s">
        <v>1011</v>
      </c>
      <c r="G1132" s="24">
        <v>4023.2</v>
      </c>
      <c r="H1132" s="24">
        <v>2507.7</v>
      </c>
      <c r="I1132" s="24">
        <f t="shared" si="27"/>
        <v>62.330980314177765</v>
      </c>
      <c r="J1132" s="160">
        <f>SUM('[1]ведомствен.2012'!G934)</f>
        <v>4023.2</v>
      </c>
    </row>
    <row r="1133" spans="1:10" ht="42.75" customHeight="1" hidden="1">
      <c r="A1133" s="274" t="s">
        <v>1154</v>
      </c>
      <c r="B1133" s="48"/>
      <c r="C1133" s="22" t="s">
        <v>793</v>
      </c>
      <c r="D1133" s="22" t="s">
        <v>549</v>
      </c>
      <c r="E1133" s="22" t="s">
        <v>1155</v>
      </c>
      <c r="F1133" s="149"/>
      <c r="G1133" s="24"/>
      <c r="H1133" s="24"/>
      <c r="I1133" s="24" t="e">
        <f t="shared" si="27"/>
        <v>#DIV/0!</v>
      </c>
      <c r="J1133"/>
    </row>
    <row r="1134" spans="1:9" s="98" customFormat="1" ht="18.75" customHeight="1" hidden="1">
      <c r="A1134" s="296" t="s">
        <v>1010</v>
      </c>
      <c r="B1134" s="95"/>
      <c r="C1134" s="96" t="s">
        <v>793</v>
      </c>
      <c r="D1134" s="96" t="s">
        <v>549</v>
      </c>
      <c r="E1134" s="96" t="s">
        <v>1155</v>
      </c>
      <c r="F1134" s="253" t="s">
        <v>1011</v>
      </c>
      <c r="G1134" s="97"/>
      <c r="H1134" s="97"/>
      <c r="I1134" s="24" t="e">
        <f t="shared" si="27"/>
        <v>#DIV/0!</v>
      </c>
    </row>
    <row r="1135" spans="1:10" ht="28.5">
      <c r="A1135" s="274" t="s">
        <v>1150</v>
      </c>
      <c r="B1135" s="94"/>
      <c r="C1135" s="22" t="s">
        <v>793</v>
      </c>
      <c r="D1135" s="22" t="s">
        <v>549</v>
      </c>
      <c r="E1135" s="22" t="s">
        <v>1151</v>
      </c>
      <c r="F1135" s="149"/>
      <c r="G1135" s="24">
        <f>SUM(G1136)</f>
        <v>16483.8</v>
      </c>
      <c r="H1135" s="24">
        <f>SUM(H1136)</f>
        <v>10267.1</v>
      </c>
      <c r="I1135" s="24">
        <f t="shared" si="27"/>
        <v>62.2860020140987</v>
      </c>
      <c r="J1135"/>
    </row>
    <row r="1136" spans="1:10" ht="14.25" customHeight="1">
      <c r="A1136" s="274" t="s">
        <v>1010</v>
      </c>
      <c r="B1136" s="94"/>
      <c r="C1136" s="22" t="s">
        <v>793</v>
      </c>
      <c r="D1136" s="22" t="s">
        <v>549</v>
      </c>
      <c r="E1136" s="22" t="s">
        <v>1151</v>
      </c>
      <c r="F1136" s="149" t="s">
        <v>1011</v>
      </c>
      <c r="G1136" s="24">
        <v>16483.8</v>
      </c>
      <c r="H1136" s="24">
        <v>10267.1</v>
      </c>
      <c r="I1136" s="24">
        <f t="shared" si="27"/>
        <v>62.2860020140987</v>
      </c>
      <c r="J1136" s="160">
        <f>SUM('[1]ведомствен.2012'!G938)</f>
        <v>16483.8</v>
      </c>
    </row>
    <row r="1137" spans="1:10" ht="42.75">
      <c r="A1137" s="274" t="s">
        <v>1154</v>
      </c>
      <c r="B1137" s="48"/>
      <c r="C1137" s="22" t="s">
        <v>793</v>
      </c>
      <c r="D1137" s="22" t="s">
        <v>549</v>
      </c>
      <c r="E1137" s="22" t="s">
        <v>1156</v>
      </c>
      <c r="F1137" s="149"/>
      <c r="G1137" s="24">
        <f>SUM(G1138)</f>
        <v>3473.8</v>
      </c>
      <c r="H1137" s="24">
        <f>SUM(H1138)</f>
        <v>2106.8</v>
      </c>
      <c r="I1137" s="24">
        <f t="shared" si="27"/>
        <v>60.64828142092233</v>
      </c>
      <c r="J1137"/>
    </row>
    <row r="1138" spans="1:10" s="98" customFormat="1" ht="18" customHeight="1">
      <c r="A1138" s="296" t="s">
        <v>1010</v>
      </c>
      <c r="B1138" s="95"/>
      <c r="C1138" s="96" t="s">
        <v>793</v>
      </c>
      <c r="D1138" s="96" t="s">
        <v>549</v>
      </c>
      <c r="E1138" s="22" t="s">
        <v>1156</v>
      </c>
      <c r="F1138" s="253" t="s">
        <v>1011</v>
      </c>
      <c r="G1138" s="97">
        <v>3473.8</v>
      </c>
      <c r="H1138" s="97">
        <v>2106.8</v>
      </c>
      <c r="I1138" s="24">
        <f t="shared" si="27"/>
        <v>60.64828142092233</v>
      </c>
      <c r="J1138" s="160">
        <f>SUM('[1]ведомствен.2012'!G940)</f>
        <v>3473.8</v>
      </c>
    </row>
    <row r="1139" spans="1:10" s="36" customFormat="1" ht="18.75" customHeight="1">
      <c r="A1139" s="228" t="s">
        <v>785</v>
      </c>
      <c r="B1139" s="34"/>
      <c r="C1139" s="35" t="s">
        <v>793</v>
      </c>
      <c r="D1139" s="35" t="s">
        <v>549</v>
      </c>
      <c r="E1139" s="35" t="s">
        <v>786</v>
      </c>
      <c r="F1139" s="26"/>
      <c r="G1139" s="24">
        <f>SUM(G1140)</f>
        <v>1200</v>
      </c>
      <c r="H1139" s="24"/>
      <c r="I1139" s="24"/>
      <c r="J1139" s="36">
        <f>SUM('[1]ведомствен.2012'!G941)</f>
        <v>1200</v>
      </c>
    </row>
    <row r="1140" spans="1:9" s="36" customFormat="1" ht="86.25" customHeight="1">
      <c r="A1140" s="230" t="s">
        <v>280</v>
      </c>
      <c r="B1140" s="299"/>
      <c r="C1140" s="35" t="s">
        <v>793</v>
      </c>
      <c r="D1140" s="35" t="s">
        <v>549</v>
      </c>
      <c r="E1140" s="35" t="s">
        <v>1122</v>
      </c>
      <c r="F1140" s="300"/>
      <c r="G1140" s="24">
        <f>SUM(G1141)</f>
        <v>1200</v>
      </c>
      <c r="H1140" s="24"/>
      <c r="I1140" s="24"/>
    </row>
    <row r="1141" spans="1:9" s="36" customFormat="1" ht="28.5" customHeight="1">
      <c r="A1141" s="230" t="s">
        <v>1010</v>
      </c>
      <c r="B1141" s="34"/>
      <c r="C1141" s="35" t="s">
        <v>793</v>
      </c>
      <c r="D1141" s="35" t="s">
        <v>549</v>
      </c>
      <c r="E1141" s="35" t="s">
        <v>1122</v>
      </c>
      <c r="F1141" s="26" t="s">
        <v>1011</v>
      </c>
      <c r="G1141" s="24">
        <v>1200</v>
      </c>
      <c r="H1141" s="24">
        <v>1026.3</v>
      </c>
      <c r="I1141" s="24">
        <f>SUM(H1141/G1141*100)</f>
        <v>85.52499999999999</v>
      </c>
    </row>
    <row r="1142" spans="1:10" ht="48.75" customHeight="1" hidden="1">
      <c r="A1142" s="286" t="s">
        <v>1234</v>
      </c>
      <c r="B1142" s="28"/>
      <c r="C1142" s="72" t="s">
        <v>793</v>
      </c>
      <c r="D1142" s="72" t="s">
        <v>549</v>
      </c>
      <c r="E1142" s="22" t="s">
        <v>1235</v>
      </c>
      <c r="F1142" s="23"/>
      <c r="G1142" s="49">
        <f>SUM(G1143)</f>
        <v>0</v>
      </c>
      <c r="H1142" s="49" t="e">
        <f>SUM(#REF!)</f>
        <v>#REF!</v>
      </c>
      <c r="I1142" s="24" t="e">
        <f>SUM(H1142/G1142*100)</f>
        <v>#REF!</v>
      </c>
      <c r="J1142"/>
    </row>
    <row r="1143" spans="1:10" ht="18" customHeight="1" hidden="1">
      <c r="A1143" s="226" t="s">
        <v>895</v>
      </c>
      <c r="B1143" s="28"/>
      <c r="C1143" s="72" t="s">
        <v>793</v>
      </c>
      <c r="D1143" s="72" t="s">
        <v>549</v>
      </c>
      <c r="E1143" s="22" t="s">
        <v>1235</v>
      </c>
      <c r="F1143" s="23" t="s">
        <v>238</v>
      </c>
      <c r="G1143" s="49"/>
      <c r="H1143" s="49"/>
      <c r="I1143" s="24" t="e">
        <f>SUM(H1143/G1143*100)</f>
        <v>#DIV/0!</v>
      </c>
      <c r="J1143">
        <f>SUM('[1]ведомствен.2012'!G684)</f>
        <v>0</v>
      </c>
    </row>
    <row r="1144" spans="1:10" ht="18.75" customHeight="1">
      <c r="A1144" s="226" t="s">
        <v>1046</v>
      </c>
      <c r="B1144" s="21"/>
      <c r="C1144" s="22" t="s">
        <v>793</v>
      </c>
      <c r="D1144" s="22" t="s">
        <v>549</v>
      </c>
      <c r="E1144" s="35" t="s">
        <v>1047</v>
      </c>
      <c r="F1144" s="26"/>
      <c r="G1144" s="24">
        <f>SUM(G1145)</f>
        <v>1170</v>
      </c>
      <c r="H1144" s="24"/>
      <c r="I1144" s="24"/>
      <c r="J1144"/>
    </row>
    <row r="1145" spans="1:10" ht="104.25" customHeight="1">
      <c r="A1145" s="274" t="s">
        <v>1071</v>
      </c>
      <c r="B1145" s="94"/>
      <c r="C1145" s="22" t="s">
        <v>793</v>
      </c>
      <c r="D1145" s="22" t="s">
        <v>549</v>
      </c>
      <c r="E1145" s="35" t="s">
        <v>508</v>
      </c>
      <c r="F1145" s="149"/>
      <c r="G1145" s="24">
        <f>SUM(G1146:G1148)</f>
        <v>1170</v>
      </c>
      <c r="H1145" s="24"/>
      <c r="I1145" s="24"/>
      <c r="J1145"/>
    </row>
    <row r="1146" spans="1:10" ht="18" customHeight="1">
      <c r="A1146" s="296" t="s">
        <v>1010</v>
      </c>
      <c r="B1146" s="34"/>
      <c r="C1146" s="22" t="s">
        <v>793</v>
      </c>
      <c r="D1146" s="22" t="s">
        <v>549</v>
      </c>
      <c r="E1146" s="35" t="s">
        <v>508</v>
      </c>
      <c r="F1146" s="26" t="s">
        <v>1011</v>
      </c>
      <c r="G1146" s="24">
        <v>2.3</v>
      </c>
      <c r="H1146" s="24">
        <v>1026.3</v>
      </c>
      <c r="I1146" s="24">
        <f>SUM(H1146/G1146*100)</f>
        <v>44621.739130434784</v>
      </c>
      <c r="J1146">
        <f>SUM('[1]ведомствен.2012'!G946)</f>
        <v>2.3</v>
      </c>
    </row>
    <row r="1147" spans="1:10" ht="58.5" customHeight="1">
      <c r="A1147" s="274" t="s">
        <v>1125</v>
      </c>
      <c r="B1147" s="94"/>
      <c r="C1147" s="22" t="s">
        <v>793</v>
      </c>
      <c r="D1147" s="22" t="s">
        <v>549</v>
      </c>
      <c r="E1147" s="35" t="s">
        <v>508</v>
      </c>
      <c r="F1147" s="149" t="s">
        <v>897</v>
      </c>
      <c r="G1147" s="24">
        <v>1016.7</v>
      </c>
      <c r="H1147" s="24"/>
      <c r="I1147" s="24"/>
      <c r="J1147">
        <f>SUM('[1]ведомствен.2012'!G947)</f>
        <v>1016.7</v>
      </c>
    </row>
    <row r="1148" spans="1:10" ht="32.25" customHeight="1">
      <c r="A1148" s="274" t="s">
        <v>1126</v>
      </c>
      <c r="B1148" s="94"/>
      <c r="C1148" s="22" t="s">
        <v>793</v>
      </c>
      <c r="D1148" s="22" t="s">
        <v>549</v>
      </c>
      <c r="E1148" s="35" t="s">
        <v>508</v>
      </c>
      <c r="F1148" s="149" t="s">
        <v>978</v>
      </c>
      <c r="G1148" s="24">
        <v>151</v>
      </c>
      <c r="H1148" s="24"/>
      <c r="I1148" s="24"/>
      <c r="J1148">
        <f>SUM('[1]ведомствен.2012'!G948)</f>
        <v>151</v>
      </c>
    </row>
    <row r="1149" spans="1:9" s="207" customFormat="1" ht="18" customHeight="1">
      <c r="A1149" s="287" t="s">
        <v>230</v>
      </c>
      <c r="B1149" s="37"/>
      <c r="C1149" s="38" t="s">
        <v>585</v>
      </c>
      <c r="D1149" s="38"/>
      <c r="E1149" s="38"/>
      <c r="F1149" s="39"/>
      <c r="G1149" s="40">
        <f>SUM(G1150+G1164)</f>
        <v>11197.5</v>
      </c>
      <c r="H1149" s="206"/>
      <c r="I1149" s="40"/>
    </row>
    <row r="1150" spans="1:11" s="98" customFormat="1" ht="15.75" customHeight="1">
      <c r="A1150" s="223" t="s">
        <v>1333</v>
      </c>
      <c r="B1150" s="21"/>
      <c r="C1150" s="22" t="s">
        <v>585</v>
      </c>
      <c r="D1150" s="22" t="s">
        <v>663</v>
      </c>
      <c r="E1150" s="22"/>
      <c r="F1150" s="23"/>
      <c r="G1150" s="24">
        <f>SUM(G1151,G1154,G1160)</f>
        <v>6037.1</v>
      </c>
      <c r="H1150" s="97"/>
      <c r="I1150" s="24"/>
      <c r="K1150" s="98">
        <f>SUM(J1151:J1177)</f>
        <v>11197.5</v>
      </c>
    </row>
    <row r="1151" spans="1:9" s="98" customFormat="1" ht="15" customHeight="1" hidden="1">
      <c r="A1151" s="223" t="s">
        <v>1324</v>
      </c>
      <c r="B1151" s="21"/>
      <c r="C1151" s="22" t="s">
        <v>585</v>
      </c>
      <c r="D1151" s="22" t="s">
        <v>663</v>
      </c>
      <c r="E1151" s="41" t="s">
        <v>1292</v>
      </c>
      <c r="F1151" s="23"/>
      <c r="G1151" s="24">
        <f>SUM(G1152)</f>
        <v>0</v>
      </c>
      <c r="H1151" s="97"/>
      <c r="I1151" s="24"/>
    </row>
    <row r="1152" spans="1:9" s="98" customFormat="1" ht="27" customHeight="1" hidden="1">
      <c r="A1152" s="223" t="s">
        <v>485</v>
      </c>
      <c r="B1152" s="21"/>
      <c r="C1152" s="22" t="s">
        <v>585</v>
      </c>
      <c r="D1152" s="22" t="s">
        <v>663</v>
      </c>
      <c r="E1152" s="41" t="s">
        <v>1293</v>
      </c>
      <c r="F1152" s="23"/>
      <c r="G1152" s="24">
        <f>SUM(G1153)</f>
        <v>0</v>
      </c>
      <c r="H1152" s="97"/>
      <c r="I1152" s="24"/>
    </row>
    <row r="1153" spans="1:10" s="98" customFormat="1" ht="15" customHeight="1" hidden="1">
      <c r="A1153" s="223" t="s">
        <v>1010</v>
      </c>
      <c r="B1153" s="21"/>
      <c r="C1153" s="22" t="s">
        <v>585</v>
      </c>
      <c r="D1153" s="22" t="s">
        <v>663</v>
      </c>
      <c r="E1153" s="41" t="s">
        <v>1293</v>
      </c>
      <c r="F1153" s="23" t="s">
        <v>1011</v>
      </c>
      <c r="G1153" s="24">
        <f>3278.8-3278.8</f>
        <v>0</v>
      </c>
      <c r="H1153" s="97"/>
      <c r="I1153" s="24"/>
      <c r="J1153" s="160"/>
    </row>
    <row r="1154" spans="1:10" s="98" customFormat="1" ht="15" customHeight="1">
      <c r="A1154" s="226" t="s">
        <v>1046</v>
      </c>
      <c r="B1154" s="21"/>
      <c r="C1154" s="22" t="s">
        <v>585</v>
      </c>
      <c r="D1154" s="22" t="s">
        <v>663</v>
      </c>
      <c r="E1154" s="41" t="s">
        <v>1047</v>
      </c>
      <c r="F1154" s="23"/>
      <c r="G1154" s="24">
        <f>SUM(G1155)+G1158</f>
        <v>5673.6</v>
      </c>
      <c r="H1154" s="97"/>
      <c r="I1154" s="24"/>
      <c r="J1154" s="160"/>
    </row>
    <row r="1155" spans="1:10" s="98" customFormat="1" ht="46.5" customHeight="1">
      <c r="A1155" s="223" t="s">
        <v>394</v>
      </c>
      <c r="B1155" s="21"/>
      <c r="C1155" s="22" t="s">
        <v>585</v>
      </c>
      <c r="D1155" s="22" t="s">
        <v>663</v>
      </c>
      <c r="E1155" s="41" t="s">
        <v>1004</v>
      </c>
      <c r="F1155" s="23"/>
      <c r="G1155" s="24">
        <f>SUM(G1156:G1157)</f>
        <v>3170</v>
      </c>
      <c r="H1155" s="97"/>
      <c r="I1155" s="24"/>
      <c r="J1155" s="160"/>
    </row>
    <row r="1156" spans="1:10" ht="39.75" customHeight="1">
      <c r="A1156" s="223" t="s">
        <v>1005</v>
      </c>
      <c r="B1156" s="21"/>
      <c r="C1156" s="22" t="s">
        <v>585</v>
      </c>
      <c r="D1156" s="22" t="s">
        <v>663</v>
      </c>
      <c r="E1156" s="41" t="s">
        <v>1004</v>
      </c>
      <c r="F1156" s="23" t="s">
        <v>354</v>
      </c>
      <c r="G1156" s="24">
        <v>3010</v>
      </c>
      <c r="H1156" s="24"/>
      <c r="I1156" s="24"/>
      <c r="J1156">
        <f>SUM('[1]ведомствен.2012'!G1117)</f>
        <v>3010</v>
      </c>
    </row>
    <row r="1157" spans="1:10" ht="30" customHeight="1">
      <c r="A1157" s="234" t="s">
        <v>1080</v>
      </c>
      <c r="B1157" s="21"/>
      <c r="C1157" s="22" t="s">
        <v>585</v>
      </c>
      <c r="D1157" s="22" t="s">
        <v>663</v>
      </c>
      <c r="E1157" s="41" t="s">
        <v>1004</v>
      </c>
      <c r="F1157" s="23" t="s">
        <v>978</v>
      </c>
      <c r="G1157" s="24">
        <v>160</v>
      </c>
      <c r="H1157" s="97"/>
      <c r="I1157" s="24"/>
      <c r="J1157">
        <f>SUM('[1]ведомствен.2012'!G1118)</f>
        <v>160</v>
      </c>
    </row>
    <row r="1158" spans="1:10" ht="30" customHeight="1">
      <c r="A1158" s="223" t="s">
        <v>1095</v>
      </c>
      <c r="B1158" s="21"/>
      <c r="C1158" s="22" t="s">
        <v>585</v>
      </c>
      <c r="D1158" s="22" t="s">
        <v>663</v>
      </c>
      <c r="E1158" s="41" t="s">
        <v>576</v>
      </c>
      <c r="F1158" s="23"/>
      <c r="G1158" s="24">
        <f>SUM(G1159)</f>
        <v>2503.6</v>
      </c>
      <c r="H1158" s="97"/>
      <c r="I1158" s="24"/>
      <c r="J1158"/>
    </row>
    <row r="1159" spans="1:10" ht="30" customHeight="1">
      <c r="A1159" s="234" t="s">
        <v>1080</v>
      </c>
      <c r="B1159" s="21"/>
      <c r="C1159" s="22" t="s">
        <v>585</v>
      </c>
      <c r="D1159" s="22" t="s">
        <v>663</v>
      </c>
      <c r="E1159" s="41" t="s">
        <v>576</v>
      </c>
      <c r="F1159" s="23" t="s">
        <v>978</v>
      </c>
      <c r="G1159" s="24">
        <v>2503.6</v>
      </c>
      <c r="H1159" s="97"/>
      <c r="I1159" s="24"/>
      <c r="J1159">
        <f>SUM('[1]ведомствен.2012'!G1120)</f>
        <v>2503.6</v>
      </c>
    </row>
    <row r="1160" spans="1:10" ht="15">
      <c r="A1160" s="222" t="s">
        <v>1123</v>
      </c>
      <c r="B1160" s="21"/>
      <c r="C1160" s="22" t="s">
        <v>585</v>
      </c>
      <c r="D1160" s="22" t="s">
        <v>665</v>
      </c>
      <c r="E1160" s="35"/>
      <c r="F1160" s="26"/>
      <c r="G1160" s="24">
        <f>SUM(G1161)</f>
        <v>363.5</v>
      </c>
      <c r="H1160" s="24"/>
      <c r="I1160" s="24"/>
      <c r="J1160"/>
    </row>
    <row r="1161" spans="1:10" ht="18.75" customHeight="1">
      <c r="A1161" s="222" t="s">
        <v>785</v>
      </c>
      <c r="B1161" s="21"/>
      <c r="C1161" s="22" t="s">
        <v>585</v>
      </c>
      <c r="D1161" s="22" t="s">
        <v>665</v>
      </c>
      <c r="E1161" s="22" t="s">
        <v>786</v>
      </c>
      <c r="F1161" s="26"/>
      <c r="G1161" s="24">
        <f>SUM(G1162)</f>
        <v>363.5</v>
      </c>
      <c r="H1161" s="141"/>
      <c r="I1161" s="24"/>
      <c r="J1161"/>
    </row>
    <row r="1162" spans="1:10" ht="33" customHeight="1">
      <c r="A1162" s="222" t="s">
        <v>1124</v>
      </c>
      <c r="B1162" s="21"/>
      <c r="C1162" s="22" t="s">
        <v>585</v>
      </c>
      <c r="D1162" s="22" t="s">
        <v>665</v>
      </c>
      <c r="E1162" s="22" t="s">
        <v>351</v>
      </c>
      <c r="F1162" s="26"/>
      <c r="G1162" s="24">
        <f>SUM(G1163)</f>
        <v>363.5</v>
      </c>
      <c r="H1162" s="141"/>
      <c r="I1162" s="24"/>
      <c r="J1162"/>
    </row>
    <row r="1163" spans="1:10" ht="33.75" customHeight="1">
      <c r="A1163" s="234" t="s">
        <v>1080</v>
      </c>
      <c r="B1163" s="21"/>
      <c r="C1163" s="22" t="s">
        <v>585</v>
      </c>
      <c r="D1163" s="22" t="s">
        <v>665</v>
      </c>
      <c r="E1163" s="22" t="s">
        <v>351</v>
      </c>
      <c r="F1163" s="23" t="s">
        <v>978</v>
      </c>
      <c r="G1163" s="24">
        <v>363.5</v>
      </c>
      <c r="H1163" s="141"/>
      <c r="I1163" s="24"/>
      <c r="J1163">
        <f>SUM('[1]ведомствен.2012'!G1124)</f>
        <v>363.5</v>
      </c>
    </row>
    <row r="1164" spans="1:9" s="98" customFormat="1" ht="18" customHeight="1">
      <c r="A1164" s="223" t="s">
        <v>1334</v>
      </c>
      <c r="B1164" s="21"/>
      <c r="C1164" s="22" t="s">
        <v>585</v>
      </c>
      <c r="D1164" s="22" t="s">
        <v>1050</v>
      </c>
      <c r="E1164" s="35"/>
      <c r="F1164" s="26"/>
      <c r="G1164" s="24">
        <f>SUM(G1168+G1171+G1173)+G1165</f>
        <v>5160.4</v>
      </c>
      <c r="H1164" s="97"/>
      <c r="I1164" s="24"/>
    </row>
    <row r="1165" spans="1:9" s="98" customFormat="1" ht="18" customHeight="1">
      <c r="A1165" s="222" t="s">
        <v>1021</v>
      </c>
      <c r="B1165" s="21"/>
      <c r="C1165" s="22" t="s">
        <v>585</v>
      </c>
      <c r="D1165" s="22" t="s">
        <v>1050</v>
      </c>
      <c r="E1165" s="22" t="s">
        <v>1022</v>
      </c>
      <c r="F1165" s="27"/>
      <c r="G1165" s="24">
        <f>SUM(G1166)</f>
        <v>35</v>
      </c>
      <c r="H1165" s="97"/>
      <c r="I1165" s="24"/>
    </row>
    <row r="1166" spans="1:9" s="98" customFormat="1" ht="18" customHeight="1">
      <c r="A1166" s="239" t="s">
        <v>745</v>
      </c>
      <c r="B1166" s="21"/>
      <c r="C1166" s="22" t="s">
        <v>585</v>
      </c>
      <c r="D1166" s="22" t="s">
        <v>1050</v>
      </c>
      <c r="E1166" s="22" t="s">
        <v>746</v>
      </c>
      <c r="F1166" s="26"/>
      <c r="G1166" s="24">
        <f>SUM(G1167)</f>
        <v>35</v>
      </c>
      <c r="H1166" s="97"/>
      <c r="I1166" s="24"/>
    </row>
    <row r="1167" spans="1:10" s="98" customFormat="1" ht="18" customHeight="1">
      <c r="A1167" s="223" t="s">
        <v>1010</v>
      </c>
      <c r="B1167" s="21"/>
      <c r="C1167" s="22" t="s">
        <v>585</v>
      </c>
      <c r="D1167" s="22" t="s">
        <v>1050</v>
      </c>
      <c r="E1167" s="22" t="s">
        <v>746</v>
      </c>
      <c r="F1167" s="88" t="s">
        <v>1011</v>
      </c>
      <c r="G1167" s="24">
        <v>35</v>
      </c>
      <c r="H1167" s="97"/>
      <c r="I1167" s="24"/>
      <c r="J1167" s="98">
        <f>SUM('[1]ведомствен.2012'!G1128)</f>
        <v>35</v>
      </c>
    </row>
    <row r="1168" spans="1:9" s="98" customFormat="1" ht="42.75" customHeight="1">
      <c r="A1168" s="223" t="s">
        <v>1006</v>
      </c>
      <c r="B1168" s="21"/>
      <c r="C1168" s="22" t="s">
        <v>585</v>
      </c>
      <c r="D1168" s="22" t="s">
        <v>1050</v>
      </c>
      <c r="E1168" s="22" t="s">
        <v>1007</v>
      </c>
      <c r="F1168" s="26"/>
      <c r="G1168" s="24">
        <f>SUM(G1169)</f>
        <v>3620.5</v>
      </c>
      <c r="H1168" s="97"/>
      <c r="I1168" s="24"/>
    </row>
    <row r="1169" spans="1:9" s="98" customFormat="1" ht="18" customHeight="1">
      <c r="A1169" s="223" t="s">
        <v>1014</v>
      </c>
      <c r="B1169" s="21"/>
      <c r="C1169" s="22" t="s">
        <v>585</v>
      </c>
      <c r="D1169" s="22" t="s">
        <v>1050</v>
      </c>
      <c r="E1169" s="22" t="s">
        <v>1016</v>
      </c>
      <c r="F1169" s="26"/>
      <c r="G1169" s="24">
        <f>SUM(G1170)</f>
        <v>3620.5</v>
      </c>
      <c r="H1169" s="97"/>
      <c r="I1169" s="24"/>
    </row>
    <row r="1170" spans="1:10" s="98" customFormat="1" ht="17.25" customHeight="1">
      <c r="A1170" s="223" t="s">
        <v>1010</v>
      </c>
      <c r="B1170" s="21"/>
      <c r="C1170" s="22" t="s">
        <v>585</v>
      </c>
      <c r="D1170" s="22" t="s">
        <v>1050</v>
      </c>
      <c r="E1170" s="22" t="s">
        <v>1016</v>
      </c>
      <c r="F1170" s="23" t="s">
        <v>1011</v>
      </c>
      <c r="G1170" s="24">
        <v>3620.5</v>
      </c>
      <c r="H1170" s="97"/>
      <c r="I1170" s="24"/>
      <c r="J1170">
        <f>SUM('[1]ведомствен.2012'!G1131)</f>
        <v>3620.5</v>
      </c>
    </row>
    <row r="1171" spans="1:9" s="98" customFormat="1" ht="18" customHeight="1" hidden="1">
      <c r="A1171" s="226" t="s">
        <v>545</v>
      </c>
      <c r="B1171" s="21"/>
      <c r="C1171" s="22" t="s">
        <v>585</v>
      </c>
      <c r="D1171" s="22" t="s">
        <v>1050</v>
      </c>
      <c r="E1171" s="35" t="s">
        <v>546</v>
      </c>
      <c r="F1171" s="26"/>
      <c r="G1171" s="24">
        <f>SUM(G1172)</f>
        <v>0</v>
      </c>
      <c r="H1171" s="97"/>
      <c r="I1171" s="24"/>
    </row>
    <row r="1172" spans="1:9" s="98" customFormat="1" ht="18" customHeight="1" hidden="1">
      <c r="A1172" s="223" t="s">
        <v>1010</v>
      </c>
      <c r="B1172" s="21"/>
      <c r="C1172" s="22" t="s">
        <v>585</v>
      </c>
      <c r="D1172" s="22" t="s">
        <v>1050</v>
      </c>
      <c r="E1172" s="35" t="s">
        <v>546</v>
      </c>
      <c r="F1172" s="26" t="s">
        <v>1011</v>
      </c>
      <c r="G1172" s="24"/>
      <c r="H1172" s="97"/>
      <c r="I1172" s="24"/>
    </row>
    <row r="1173" spans="1:10" ht="15">
      <c r="A1173" s="226" t="s">
        <v>1046</v>
      </c>
      <c r="B1173" s="34"/>
      <c r="C1173" s="22" t="s">
        <v>585</v>
      </c>
      <c r="D1173" s="22" t="s">
        <v>1050</v>
      </c>
      <c r="E1173" s="35" t="s">
        <v>1047</v>
      </c>
      <c r="F1173" s="26"/>
      <c r="G1173" s="49">
        <f>SUM(G1176)+G1174</f>
        <v>1504.9</v>
      </c>
      <c r="H1173" s="24" t="e">
        <f>SUM(H1185)+H1189+H1191</f>
        <v>#REF!</v>
      </c>
      <c r="I1173" s="24" t="e">
        <f>SUM(H1173/G1173*100)</f>
        <v>#REF!</v>
      </c>
      <c r="J1173"/>
    </row>
    <row r="1174" spans="1:10" ht="42.75" hidden="1">
      <c r="A1174" s="212" t="s">
        <v>1244</v>
      </c>
      <c r="B1174" s="86"/>
      <c r="C1174" s="22" t="s">
        <v>585</v>
      </c>
      <c r="D1174" s="22" t="s">
        <v>1050</v>
      </c>
      <c r="E1174" s="35" t="s">
        <v>383</v>
      </c>
      <c r="F1174" s="27"/>
      <c r="G1174" s="24">
        <f>SUM(G1175)</f>
        <v>0</v>
      </c>
      <c r="H1174" s="24"/>
      <c r="I1174" s="24"/>
      <c r="J1174"/>
    </row>
    <row r="1175" spans="1:10" ht="15" hidden="1">
      <c r="A1175" s="223" t="s">
        <v>1010</v>
      </c>
      <c r="B1175" s="86"/>
      <c r="C1175" s="22" t="s">
        <v>585</v>
      </c>
      <c r="D1175" s="22" t="s">
        <v>1050</v>
      </c>
      <c r="E1175" s="35" t="s">
        <v>383</v>
      </c>
      <c r="F1175" s="27" t="s">
        <v>1011</v>
      </c>
      <c r="G1175" s="24"/>
      <c r="H1175" s="24"/>
      <c r="I1175" s="24"/>
      <c r="J1175">
        <f>SUM('[1]ведомствен.2012'!G1134)</f>
        <v>0</v>
      </c>
    </row>
    <row r="1176" spans="1:10" ht="29.25" customHeight="1">
      <c r="A1176" s="223" t="s">
        <v>416</v>
      </c>
      <c r="B1176" s="21"/>
      <c r="C1176" s="22" t="s">
        <v>585</v>
      </c>
      <c r="D1176" s="22" t="s">
        <v>1050</v>
      </c>
      <c r="E1176" s="35" t="s">
        <v>886</v>
      </c>
      <c r="F1176" s="88"/>
      <c r="G1176" s="49">
        <f>SUM(G1177)</f>
        <v>1504.9</v>
      </c>
      <c r="H1176" s="49">
        <f>SUM(H1177)</f>
        <v>1042.3</v>
      </c>
      <c r="I1176" s="24">
        <f>SUM(H1176/G1176*100)</f>
        <v>69.26041597448335</v>
      </c>
      <c r="J1176"/>
    </row>
    <row r="1177" spans="1:10" ht="21" customHeight="1">
      <c r="A1177" s="231" t="s">
        <v>1053</v>
      </c>
      <c r="B1177" s="21"/>
      <c r="C1177" s="22" t="s">
        <v>585</v>
      </c>
      <c r="D1177" s="22" t="s">
        <v>1050</v>
      </c>
      <c r="E1177" s="35" t="s">
        <v>886</v>
      </c>
      <c r="F1177" s="88" t="s">
        <v>1054</v>
      </c>
      <c r="G1177" s="49">
        <v>1504.9</v>
      </c>
      <c r="H1177" s="49">
        <v>1042.3</v>
      </c>
      <c r="I1177" s="24">
        <f>SUM(H1177/G1177*100)</f>
        <v>69.26041597448335</v>
      </c>
      <c r="J1177">
        <f>SUM('[1]ведомствен.2012'!G646)</f>
        <v>1504.9</v>
      </c>
    </row>
    <row r="1178" spans="1:11" s="20" customFormat="1" ht="21" customHeight="1">
      <c r="A1178" s="331" t="s">
        <v>709</v>
      </c>
      <c r="B1178" s="82"/>
      <c r="C1178" s="332" t="s">
        <v>568</v>
      </c>
      <c r="D1178" s="332"/>
      <c r="E1178" s="150"/>
      <c r="F1178" s="39"/>
      <c r="G1178" s="40">
        <f aca="true" t="shared" si="28" ref="G1178:G1183">SUM(G1179)</f>
        <v>115</v>
      </c>
      <c r="H1178" s="206"/>
      <c r="I1178" s="141"/>
      <c r="K1178" s="20">
        <f>SUM('[1]ведомствен.2012'!G647)</f>
        <v>115</v>
      </c>
    </row>
    <row r="1179" spans="1:10" ht="21" customHeight="1">
      <c r="A1179" s="257" t="s">
        <v>710</v>
      </c>
      <c r="B1179" s="21"/>
      <c r="C1179" s="22" t="s">
        <v>568</v>
      </c>
      <c r="D1179" s="22" t="s">
        <v>1037</v>
      </c>
      <c r="E1179" s="35"/>
      <c r="F1179" s="88"/>
      <c r="G1179" s="49">
        <f t="shared" si="28"/>
        <v>115</v>
      </c>
      <c r="H1179" s="155"/>
      <c r="I1179" s="24"/>
      <c r="J1179"/>
    </row>
    <row r="1180" spans="1:10" ht="21" customHeight="1">
      <c r="A1180" s="257" t="s">
        <v>711</v>
      </c>
      <c r="B1180" s="21"/>
      <c r="C1180" s="22" t="s">
        <v>568</v>
      </c>
      <c r="D1180" s="22" t="s">
        <v>1037</v>
      </c>
      <c r="E1180" s="35" t="s">
        <v>712</v>
      </c>
      <c r="F1180" s="88"/>
      <c r="G1180" s="49">
        <f t="shared" si="28"/>
        <v>115</v>
      </c>
      <c r="H1180" s="155"/>
      <c r="I1180" s="24"/>
      <c r="J1180"/>
    </row>
    <row r="1181" spans="1:10" ht="36.75" customHeight="1">
      <c r="A1181" s="257" t="s">
        <v>811</v>
      </c>
      <c r="B1181" s="21"/>
      <c r="C1181" s="22" t="s">
        <v>568</v>
      </c>
      <c r="D1181" s="22" t="s">
        <v>1037</v>
      </c>
      <c r="E1181" s="35" t="s">
        <v>713</v>
      </c>
      <c r="F1181" s="88"/>
      <c r="G1181" s="49">
        <f t="shared" si="28"/>
        <v>115</v>
      </c>
      <c r="H1181" s="155"/>
      <c r="I1181" s="24"/>
      <c r="J1181"/>
    </row>
    <row r="1182" spans="1:10" ht="29.25" customHeight="1">
      <c r="A1182" s="234" t="s">
        <v>1126</v>
      </c>
      <c r="B1182" s="21"/>
      <c r="C1182" s="22" t="s">
        <v>568</v>
      </c>
      <c r="D1182" s="22" t="s">
        <v>1037</v>
      </c>
      <c r="E1182" s="35" t="s">
        <v>714</v>
      </c>
      <c r="F1182" s="88"/>
      <c r="G1182" s="49">
        <f t="shared" si="28"/>
        <v>115</v>
      </c>
      <c r="H1182" s="155"/>
      <c r="I1182" s="24"/>
      <c r="J1182"/>
    </row>
    <row r="1183" spans="1:10" ht="33" customHeight="1">
      <c r="A1183" s="222" t="s">
        <v>1261</v>
      </c>
      <c r="B1183" s="21"/>
      <c r="C1183" s="22" t="s">
        <v>568</v>
      </c>
      <c r="D1183" s="22" t="s">
        <v>1037</v>
      </c>
      <c r="E1183" s="35" t="s">
        <v>715</v>
      </c>
      <c r="F1183" s="88"/>
      <c r="G1183" s="49">
        <f t="shared" si="28"/>
        <v>115</v>
      </c>
      <c r="H1183" s="155"/>
      <c r="I1183" s="24"/>
      <c r="J1183"/>
    </row>
    <row r="1184" spans="1:10" ht="29.25" customHeight="1">
      <c r="A1184" s="234" t="s">
        <v>1080</v>
      </c>
      <c r="B1184" s="21"/>
      <c r="C1184" s="22" t="s">
        <v>568</v>
      </c>
      <c r="D1184" s="22" t="s">
        <v>1037</v>
      </c>
      <c r="E1184" s="35" t="s">
        <v>715</v>
      </c>
      <c r="F1184" s="88" t="s">
        <v>978</v>
      </c>
      <c r="G1184" s="49">
        <v>115</v>
      </c>
      <c r="H1184" s="155"/>
      <c r="I1184" s="24"/>
      <c r="J1184">
        <f>SUM('[1]ведомствен.2012'!G653)</f>
        <v>115</v>
      </c>
    </row>
    <row r="1185" spans="1:9" s="98" customFormat="1" ht="18" customHeight="1" hidden="1">
      <c r="A1185" s="296"/>
      <c r="B1185" s="95"/>
      <c r="C1185" s="96"/>
      <c r="D1185" s="96"/>
      <c r="E1185" s="22"/>
      <c r="F1185" s="381"/>
      <c r="G1185" s="97"/>
      <c r="H1185" s="97"/>
      <c r="I1185" s="24"/>
    </row>
    <row r="1186" spans="1:9" s="98" customFormat="1" ht="18" customHeight="1" hidden="1">
      <c r="A1186" s="296"/>
      <c r="B1186" s="95"/>
      <c r="C1186" s="96"/>
      <c r="D1186" s="96"/>
      <c r="E1186" s="22"/>
      <c r="F1186" s="381"/>
      <c r="G1186" s="97"/>
      <c r="H1186" s="97"/>
      <c r="I1186" s="24"/>
    </row>
    <row r="1187" spans="1:11" s="207" customFormat="1" ht="21" customHeight="1">
      <c r="A1187" s="287" t="s">
        <v>560</v>
      </c>
      <c r="B1187" s="37"/>
      <c r="C1187" s="54" t="s">
        <v>1331</v>
      </c>
      <c r="D1187" s="54" t="s">
        <v>1198</v>
      </c>
      <c r="E1187" s="54"/>
      <c r="F1187" s="55"/>
      <c r="G1187" s="40">
        <f>SUM(G1188)</f>
        <v>3783.9</v>
      </c>
      <c r="H1187" s="206"/>
      <c r="I1187" s="40"/>
      <c r="K1187" s="254">
        <f>SUM(G1187)</f>
        <v>3783.9</v>
      </c>
    </row>
    <row r="1188" spans="1:9" s="98" customFormat="1" ht="33" customHeight="1">
      <c r="A1188" s="274" t="s">
        <v>1332</v>
      </c>
      <c r="B1188" s="21"/>
      <c r="C1188" s="72" t="s">
        <v>1331</v>
      </c>
      <c r="D1188" s="72" t="s">
        <v>663</v>
      </c>
      <c r="E1188" s="22"/>
      <c r="F1188" s="23"/>
      <c r="G1188" s="49">
        <f>SUM(G1189)</f>
        <v>3783.9</v>
      </c>
      <c r="H1188" s="97"/>
      <c r="I1188" s="24"/>
    </row>
    <row r="1189" spans="1:9" s="98" customFormat="1" ht="16.5" customHeight="1">
      <c r="A1189" s="223" t="s">
        <v>561</v>
      </c>
      <c r="B1189" s="21"/>
      <c r="C1189" s="72" t="s">
        <v>1331</v>
      </c>
      <c r="D1189" s="72" t="s">
        <v>663</v>
      </c>
      <c r="E1189" s="22" t="s">
        <v>562</v>
      </c>
      <c r="F1189" s="27"/>
      <c r="G1189" s="24">
        <f>SUM(G1191)</f>
        <v>3783.9</v>
      </c>
      <c r="H1189" s="49" t="e">
        <f>SUM(H1190)</f>
        <v>#REF!</v>
      </c>
      <c r="I1189" s="24" t="e">
        <f>SUM(H1189/G1189*100)</f>
        <v>#REF!</v>
      </c>
    </row>
    <row r="1190" spans="1:9" s="98" customFormat="1" ht="18.75" customHeight="1">
      <c r="A1190" s="223" t="s">
        <v>563</v>
      </c>
      <c r="B1190" s="21"/>
      <c r="C1190" s="72" t="s">
        <v>1331</v>
      </c>
      <c r="D1190" s="72" t="s">
        <v>663</v>
      </c>
      <c r="E1190" s="22" t="s">
        <v>564</v>
      </c>
      <c r="F1190" s="27"/>
      <c r="G1190" s="24">
        <f>SUM(G1191)</f>
        <v>3783.9</v>
      </c>
      <c r="H1190" s="49" t="e">
        <f>SUM(H1191)</f>
        <v>#REF!</v>
      </c>
      <c r="I1190" s="24" t="e">
        <f>SUM(H1190/G1190*100)</f>
        <v>#REF!</v>
      </c>
    </row>
    <row r="1191" spans="1:10" s="98" customFormat="1" ht="20.25" customHeight="1" thickBot="1">
      <c r="A1191" s="223" t="s">
        <v>565</v>
      </c>
      <c r="B1191" s="21"/>
      <c r="C1191" s="72" t="s">
        <v>1331</v>
      </c>
      <c r="D1191" s="72" t="s">
        <v>663</v>
      </c>
      <c r="E1191" s="22" t="s">
        <v>564</v>
      </c>
      <c r="F1191" s="27" t="s">
        <v>566</v>
      </c>
      <c r="G1191" s="24">
        <f>3835.4-51.5</f>
        <v>3783.9</v>
      </c>
      <c r="H1191" s="49" t="e">
        <f>SUM(#REF!)</f>
        <v>#REF!</v>
      </c>
      <c r="I1191" s="24" t="e">
        <f>SUM(H1191/G1191*100)</f>
        <v>#REF!</v>
      </c>
      <c r="J1191" s="165">
        <f>SUM('[1]ведомствен.2012'!G689)</f>
        <v>3783.9000000000005</v>
      </c>
    </row>
    <row r="1192" spans="1:10" s="83" customFormat="1" ht="21.75" customHeight="1" thickBot="1">
      <c r="A1192" s="297" t="s">
        <v>1158</v>
      </c>
      <c r="B1192" s="99"/>
      <c r="C1192" s="100"/>
      <c r="D1192" s="100"/>
      <c r="E1192" s="100"/>
      <c r="F1192" s="101"/>
      <c r="G1192" s="102">
        <f>SUM(G13+G141+G200+G274+G445+G486+G755+G833+G968)+G1187+G1149+G1178</f>
        <v>3636531.1999999997</v>
      </c>
      <c r="H1192" s="102" t="e">
        <f>SUM(H13+H141+H200+H274+H445+H486+H755+H833+H968)</f>
        <v>#REF!</v>
      </c>
      <c r="I1192" s="103" t="e">
        <f>SUM(H1192/G1192*100)</f>
        <v>#REF!</v>
      </c>
      <c r="J1192" s="163">
        <f>SUM(J13:J1191)</f>
        <v>3636531.2000000007</v>
      </c>
    </row>
    <row r="1193" spans="1:9" ht="28.5" customHeight="1" hidden="1">
      <c r="A1193" s="104" t="s">
        <v>1159</v>
      </c>
      <c r="B1193" s="105"/>
      <c r="C1193" s="106"/>
      <c r="D1193" s="105"/>
      <c r="E1193" s="105"/>
      <c r="F1193" s="107"/>
      <c r="G1193" s="108">
        <f>-76000-174.5-350</f>
        <v>-76524.5</v>
      </c>
      <c r="H1193" s="108">
        <f>-76000-174.5-350</f>
        <v>-76524.5</v>
      </c>
      <c r="I1193" s="108">
        <f>-76000-174.5-350</f>
        <v>-76524.5</v>
      </c>
    </row>
    <row r="1194" spans="1:9" ht="15" customHeight="1" hidden="1">
      <c r="A1194" s="214" t="s">
        <v>1160</v>
      </c>
      <c r="B1194" s="109"/>
      <c r="C1194" s="110"/>
      <c r="D1194" s="109"/>
      <c r="E1194" s="109"/>
      <c r="F1194" s="111"/>
      <c r="G1194" s="112"/>
      <c r="H1194" s="112"/>
      <c r="I1194" s="112"/>
    </row>
    <row r="1195" spans="1:9" ht="17.25" customHeight="1" hidden="1">
      <c r="A1195" s="104" t="s">
        <v>1160</v>
      </c>
      <c r="B1195" s="106" t="s">
        <v>1161</v>
      </c>
      <c r="C1195" s="106" t="s">
        <v>1198</v>
      </c>
      <c r="D1195" s="106" t="s">
        <v>1198</v>
      </c>
      <c r="E1195" s="106" t="s">
        <v>1162</v>
      </c>
      <c r="F1195" s="113" t="s">
        <v>1161</v>
      </c>
      <c r="G1195" s="114"/>
      <c r="H1195" s="114"/>
      <c r="I1195" s="114"/>
    </row>
    <row r="1196" spans="1:9" ht="30" customHeight="1" hidden="1">
      <c r="A1196" s="215" t="s">
        <v>1163</v>
      </c>
      <c r="B1196" s="115" t="s">
        <v>1161</v>
      </c>
      <c r="C1196" s="115" t="s">
        <v>663</v>
      </c>
      <c r="D1196" s="115" t="s">
        <v>1013</v>
      </c>
      <c r="E1196" s="115" t="s">
        <v>1162</v>
      </c>
      <c r="F1196" s="116"/>
      <c r="G1196" s="117">
        <v>0</v>
      </c>
      <c r="H1196" s="117">
        <v>0</v>
      </c>
      <c r="I1196" s="117">
        <v>0</v>
      </c>
    </row>
    <row r="1197" spans="1:9" ht="42" customHeight="1" hidden="1">
      <c r="A1197" s="25" t="s">
        <v>1164</v>
      </c>
      <c r="B1197" s="118" t="s">
        <v>1161</v>
      </c>
      <c r="C1197" s="118" t="s">
        <v>663</v>
      </c>
      <c r="D1197" s="118" t="s">
        <v>1013</v>
      </c>
      <c r="E1197" s="118" t="s">
        <v>1165</v>
      </c>
      <c r="F1197" s="119" t="s">
        <v>1166</v>
      </c>
      <c r="G1197" s="117">
        <v>62000</v>
      </c>
      <c r="H1197" s="117">
        <v>62000</v>
      </c>
      <c r="I1197" s="117">
        <v>62000</v>
      </c>
    </row>
    <row r="1198" spans="1:9" ht="30.75" customHeight="1" hidden="1">
      <c r="A1198" s="216" t="s">
        <v>1167</v>
      </c>
      <c r="B1198" s="118" t="s">
        <v>1161</v>
      </c>
      <c r="C1198" s="118" t="s">
        <v>663</v>
      </c>
      <c r="D1198" s="118" t="s">
        <v>1013</v>
      </c>
      <c r="E1198" s="118" t="s">
        <v>1165</v>
      </c>
      <c r="F1198" s="119" t="s">
        <v>1168</v>
      </c>
      <c r="G1198" s="120">
        <v>62000</v>
      </c>
      <c r="H1198" s="120">
        <v>62000</v>
      </c>
      <c r="I1198" s="120">
        <v>62000</v>
      </c>
    </row>
    <row r="1199" spans="1:9" ht="29.25" customHeight="1" hidden="1">
      <c r="A1199" s="33" t="s">
        <v>1169</v>
      </c>
      <c r="B1199" s="118" t="s">
        <v>1161</v>
      </c>
      <c r="C1199" s="118" t="s">
        <v>549</v>
      </c>
      <c r="D1199" s="118" t="s">
        <v>1198</v>
      </c>
      <c r="E1199" s="118" t="s">
        <v>1162</v>
      </c>
      <c r="F1199" s="119" t="s">
        <v>1161</v>
      </c>
      <c r="G1199" s="121"/>
      <c r="H1199" s="121"/>
      <c r="I1199" s="121"/>
    </row>
    <row r="1200" spans="1:9" ht="18" customHeight="1" hidden="1">
      <c r="A1200" s="217" t="s">
        <v>1170</v>
      </c>
      <c r="B1200" s="122" t="s">
        <v>1161</v>
      </c>
      <c r="C1200" s="122" t="s">
        <v>663</v>
      </c>
      <c r="D1200" s="122" t="s">
        <v>1050</v>
      </c>
      <c r="E1200" s="122" t="s">
        <v>1171</v>
      </c>
      <c r="F1200" s="123" t="s">
        <v>1161</v>
      </c>
      <c r="G1200" s="124">
        <f>67475+1681.5+1571.6</f>
        <v>70728.1</v>
      </c>
      <c r="H1200" s="124">
        <f>67475+1681.5+1571.6</f>
        <v>70728.1</v>
      </c>
      <c r="I1200" s="124">
        <f>67475+1681.5+1571.6</f>
        <v>70728.1</v>
      </c>
    </row>
    <row r="1201" spans="1:9" ht="28.5" customHeight="1" hidden="1">
      <c r="A1201" s="85" t="s">
        <v>1172</v>
      </c>
      <c r="B1201" s="118" t="s">
        <v>1161</v>
      </c>
      <c r="C1201" s="122" t="s">
        <v>663</v>
      </c>
      <c r="D1201" s="122" t="s">
        <v>549</v>
      </c>
      <c r="E1201" s="122" t="s">
        <v>1162</v>
      </c>
      <c r="F1201" s="123" t="s">
        <v>1161</v>
      </c>
      <c r="G1201" s="49">
        <f>SUM(G1202-G1203)</f>
        <v>0</v>
      </c>
      <c r="H1201" s="49">
        <f>SUM(H1202-H1203)</f>
        <v>0</v>
      </c>
      <c r="I1201" s="49">
        <f>SUM(I1202-I1203)</f>
        <v>0</v>
      </c>
    </row>
    <row r="1202" spans="1:9" ht="85.5" customHeight="1" hidden="1">
      <c r="A1202" s="218" t="s">
        <v>262</v>
      </c>
      <c r="B1202" s="118"/>
      <c r="C1202" s="122" t="s">
        <v>663</v>
      </c>
      <c r="D1202" s="122" t="s">
        <v>549</v>
      </c>
      <c r="E1202" s="125" t="s">
        <v>263</v>
      </c>
      <c r="F1202" s="126">
        <v>810</v>
      </c>
      <c r="G1202" s="49">
        <v>10000</v>
      </c>
      <c r="H1202" s="49">
        <v>10000</v>
      </c>
      <c r="I1202" s="49">
        <v>10000</v>
      </c>
    </row>
    <row r="1203" spans="1:9" ht="45" customHeight="1" hidden="1">
      <c r="A1203" s="219" t="s">
        <v>264</v>
      </c>
      <c r="B1203" s="127"/>
      <c r="C1203" s="127" t="s">
        <v>663</v>
      </c>
      <c r="D1203" s="127" t="s">
        <v>549</v>
      </c>
      <c r="E1203" s="128" t="s">
        <v>265</v>
      </c>
      <c r="F1203" s="129">
        <v>640</v>
      </c>
      <c r="G1203" s="130">
        <v>10000</v>
      </c>
      <c r="H1203" s="130">
        <v>10000</v>
      </c>
      <c r="I1203" s="130">
        <v>10000</v>
      </c>
    </row>
    <row r="1204" ht="12.75">
      <c r="G1204" s="382"/>
    </row>
    <row r="1205" spans="7:10" ht="12.75">
      <c r="G1205" s="383"/>
      <c r="J1205" s="160">
        <f>SUM(J1192-'[1]ведомствен.2012'!G1625)</f>
        <v>1.3969838619232178E-09</v>
      </c>
    </row>
    <row r="1207" ht="12.75">
      <c r="J1207" s="160">
        <f>SUM(J1192-G1192)</f>
        <v>9.313225746154785E-10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5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2"/>
  <sheetViews>
    <sheetView zoomScalePageLayoutView="0" workbookViewId="0" topLeftCell="A1">
      <selection activeCell="F5" sqref="F5:G5"/>
    </sheetView>
  </sheetViews>
  <sheetFormatPr defaultColWidth="9.00390625" defaultRowHeight="12.75"/>
  <cols>
    <col min="1" max="1" width="75.375" style="225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00390625" style="3" customWidth="1"/>
    <col min="8" max="8" width="11.00390625" style="3" hidden="1" customWidth="1"/>
    <col min="9" max="9" width="4.375" style="3" hidden="1" customWidth="1"/>
    <col min="10" max="10" width="5.875" style="0" hidden="1" customWidth="1"/>
    <col min="11" max="11" width="12.375" style="0" hidden="1" customWidth="1"/>
    <col min="12" max="12" width="9.125" style="0" hidden="1" customWidth="1"/>
  </cols>
  <sheetData>
    <row r="1" spans="6:9" ht="12.75">
      <c r="F1" s="36" t="s">
        <v>846</v>
      </c>
      <c r="G1" s="303"/>
      <c r="I1" s="376"/>
    </row>
    <row r="2" spans="1:9" ht="12.75">
      <c r="A2" s="225" t="s">
        <v>266</v>
      </c>
      <c r="F2" s="2" t="s">
        <v>315</v>
      </c>
      <c r="G2" s="303"/>
      <c r="I2" s="376"/>
    </row>
    <row r="3" spans="6:9" ht="12.75">
      <c r="F3" s="2" t="s">
        <v>316</v>
      </c>
      <c r="G3" s="303"/>
      <c r="I3" s="376"/>
    </row>
    <row r="4" spans="6:9" ht="12.75">
      <c r="F4" s="2" t="s">
        <v>317</v>
      </c>
      <c r="G4" s="303"/>
      <c r="I4" s="376"/>
    </row>
    <row r="5" spans="2:7" ht="12.75" customHeight="1">
      <c r="B5" s="4" t="s">
        <v>267</v>
      </c>
      <c r="F5" s="400" t="s">
        <v>223</v>
      </c>
      <c r="G5" s="400"/>
    </row>
    <row r="6" ht="12.75">
      <c r="B6" s="4" t="s">
        <v>268</v>
      </c>
    </row>
    <row r="7" ht="12.75">
      <c r="B7" s="4" t="s">
        <v>602</v>
      </c>
    </row>
    <row r="8" ht="24" customHeight="1" thickBot="1">
      <c r="B8" s="7"/>
    </row>
    <row r="9" spans="1:9" ht="14.25">
      <c r="A9" s="401" t="s">
        <v>269</v>
      </c>
      <c r="B9" s="131" t="s">
        <v>322</v>
      </c>
      <c r="C9" s="132"/>
      <c r="D9" s="133"/>
      <c r="E9" s="133"/>
      <c r="F9" s="133"/>
      <c r="G9" s="11" t="s">
        <v>323</v>
      </c>
      <c r="H9" s="11" t="s">
        <v>324</v>
      </c>
      <c r="I9" s="11" t="s">
        <v>325</v>
      </c>
    </row>
    <row r="10" spans="1:9" ht="24.75" customHeight="1" thickBot="1">
      <c r="A10" s="402"/>
      <c r="B10" s="134" t="s">
        <v>326</v>
      </c>
      <c r="C10" s="135" t="s">
        <v>327</v>
      </c>
      <c r="D10" s="135" t="s">
        <v>328</v>
      </c>
      <c r="E10" s="135" t="s">
        <v>329</v>
      </c>
      <c r="F10" s="136" t="s">
        <v>659</v>
      </c>
      <c r="G10" s="15" t="s">
        <v>892</v>
      </c>
      <c r="H10" s="15" t="s">
        <v>660</v>
      </c>
      <c r="I10" s="15" t="s">
        <v>661</v>
      </c>
    </row>
    <row r="11" spans="1:9" ht="15.75">
      <c r="A11" s="221" t="s">
        <v>1205</v>
      </c>
      <c r="B11" s="137" t="s">
        <v>1206</v>
      </c>
      <c r="C11" s="138"/>
      <c r="D11" s="138"/>
      <c r="E11" s="138"/>
      <c r="F11" s="132"/>
      <c r="G11" s="139">
        <f>SUM(G12)+G27+G32</f>
        <v>19476.3</v>
      </c>
      <c r="H11" s="139">
        <f>SUM(H12)+H27+H32</f>
        <v>9763.699999999999</v>
      </c>
      <c r="I11" s="139">
        <f aca="true" t="shared" si="0" ref="I11:I44">SUM(H11/G11*100)</f>
        <v>50.13118508135529</v>
      </c>
    </row>
    <row r="12" spans="1:9" ht="15">
      <c r="A12" s="222" t="s">
        <v>662</v>
      </c>
      <c r="B12" s="21"/>
      <c r="C12" s="22" t="s">
        <v>663</v>
      </c>
      <c r="D12" s="22"/>
      <c r="E12" s="22"/>
      <c r="F12" s="23"/>
      <c r="G12" s="24">
        <f>SUM(G13+G17+G23)</f>
        <v>19476.3</v>
      </c>
      <c r="H12" s="24">
        <f>SUM(H13+H17+H23)</f>
        <v>9401.9</v>
      </c>
      <c r="I12" s="24">
        <f t="shared" si="0"/>
        <v>48.27354271601896</v>
      </c>
    </row>
    <row r="13" spans="1:9" ht="28.5">
      <c r="A13" s="222" t="s">
        <v>664</v>
      </c>
      <c r="B13" s="21"/>
      <c r="C13" s="22" t="s">
        <v>663</v>
      </c>
      <c r="D13" s="22" t="s">
        <v>665</v>
      </c>
      <c r="E13" s="22"/>
      <c r="F13" s="23"/>
      <c r="G13" s="24">
        <f>SUM(G14)</f>
        <v>1588.1</v>
      </c>
      <c r="H13" s="24">
        <f>SUM(H14)</f>
        <v>983.5</v>
      </c>
      <c r="I13" s="24">
        <f t="shared" si="0"/>
        <v>61.9293495371828</v>
      </c>
    </row>
    <row r="14" spans="1:9" ht="41.25" customHeight="1">
      <c r="A14" s="222" t="s">
        <v>1006</v>
      </c>
      <c r="B14" s="21"/>
      <c r="C14" s="22" t="s">
        <v>663</v>
      </c>
      <c r="D14" s="22" t="s">
        <v>665</v>
      </c>
      <c r="E14" s="22" t="s">
        <v>1007</v>
      </c>
      <c r="F14" s="23"/>
      <c r="G14" s="24">
        <f>SUM(G16)</f>
        <v>1588.1</v>
      </c>
      <c r="H14" s="24">
        <f>SUM(H16:H16)</f>
        <v>983.5</v>
      </c>
      <c r="I14" s="24">
        <f t="shared" si="0"/>
        <v>61.9293495371828</v>
      </c>
    </row>
    <row r="15" spans="1:9" ht="20.25" customHeight="1">
      <c r="A15" s="222" t="s">
        <v>1008</v>
      </c>
      <c r="B15" s="21"/>
      <c r="C15" s="22" t="s">
        <v>663</v>
      </c>
      <c r="D15" s="22" t="s">
        <v>665</v>
      </c>
      <c r="E15" s="22" t="s">
        <v>1009</v>
      </c>
      <c r="F15" s="23"/>
      <c r="G15" s="24">
        <f>SUM(G16)</f>
        <v>1588.1</v>
      </c>
      <c r="H15" s="24">
        <f>SUM(H16)</f>
        <v>983.5</v>
      </c>
      <c r="I15" s="24">
        <f t="shared" si="0"/>
        <v>61.9293495371828</v>
      </c>
    </row>
    <row r="16" spans="1:9" ht="29.25" customHeight="1">
      <c r="A16" s="222" t="s">
        <v>1010</v>
      </c>
      <c r="B16" s="21"/>
      <c r="C16" s="22" t="s">
        <v>663</v>
      </c>
      <c r="D16" s="22" t="s">
        <v>665</v>
      </c>
      <c r="E16" s="22" t="s">
        <v>1009</v>
      </c>
      <c r="F16" s="23" t="s">
        <v>1011</v>
      </c>
      <c r="G16" s="24">
        <v>1588.1</v>
      </c>
      <c r="H16" s="24">
        <v>983.5</v>
      </c>
      <c r="I16" s="24">
        <f t="shared" si="0"/>
        <v>61.9293495371828</v>
      </c>
    </row>
    <row r="17" spans="1:9" ht="52.5" customHeight="1">
      <c r="A17" s="222" t="s">
        <v>1012</v>
      </c>
      <c r="B17" s="21"/>
      <c r="C17" s="22" t="s">
        <v>663</v>
      </c>
      <c r="D17" s="22" t="s">
        <v>1013</v>
      </c>
      <c r="E17" s="22"/>
      <c r="F17" s="23"/>
      <c r="G17" s="24">
        <f>SUM(G18)</f>
        <v>17155.2</v>
      </c>
      <c r="H17" s="24">
        <f>SUM(H18)</f>
        <v>8231.8</v>
      </c>
      <c r="I17" s="24">
        <f t="shared" si="0"/>
        <v>47.98428464838649</v>
      </c>
    </row>
    <row r="18" spans="1:9" ht="42.75" customHeight="1">
      <c r="A18" s="222" t="s">
        <v>1006</v>
      </c>
      <c r="B18" s="21"/>
      <c r="C18" s="22" t="s">
        <v>663</v>
      </c>
      <c r="D18" s="22" t="s">
        <v>1013</v>
      </c>
      <c r="E18" s="22" t="s">
        <v>1007</v>
      </c>
      <c r="F18" s="26"/>
      <c r="G18" s="24">
        <f>SUM(G19+G21)</f>
        <v>17155.2</v>
      </c>
      <c r="H18" s="24">
        <f>SUM(H19+H21)</f>
        <v>8231.8</v>
      </c>
      <c r="I18" s="24">
        <f t="shared" si="0"/>
        <v>47.98428464838649</v>
      </c>
    </row>
    <row r="19" spans="1:9" ht="15">
      <c r="A19" s="222" t="s">
        <v>1014</v>
      </c>
      <c r="B19" s="21"/>
      <c r="C19" s="22" t="s">
        <v>1015</v>
      </c>
      <c r="D19" s="22" t="s">
        <v>1013</v>
      </c>
      <c r="E19" s="22" t="s">
        <v>1016</v>
      </c>
      <c r="F19" s="26"/>
      <c r="G19" s="24">
        <f>SUM(G20)</f>
        <v>17155.2</v>
      </c>
      <c r="H19" s="24">
        <f>SUM(H20)</f>
        <v>8068.7</v>
      </c>
      <c r="I19" s="24">
        <f t="shared" si="0"/>
        <v>47.03355250886028</v>
      </c>
    </row>
    <row r="20" spans="1:9" ht="27.75" customHeight="1">
      <c r="A20" s="222" t="s">
        <v>1010</v>
      </c>
      <c r="B20" s="21"/>
      <c r="C20" s="22" t="s">
        <v>663</v>
      </c>
      <c r="D20" s="22" t="s">
        <v>1013</v>
      </c>
      <c r="E20" s="22" t="s">
        <v>1016</v>
      </c>
      <c r="F20" s="23" t="s">
        <v>1011</v>
      </c>
      <c r="G20" s="24">
        <v>17155.2</v>
      </c>
      <c r="H20" s="24">
        <v>8068.7</v>
      </c>
      <c r="I20" s="24">
        <f t="shared" si="0"/>
        <v>47.03355250886028</v>
      </c>
    </row>
    <row r="21" spans="1:9" ht="19.5" customHeight="1" hidden="1">
      <c r="A21" s="222" t="s">
        <v>1017</v>
      </c>
      <c r="B21" s="21"/>
      <c r="C21" s="22" t="s">
        <v>1015</v>
      </c>
      <c r="D21" s="22" t="s">
        <v>1013</v>
      </c>
      <c r="E21" s="22" t="s">
        <v>1018</v>
      </c>
      <c r="F21" s="23"/>
      <c r="G21" s="24">
        <f>SUM(G22)</f>
        <v>0</v>
      </c>
      <c r="H21" s="24">
        <f>SUM(H22)</f>
        <v>163.1</v>
      </c>
      <c r="I21" s="24" t="e">
        <f t="shared" si="0"/>
        <v>#DIV/0!</v>
      </c>
    </row>
    <row r="22" spans="1:9" ht="19.5" customHeight="1" hidden="1">
      <c r="A22" s="222" t="s">
        <v>1010</v>
      </c>
      <c r="B22" s="21"/>
      <c r="C22" s="22" t="s">
        <v>1015</v>
      </c>
      <c r="D22" s="22" t="s">
        <v>1013</v>
      </c>
      <c r="E22" s="22" t="s">
        <v>1018</v>
      </c>
      <c r="F22" s="23" t="s">
        <v>1011</v>
      </c>
      <c r="G22" s="24"/>
      <c r="H22" s="24">
        <v>163.1</v>
      </c>
      <c r="I22" s="24" t="e">
        <f t="shared" si="0"/>
        <v>#DIV/0!</v>
      </c>
    </row>
    <row r="23" spans="1:9" ht="15">
      <c r="A23" s="222" t="s">
        <v>1019</v>
      </c>
      <c r="B23" s="21"/>
      <c r="C23" s="22" t="s">
        <v>663</v>
      </c>
      <c r="D23" s="22" t="s">
        <v>1331</v>
      </c>
      <c r="E23" s="22"/>
      <c r="F23" s="26"/>
      <c r="G23" s="24">
        <f>SUM(G24)</f>
        <v>733</v>
      </c>
      <c r="H23" s="24">
        <f>SUM(H24)</f>
        <v>186.6</v>
      </c>
      <c r="I23" s="24">
        <f t="shared" si="0"/>
        <v>25.45702592087312</v>
      </c>
    </row>
    <row r="24" spans="1:9" ht="28.5">
      <c r="A24" s="224" t="s">
        <v>1021</v>
      </c>
      <c r="B24" s="21"/>
      <c r="C24" s="22" t="s">
        <v>663</v>
      </c>
      <c r="D24" s="22" t="s">
        <v>1331</v>
      </c>
      <c r="E24" s="22" t="s">
        <v>1022</v>
      </c>
      <c r="F24" s="27"/>
      <c r="G24" s="24">
        <f>SUM(G26)</f>
        <v>733</v>
      </c>
      <c r="H24" s="24">
        <f>SUM(H26)</f>
        <v>186.6</v>
      </c>
      <c r="I24" s="24">
        <f t="shared" si="0"/>
        <v>25.45702592087312</v>
      </c>
    </row>
    <row r="25" spans="1:9" ht="15">
      <c r="A25" s="224" t="s">
        <v>1023</v>
      </c>
      <c r="B25" s="21"/>
      <c r="C25" s="22" t="s">
        <v>663</v>
      </c>
      <c r="D25" s="22" t="s">
        <v>1331</v>
      </c>
      <c r="E25" s="22" t="s">
        <v>241</v>
      </c>
      <c r="F25" s="27"/>
      <c r="G25" s="24">
        <f>SUM(G26)</f>
        <v>733</v>
      </c>
      <c r="H25" s="24">
        <f>SUM(H26)</f>
        <v>186.6</v>
      </c>
      <c r="I25" s="24">
        <f t="shared" si="0"/>
        <v>25.45702592087312</v>
      </c>
    </row>
    <row r="26" spans="1:9" ht="27" customHeight="1">
      <c r="A26" s="222" t="s">
        <v>1010</v>
      </c>
      <c r="B26" s="21"/>
      <c r="C26" s="22" t="s">
        <v>663</v>
      </c>
      <c r="D26" s="22" t="s">
        <v>1331</v>
      </c>
      <c r="E26" s="22" t="s">
        <v>241</v>
      </c>
      <c r="F26" s="27" t="s">
        <v>1011</v>
      </c>
      <c r="G26" s="24">
        <v>733</v>
      </c>
      <c r="H26" s="24">
        <v>186.6</v>
      </c>
      <c r="I26" s="24">
        <f t="shared" si="0"/>
        <v>25.45702592087312</v>
      </c>
    </row>
    <row r="27" spans="1:9" ht="15" hidden="1">
      <c r="A27" s="222" t="s">
        <v>1025</v>
      </c>
      <c r="B27" s="21"/>
      <c r="C27" s="35" t="s">
        <v>1026</v>
      </c>
      <c r="D27" s="22"/>
      <c r="E27" s="22"/>
      <c r="F27" s="27"/>
      <c r="G27" s="24">
        <f aca="true" t="shared" si="1" ref="G27:H30">SUM(G28)</f>
        <v>0</v>
      </c>
      <c r="H27" s="24">
        <f t="shared" si="1"/>
        <v>0</v>
      </c>
      <c r="I27" s="24" t="e">
        <f t="shared" si="0"/>
        <v>#DIV/0!</v>
      </c>
    </row>
    <row r="28" spans="1:9" ht="15" hidden="1">
      <c r="A28" s="222" t="s">
        <v>1027</v>
      </c>
      <c r="B28" s="28"/>
      <c r="C28" s="22" t="s">
        <v>1026</v>
      </c>
      <c r="D28" s="22" t="s">
        <v>1026</v>
      </c>
      <c r="E28" s="22"/>
      <c r="F28" s="27"/>
      <c r="G28" s="24">
        <f t="shared" si="1"/>
        <v>0</v>
      </c>
      <c r="H28" s="24">
        <f t="shared" si="1"/>
        <v>0</v>
      </c>
      <c r="I28" s="24" t="e">
        <f t="shared" si="0"/>
        <v>#DIV/0!</v>
      </c>
    </row>
    <row r="29" spans="1:9" ht="15" hidden="1">
      <c r="A29" s="224" t="s">
        <v>1311</v>
      </c>
      <c r="B29" s="28"/>
      <c r="C29" s="22" t="s">
        <v>1026</v>
      </c>
      <c r="D29" s="22" t="s">
        <v>1026</v>
      </c>
      <c r="E29" s="22" t="s">
        <v>1029</v>
      </c>
      <c r="F29" s="23"/>
      <c r="G29" s="24">
        <f t="shared" si="1"/>
        <v>0</v>
      </c>
      <c r="H29" s="24">
        <f t="shared" si="1"/>
        <v>0</v>
      </c>
      <c r="I29" s="24" t="e">
        <f t="shared" si="0"/>
        <v>#DIV/0!</v>
      </c>
    </row>
    <row r="30" spans="1:9" ht="19.5" customHeight="1" hidden="1">
      <c r="A30" s="224" t="s">
        <v>1312</v>
      </c>
      <c r="B30" s="28"/>
      <c r="C30" s="22" t="s">
        <v>1026</v>
      </c>
      <c r="D30" s="22" t="s">
        <v>1026</v>
      </c>
      <c r="E30" s="22" t="s">
        <v>1313</v>
      </c>
      <c r="F30" s="23"/>
      <c r="G30" s="24">
        <f t="shared" si="1"/>
        <v>0</v>
      </c>
      <c r="H30" s="24">
        <f t="shared" si="1"/>
        <v>0</v>
      </c>
      <c r="I30" s="24" t="e">
        <f t="shared" si="0"/>
        <v>#DIV/0!</v>
      </c>
    </row>
    <row r="31" spans="1:9" ht="19.5" customHeight="1" hidden="1">
      <c r="A31" s="234" t="s">
        <v>237</v>
      </c>
      <c r="B31" s="28"/>
      <c r="C31" s="22" t="s">
        <v>1026</v>
      </c>
      <c r="D31" s="22" t="s">
        <v>1026</v>
      </c>
      <c r="E31" s="22" t="s">
        <v>1313</v>
      </c>
      <c r="F31" s="23" t="s">
        <v>238</v>
      </c>
      <c r="G31" s="24"/>
      <c r="H31" s="24"/>
      <c r="I31" s="24" t="e">
        <f t="shared" si="0"/>
        <v>#DIV/0!</v>
      </c>
    </row>
    <row r="32" spans="1:9" ht="19.5" customHeight="1" hidden="1">
      <c r="A32" s="222" t="s">
        <v>1197</v>
      </c>
      <c r="B32" s="21"/>
      <c r="C32" s="22" t="s">
        <v>793</v>
      </c>
      <c r="D32" s="22"/>
      <c r="E32" s="22"/>
      <c r="F32" s="23"/>
      <c r="G32" s="24">
        <f>SUM(G36)</f>
        <v>0</v>
      </c>
      <c r="H32" s="24">
        <f>SUM(H36)</f>
        <v>361.8</v>
      </c>
      <c r="I32" s="24" t="e">
        <f t="shared" si="0"/>
        <v>#DIV/0!</v>
      </c>
    </row>
    <row r="33" spans="1:9" ht="19.5" customHeight="1" hidden="1">
      <c r="A33" s="224" t="s">
        <v>820</v>
      </c>
      <c r="B33" s="21"/>
      <c r="C33" s="22" t="s">
        <v>793</v>
      </c>
      <c r="D33" s="35" t="s">
        <v>1013</v>
      </c>
      <c r="E33" s="22"/>
      <c r="F33" s="23"/>
      <c r="G33" s="24">
        <f aca="true" t="shared" si="2" ref="G33:H35">SUM(G34)</f>
        <v>0</v>
      </c>
      <c r="H33" s="24">
        <f t="shared" si="2"/>
        <v>361.8</v>
      </c>
      <c r="I33" s="24" t="e">
        <f t="shared" si="0"/>
        <v>#DIV/0!</v>
      </c>
    </row>
    <row r="34" spans="1:9" ht="19.5" customHeight="1" hidden="1">
      <c r="A34" s="222" t="s">
        <v>821</v>
      </c>
      <c r="B34" s="21"/>
      <c r="C34" s="22" t="s">
        <v>793</v>
      </c>
      <c r="D34" s="35" t="s">
        <v>1013</v>
      </c>
      <c r="E34" s="22" t="s">
        <v>822</v>
      </c>
      <c r="F34" s="23"/>
      <c r="G34" s="24">
        <f t="shared" si="2"/>
        <v>0</v>
      </c>
      <c r="H34" s="24">
        <f t="shared" si="2"/>
        <v>361.8</v>
      </c>
      <c r="I34" s="24" t="e">
        <f t="shared" si="0"/>
        <v>#DIV/0!</v>
      </c>
    </row>
    <row r="35" spans="1:9" ht="19.5" customHeight="1" hidden="1">
      <c r="A35" s="234" t="s">
        <v>829</v>
      </c>
      <c r="B35" s="28"/>
      <c r="C35" s="22" t="s">
        <v>793</v>
      </c>
      <c r="D35" s="35" t="s">
        <v>1013</v>
      </c>
      <c r="E35" s="22" t="s">
        <v>830</v>
      </c>
      <c r="F35" s="23"/>
      <c r="G35" s="24">
        <f t="shared" si="2"/>
        <v>0</v>
      </c>
      <c r="H35" s="24">
        <f t="shared" si="2"/>
        <v>361.8</v>
      </c>
      <c r="I35" s="24" t="e">
        <f t="shared" si="0"/>
        <v>#DIV/0!</v>
      </c>
    </row>
    <row r="36" spans="1:9" ht="19.5" customHeight="1" hidden="1">
      <c r="A36" s="222" t="s">
        <v>378</v>
      </c>
      <c r="B36" s="77"/>
      <c r="C36" s="35" t="s">
        <v>793</v>
      </c>
      <c r="D36" s="35" t="s">
        <v>1013</v>
      </c>
      <c r="E36" s="22" t="s">
        <v>830</v>
      </c>
      <c r="F36" s="88" t="s">
        <v>379</v>
      </c>
      <c r="G36" s="24"/>
      <c r="H36" s="24">
        <v>361.8</v>
      </c>
      <c r="I36" s="24" t="e">
        <f t="shared" si="0"/>
        <v>#DIV/0!</v>
      </c>
    </row>
    <row r="37" spans="1:9" ht="24.75" customHeight="1">
      <c r="A37" s="227" t="s">
        <v>1207</v>
      </c>
      <c r="B37" s="140" t="s">
        <v>1208</v>
      </c>
      <c r="C37" s="35"/>
      <c r="D37" s="35"/>
      <c r="E37" s="35"/>
      <c r="F37" s="26"/>
      <c r="G37" s="141">
        <f aca="true" t="shared" si="3" ref="G37:H39">SUM(G38)</f>
        <v>5289.200000000001</v>
      </c>
      <c r="H37" s="141">
        <f t="shared" si="3"/>
        <v>2707.1</v>
      </c>
      <c r="I37" s="40">
        <f t="shared" si="0"/>
        <v>51.181653180065034</v>
      </c>
    </row>
    <row r="38" spans="1:9" ht="15">
      <c r="A38" s="222" t="s">
        <v>662</v>
      </c>
      <c r="B38" s="21"/>
      <c r="C38" s="22" t="s">
        <v>663</v>
      </c>
      <c r="D38" s="22"/>
      <c r="E38" s="22"/>
      <c r="F38" s="23"/>
      <c r="G38" s="24">
        <f t="shared" si="3"/>
        <v>5289.200000000001</v>
      </c>
      <c r="H38" s="24">
        <f t="shared" si="3"/>
        <v>2707.1</v>
      </c>
      <c r="I38" s="24">
        <f t="shared" si="0"/>
        <v>51.181653180065034</v>
      </c>
    </row>
    <row r="39" spans="1:9" ht="28.5">
      <c r="A39" s="224" t="s">
        <v>548</v>
      </c>
      <c r="B39" s="21"/>
      <c r="C39" s="22" t="s">
        <v>663</v>
      </c>
      <c r="D39" s="22" t="s">
        <v>549</v>
      </c>
      <c r="E39" s="22"/>
      <c r="F39" s="23"/>
      <c r="G39" s="24">
        <f t="shared" si="3"/>
        <v>5289.200000000001</v>
      </c>
      <c r="H39" s="24">
        <f t="shared" si="3"/>
        <v>2707.1</v>
      </c>
      <c r="I39" s="24">
        <f t="shared" si="0"/>
        <v>51.181653180065034</v>
      </c>
    </row>
    <row r="40" spans="1:9" ht="42.75" customHeight="1">
      <c r="A40" s="222" t="s">
        <v>1006</v>
      </c>
      <c r="B40" s="21"/>
      <c r="C40" s="22" t="s">
        <v>663</v>
      </c>
      <c r="D40" s="22" t="s">
        <v>549</v>
      </c>
      <c r="E40" s="22" t="s">
        <v>1007</v>
      </c>
      <c r="F40" s="26"/>
      <c r="G40" s="24">
        <f>SUM(G41+G43)</f>
        <v>5289.200000000001</v>
      </c>
      <c r="H40" s="24">
        <f>SUM(H41+H43)</f>
        <v>2707.1</v>
      </c>
      <c r="I40" s="24">
        <f t="shared" si="0"/>
        <v>51.181653180065034</v>
      </c>
    </row>
    <row r="41" spans="1:9" ht="19.5" customHeight="1">
      <c r="A41" s="222" t="s">
        <v>1014</v>
      </c>
      <c r="B41" s="21"/>
      <c r="C41" s="22" t="s">
        <v>663</v>
      </c>
      <c r="D41" s="22" t="s">
        <v>549</v>
      </c>
      <c r="E41" s="22" t="s">
        <v>1016</v>
      </c>
      <c r="F41" s="26"/>
      <c r="G41" s="24">
        <f>SUM(G42)</f>
        <v>3782.8</v>
      </c>
      <c r="H41" s="24">
        <f>SUM(H42)</f>
        <v>2155.5</v>
      </c>
      <c r="I41" s="24">
        <f t="shared" si="0"/>
        <v>56.981600930527655</v>
      </c>
    </row>
    <row r="42" spans="1:9" ht="15">
      <c r="A42" s="222" t="s">
        <v>1010</v>
      </c>
      <c r="B42" s="21"/>
      <c r="C42" s="22" t="s">
        <v>663</v>
      </c>
      <c r="D42" s="22" t="s">
        <v>549</v>
      </c>
      <c r="E42" s="22" t="s">
        <v>1016</v>
      </c>
      <c r="F42" s="23" t="s">
        <v>1011</v>
      </c>
      <c r="G42" s="24">
        <f>3703.8+40.4+38.6</f>
        <v>3782.8</v>
      </c>
      <c r="H42" s="24">
        <v>2155.5</v>
      </c>
      <c r="I42" s="24">
        <f t="shared" si="0"/>
        <v>56.981600930527655</v>
      </c>
    </row>
    <row r="43" spans="1:9" s="29" customFormat="1" ht="28.5">
      <c r="A43" s="222" t="s">
        <v>552</v>
      </c>
      <c r="B43" s="21"/>
      <c r="C43" s="22" t="s">
        <v>1015</v>
      </c>
      <c r="D43" s="22" t="s">
        <v>549</v>
      </c>
      <c r="E43" s="22" t="s">
        <v>553</v>
      </c>
      <c r="F43" s="27"/>
      <c r="G43" s="24">
        <f>SUM(G44)</f>
        <v>1506.4</v>
      </c>
      <c r="H43" s="24">
        <f>SUM(H44)</f>
        <v>551.6</v>
      </c>
      <c r="I43" s="24">
        <f t="shared" si="0"/>
        <v>36.61710037174721</v>
      </c>
    </row>
    <row r="44" spans="1:9" s="29" customFormat="1" ht="23.25" customHeight="1">
      <c r="A44" s="222" t="s">
        <v>1010</v>
      </c>
      <c r="B44" s="21"/>
      <c r="C44" s="22" t="s">
        <v>1015</v>
      </c>
      <c r="D44" s="22" t="s">
        <v>549</v>
      </c>
      <c r="E44" s="22" t="s">
        <v>553</v>
      </c>
      <c r="F44" s="23" t="s">
        <v>1011</v>
      </c>
      <c r="G44" s="24">
        <f>1545-38.6</f>
        <v>1506.4</v>
      </c>
      <c r="H44" s="24">
        <v>551.6</v>
      </c>
      <c r="I44" s="24">
        <f t="shared" si="0"/>
        <v>36.61710037174721</v>
      </c>
    </row>
    <row r="45" spans="1:9" s="29" customFormat="1" ht="29.25" customHeight="1">
      <c r="A45" s="227" t="s">
        <v>408</v>
      </c>
      <c r="B45" s="140" t="s">
        <v>1336</v>
      </c>
      <c r="C45" s="35"/>
      <c r="D45" s="35"/>
      <c r="E45" s="35"/>
      <c r="F45" s="26"/>
      <c r="G45" s="141">
        <f>SUM(G46+G78)</f>
        <v>561453.2</v>
      </c>
      <c r="H45" s="24"/>
      <c r="I45" s="24"/>
    </row>
    <row r="46" spans="1:9" s="29" customFormat="1" ht="18.75" customHeight="1">
      <c r="A46" s="222" t="s">
        <v>1036</v>
      </c>
      <c r="B46" s="198"/>
      <c r="C46" s="199" t="s">
        <v>1037</v>
      </c>
      <c r="D46" s="199"/>
      <c r="E46" s="199"/>
      <c r="F46" s="200"/>
      <c r="G46" s="201">
        <f>SUM(G47+G57)</f>
        <v>360573.6</v>
      </c>
      <c r="H46" s="24"/>
      <c r="I46" s="24"/>
    </row>
    <row r="47" spans="1:9" s="29" customFormat="1" ht="20.25" customHeight="1">
      <c r="A47" s="222" t="s">
        <v>1038</v>
      </c>
      <c r="B47" s="198"/>
      <c r="C47" s="199" t="s">
        <v>1037</v>
      </c>
      <c r="D47" s="199" t="s">
        <v>1039</v>
      </c>
      <c r="E47" s="199"/>
      <c r="F47" s="200"/>
      <c r="G47" s="201">
        <f>SUM(G51)+G48</f>
        <v>92915.79999999999</v>
      </c>
      <c r="H47" s="24"/>
      <c r="I47" s="24"/>
    </row>
    <row r="48" spans="1:9" s="29" customFormat="1" ht="22.5" customHeight="1">
      <c r="A48" s="222" t="s">
        <v>794</v>
      </c>
      <c r="B48" s="198"/>
      <c r="C48" s="199" t="s">
        <v>1037</v>
      </c>
      <c r="D48" s="199" t="s">
        <v>1039</v>
      </c>
      <c r="E48" s="202" t="s">
        <v>795</v>
      </c>
      <c r="F48" s="203"/>
      <c r="G48" s="201">
        <f>SUM(G49)+G50</f>
        <v>34252.6</v>
      </c>
      <c r="H48" s="24"/>
      <c r="I48" s="24"/>
    </row>
    <row r="49" spans="1:9" s="29" customFormat="1" ht="17.25" customHeight="1">
      <c r="A49" s="222" t="s">
        <v>796</v>
      </c>
      <c r="B49" s="198"/>
      <c r="C49" s="199" t="s">
        <v>1037</v>
      </c>
      <c r="D49" s="199" t="s">
        <v>1039</v>
      </c>
      <c r="E49" s="202" t="s">
        <v>795</v>
      </c>
      <c r="F49" s="200" t="s">
        <v>797</v>
      </c>
      <c r="G49" s="201">
        <v>34252.6</v>
      </c>
      <c r="H49" s="24"/>
      <c r="I49" s="24"/>
    </row>
    <row r="50" spans="1:9" s="29" customFormat="1" ht="19.5" customHeight="1" hidden="1">
      <c r="A50" s="222" t="s">
        <v>1010</v>
      </c>
      <c r="B50" s="198"/>
      <c r="C50" s="199" t="s">
        <v>1037</v>
      </c>
      <c r="D50" s="199" t="s">
        <v>1039</v>
      </c>
      <c r="E50" s="202" t="s">
        <v>795</v>
      </c>
      <c r="F50" s="200" t="s">
        <v>1011</v>
      </c>
      <c r="G50" s="201"/>
      <c r="H50" s="24"/>
      <c r="I50" s="24"/>
    </row>
    <row r="51" spans="1:9" s="29" customFormat="1" ht="16.5" customHeight="1">
      <c r="A51" s="222" t="s">
        <v>1040</v>
      </c>
      <c r="B51" s="198"/>
      <c r="C51" s="199" t="s">
        <v>1037</v>
      </c>
      <c r="D51" s="199" t="s">
        <v>1039</v>
      </c>
      <c r="E51" s="199" t="s">
        <v>581</v>
      </c>
      <c r="F51" s="200"/>
      <c r="G51" s="201">
        <f>SUM(G52,G55)</f>
        <v>58663.2</v>
      </c>
      <c r="H51" s="24"/>
      <c r="I51" s="24"/>
    </row>
    <row r="52" spans="1:9" s="29" customFormat="1" ht="23.25" customHeight="1">
      <c r="A52" s="222" t="s">
        <v>811</v>
      </c>
      <c r="B52" s="198"/>
      <c r="C52" s="199" t="s">
        <v>1037</v>
      </c>
      <c r="D52" s="199" t="s">
        <v>1039</v>
      </c>
      <c r="E52" s="199" t="s">
        <v>963</v>
      </c>
      <c r="F52" s="200"/>
      <c r="G52" s="201">
        <f>SUM(G53)</f>
        <v>58663.2</v>
      </c>
      <c r="H52" s="24"/>
      <c r="I52" s="24"/>
    </row>
    <row r="53" spans="1:9" s="29" customFormat="1" ht="28.5">
      <c r="A53" s="222" t="s">
        <v>1232</v>
      </c>
      <c r="B53" s="198"/>
      <c r="C53" s="199" t="s">
        <v>1037</v>
      </c>
      <c r="D53" s="199" t="s">
        <v>1039</v>
      </c>
      <c r="E53" s="199" t="s">
        <v>964</v>
      </c>
      <c r="F53" s="200"/>
      <c r="G53" s="201">
        <f>SUM(G54)</f>
        <v>58663.2</v>
      </c>
      <c r="H53" s="24"/>
      <c r="I53" s="24"/>
    </row>
    <row r="54" spans="1:9" s="36" customFormat="1" ht="45.75" customHeight="1">
      <c r="A54" s="239" t="s">
        <v>812</v>
      </c>
      <c r="B54" s="204"/>
      <c r="C54" s="202" t="s">
        <v>1037</v>
      </c>
      <c r="D54" s="202" t="s">
        <v>1039</v>
      </c>
      <c r="E54" s="202" t="s">
        <v>964</v>
      </c>
      <c r="F54" s="203" t="s">
        <v>897</v>
      </c>
      <c r="G54" s="201">
        <v>58663.2</v>
      </c>
      <c r="H54" s="24"/>
      <c r="I54" s="24"/>
    </row>
    <row r="55" spans="1:9" s="29" customFormat="1" ht="42.75" hidden="1">
      <c r="A55" s="222" t="s">
        <v>611</v>
      </c>
      <c r="B55" s="198"/>
      <c r="C55" s="199" t="s">
        <v>1037</v>
      </c>
      <c r="D55" s="199" t="s">
        <v>1039</v>
      </c>
      <c r="E55" s="199" t="s">
        <v>612</v>
      </c>
      <c r="F55" s="200"/>
      <c r="G55" s="201">
        <f>SUM(G56)</f>
        <v>0</v>
      </c>
      <c r="H55" s="24"/>
      <c r="I55" s="24"/>
    </row>
    <row r="56" spans="1:9" s="29" customFormat="1" ht="15" hidden="1">
      <c r="A56" s="222" t="s">
        <v>796</v>
      </c>
      <c r="B56" s="198"/>
      <c r="C56" s="199" t="s">
        <v>1037</v>
      </c>
      <c r="D56" s="199" t="s">
        <v>1039</v>
      </c>
      <c r="E56" s="199" t="s">
        <v>612</v>
      </c>
      <c r="F56" s="200" t="s">
        <v>797</v>
      </c>
      <c r="G56" s="201"/>
      <c r="H56" s="24"/>
      <c r="I56" s="24"/>
    </row>
    <row r="57" spans="1:9" s="29" customFormat="1" ht="15">
      <c r="A57" s="220" t="s">
        <v>1084</v>
      </c>
      <c r="B57" s="204"/>
      <c r="C57" s="202" t="s">
        <v>1037</v>
      </c>
      <c r="D57" s="202" t="s">
        <v>389</v>
      </c>
      <c r="E57" s="202"/>
      <c r="F57" s="203"/>
      <c r="G57" s="201">
        <f>SUM(G68+G70+G75+G65+G58+G60)+G62</f>
        <v>267657.8</v>
      </c>
      <c r="H57" s="24"/>
      <c r="I57" s="24"/>
    </row>
    <row r="58" spans="1:9" s="29" customFormat="1" ht="28.5">
      <c r="A58" s="258" t="s">
        <v>1109</v>
      </c>
      <c r="B58" s="66"/>
      <c r="C58" s="202" t="s">
        <v>1037</v>
      </c>
      <c r="D58" s="202" t="s">
        <v>389</v>
      </c>
      <c r="E58" s="46" t="s">
        <v>1108</v>
      </c>
      <c r="F58" s="47"/>
      <c r="G58" s="24">
        <f>SUM(G59)</f>
        <v>77080.7</v>
      </c>
      <c r="H58" s="24"/>
      <c r="I58" s="24"/>
    </row>
    <row r="59" spans="1:9" s="29" customFormat="1" ht="15">
      <c r="A59" s="228" t="s">
        <v>1010</v>
      </c>
      <c r="B59" s="66"/>
      <c r="C59" s="202" t="s">
        <v>1037</v>
      </c>
      <c r="D59" s="202" t="s">
        <v>389</v>
      </c>
      <c r="E59" s="46" t="s">
        <v>1108</v>
      </c>
      <c r="F59" s="47" t="s">
        <v>1011</v>
      </c>
      <c r="G59" s="24">
        <v>77080.7</v>
      </c>
      <c r="H59" s="24"/>
      <c r="I59" s="24"/>
    </row>
    <row r="60" spans="1:9" s="29" customFormat="1" ht="42.75">
      <c r="A60" s="258" t="s">
        <v>1110</v>
      </c>
      <c r="B60" s="66"/>
      <c r="C60" s="202" t="s">
        <v>1037</v>
      </c>
      <c r="D60" s="202" t="s">
        <v>389</v>
      </c>
      <c r="E60" s="46" t="s">
        <v>1111</v>
      </c>
      <c r="F60" s="47"/>
      <c r="G60" s="24">
        <f>SUM(G61)</f>
        <v>40000</v>
      </c>
      <c r="H60" s="24"/>
      <c r="I60" s="24"/>
    </row>
    <row r="61" spans="1:9" s="29" customFormat="1" ht="14.25" customHeight="1">
      <c r="A61" s="222" t="s">
        <v>1010</v>
      </c>
      <c r="B61" s="66"/>
      <c r="C61" s="202" t="s">
        <v>1037</v>
      </c>
      <c r="D61" s="202" t="s">
        <v>389</v>
      </c>
      <c r="E61" s="46" t="s">
        <v>1111</v>
      </c>
      <c r="F61" s="47" t="s">
        <v>1011</v>
      </c>
      <c r="G61" s="24">
        <v>40000</v>
      </c>
      <c r="H61" s="24"/>
      <c r="I61" s="24"/>
    </row>
    <row r="62" spans="1:9" s="29" customFormat="1" ht="14.25" customHeight="1">
      <c r="A62" s="239" t="s">
        <v>785</v>
      </c>
      <c r="B62" s="66"/>
      <c r="C62" s="202" t="s">
        <v>1037</v>
      </c>
      <c r="D62" s="202" t="s">
        <v>389</v>
      </c>
      <c r="E62" s="46" t="s">
        <v>786</v>
      </c>
      <c r="F62" s="47"/>
      <c r="G62" s="24">
        <f>SUM(G63)</f>
        <v>55800</v>
      </c>
      <c r="H62" s="24"/>
      <c r="I62" s="24"/>
    </row>
    <row r="63" spans="1:9" s="29" customFormat="1" ht="42" customHeight="1">
      <c r="A63" s="222" t="s">
        <v>703</v>
      </c>
      <c r="B63" s="66"/>
      <c r="C63" s="202" t="s">
        <v>1037</v>
      </c>
      <c r="D63" s="202" t="s">
        <v>389</v>
      </c>
      <c r="E63" s="46" t="s">
        <v>704</v>
      </c>
      <c r="F63" s="47"/>
      <c r="G63" s="24">
        <f>SUM(G64)</f>
        <v>55800</v>
      </c>
      <c r="H63" s="24"/>
      <c r="I63" s="24"/>
    </row>
    <row r="64" spans="1:9" s="29" customFormat="1" ht="14.25" customHeight="1">
      <c r="A64" s="222" t="s">
        <v>1053</v>
      </c>
      <c r="B64" s="66"/>
      <c r="C64" s="202" t="s">
        <v>1037</v>
      </c>
      <c r="D64" s="202" t="s">
        <v>389</v>
      </c>
      <c r="E64" s="46" t="s">
        <v>704</v>
      </c>
      <c r="F64" s="47" t="s">
        <v>1054</v>
      </c>
      <c r="G64" s="24">
        <v>55800</v>
      </c>
      <c r="H64" s="24"/>
      <c r="I64" s="24"/>
    </row>
    <row r="65" spans="1:9" s="29" customFormat="1" ht="28.5">
      <c r="A65" s="257" t="s">
        <v>847</v>
      </c>
      <c r="B65" s="66"/>
      <c r="C65" s="202" t="s">
        <v>1037</v>
      </c>
      <c r="D65" s="202" t="s">
        <v>389</v>
      </c>
      <c r="E65" s="46" t="s">
        <v>848</v>
      </c>
      <c r="F65" s="47"/>
      <c r="G65" s="24">
        <f>SUM(G67+G66)</f>
        <v>94777.1</v>
      </c>
      <c r="H65" s="24"/>
      <c r="I65" s="24"/>
    </row>
    <row r="66" spans="1:9" s="29" customFormat="1" ht="17.25" customHeight="1">
      <c r="A66" s="222" t="s">
        <v>1053</v>
      </c>
      <c r="B66" s="66"/>
      <c r="C66" s="202" t="s">
        <v>1037</v>
      </c>
      <c r="D66" s="202" t="s">
        <v>389</v>
      </c>
      <c r="E66" s="46" t="s">
        <v>848</v>
      </c>
      <c r="F66" s="47" t="s">
        <v>1054</v>
      </c>
      <c r="G66" s="24">
        <v>6459.3</v>
      </c>
      <c r="H66" s="24"/>
      <c r="I66" s="24"/>
    </row>
    <row r="67" spans="1:9" s="29" customFormat="1" ht="18.75" customHeight="1">
      <c r="A67" s="222" t="s">
        <v>1010</v>
      </c>
      <c r="B67" s="66"/>
      <c r="C67" s="202" t="s">
        <v>1037</v>
      </c>
      <c r="D67" s="202" t="s">
        <v>389</v>
      </c>
      <c r="E67" s="46" t="s">
        <v>848</v>
      </c>
      <c r="F67" s="47" t="s">
        <v>1011</v>
      </c>
      <c r="G67" s="24">
        <v>88317.8</v>
      </c>
      <c r="H67" s="24"/>
      <c r="I67" s="24"/>
    </row>
    <row r="68" spans="1:9" s="29" customFormat="1" ht="28.5" hidden="1">
      <c r="A68" s="229" t="s">
        <v>613</v>
      </c>
      <c r="B68" s="202"/>
      <c r="C68" s="202" t="s">
        <v>1037</v>
      </c>
      <c r="D68" s="202" t="s">
        <v>568</v>
      </c>
      <c r="E68" s="202" t="s">
        <v>614</v>
      </c>
      <c r="F68" s="203"/>
      <c r="G68" s="201">
        <f>SUM(G69)</f>
        <v>0</v>
      </c>
      <c r="H68" s="24"/>
      <c r="I68" s="24"/>
    </row>
    <row r="69" spans="1:9" s="29" customFormat="1" ht="15" hidden="1">
      <c r="A69" s="222" t="s">
        <v>1010</v>
      </c>
      <c r="B69" s="202"/>
      <c r="C69" s="202" t="s">
        <v>1037</v>
      </c>
      <c r="D69" s="202" t="s">
        <v>568</v>
      </c>
      <c r="E69" s="202" t="s">
        <v>614</v>
      </c>
      <c r="F69" s="203" t="s">
        <v>1011</v>
      </c>
      <c r="G69" s="201">
        <f>5050-2000-3050</f>
        <v>0</v>
      </c>
      <c r="H69" s="24"/>
      <c r="I69" s="24"/>
    </row>
    <row r="70" spans="1:9" s="29" customFormat="1" ht="28.5" hidden="1">
      <c r="A70" s="222" t="s">
        <v>586</v>
      </c>
      <c r="B70" s="198"/>
      <c r="C70" s="202" t="s">
        <v>1037</v>
      </c>
      <c r="D70" s="202" t="s">
        <v>568</v>
      </c>
      <c r="E70" s="199" t="s">
        <v>587</v>
      </c>
      <c r="F70" s="203"/>
      <c r="G70" s="201">
        <f>SUM(G71)</f>
        <v>0</v>
      </c>
      <c r="H70" s="24"/>
      <c r="I70" s="24"/>
    </row>
    <row r="71" spans="1:9" s="29" customFormat="1" ht="15" hidden="1">
      <c r="A71" s="222" t="s">
        <v>615</v>
      </c>
      <c r="B71" s="198"/>
      <c r="C71" s="202" t="s">
        <v>1037</v>
      </c>
      <c r="D71" s="202" t="s">
        <v>568</v>
      </c>
      <c r="E71" s="199" t="s">
        <v>616</v>
      </c>
      <c r="F71" s="203"/>
      <c r="G71" s="201">
        <f>SUM(G72)</f>
        <v>0</v>
      </c>
      <c r="H71" s="24"/>
      <c r="I71" s="24"/>
    </row>
    <row r="72" spans="1:9" s="29" customFormat="1" ht="15" hidden="1">
      <c r="A72" s="222" t="s">
        <v>1010</v>
      </c>
      <c r="B72" s="198"/>
      <c r="C72" s="202" t="s">
        <v>1037</v>
      </c>
      <c r="D72" s="202" t="s">
        <v>568</v>
      </c>
      <c r="E72" s="199" t="s">
        <v>616</v>
      </c>
      <c r="F72" s="203" t="s">
        <v>1011</v>
      </c>
      <c r="G72" s="201"/>
      <c r="H72" s="24"/>
      <c r="I72" s="24"/>
    </row>
    <row r="73" spans="1:9" s="29" customFormat="1" ht="28.5" hidden="1">
      <c r="A73" s="222" t="s">
        <v>586</v>
      </c>
      <c r="B73" s="198"/>
      <c r="C73" s="202" t="s">
        <v>1037</v>
      </c>
      <c r="D73" s="202" t="s">
        <v>568</v>
      </c>
      <c r="E73" s="199" t="s">
        <v>587</v>
      </c>
      <c r="F73" s="203"/>
      <c r="G73" s="201">
        <f>SUM(G74)</f>
        <v>0</v>
      </c>
      <c r="H73" s="24"/>
      <c r="I73" s="24"/>
    </row>
    <row r="74" spans="1:9" s="29" customFormat="1" ht="15" hidden="1">
      <c r="A74" s="222" t="s">
        <v>615</v>
      </c>
      <c r="B74" s="198"/>
      <c r="C74" s="202" t="s">
        <v>1037</v>
      </c>
      <c r="D74" s="202" t="s">
        <v>568</v>
      </c>
      <c r="E74" s="199" t="s">
        <v>587</v>
      </c>
      <c r="F74" s="203" t="s">
        <v>603</v>
      </c>
      <c r="G74" s="201"/>
      <c r="H74" s="24"/>
      <c r="I74" s="24"/>
    </row>
    <row r="75" spans="1:9" s="29" customFormat="1" ht="15" hidden="1">
      <c r="A75" s="222" t="s">
        <v>1046</v>
      </c>
      <c r="B75" s="198"/>
      <c r="C75" s="202" t="s">
        <v>1037</v>
      </c>
      <c r="D75" s="202" t="s">
        <v>389</v>
      </c>
      <c r="E75" s="199" t="s">
        <v>1047</v>
      </c>
      <c r="F75" s="203"/>
      <c r="G75" s="201">
        <f>SUM(G76)</f>
        <v>0</v>
      </c>
      <c r="H75" s="24"/>
      <c r="I75" s="24"/>
    </row>
    <row r="76" spans="1:9" s="29" customFormat="1" ht="28.5" hidden="1">
      <c r="A76" s="222" t="s">
        <v>270</v>
      </c>
      <c r="B76" s="198"/>
      <c r="C76" s="202" t="s">
        <v>1037</v>
      </c>
      <c r="D76" s="202" t="s">
        <v>389</v>
      </c>
      <c r="E76" s="199" t="s">
        <v>1085</v>
      </c>
      <c r="F76" s="203"/>
      <c r="G76" s="201">
        <f>SUM(G77)</f>
        <v>0</v>
      </c>
      <c r="H76" s="24"/>
      <c r="I76" s="24"/>
    </row>
    <row r="77" spans="1:9" s="29" customFormat="1" ht="15" hidden="1">
      <c r="A77" s="222" t="s">
        <v>1010</v>
      </c>
      <c r="B77" s="204"/>
      <c r="C77" s="202" t="s">
        <v>1037</v>
      </c>
      <c r="D77" s="202" t="s">
        <v>389</v>
      </c>
      <c r="E77" s="199" t="s">
        <v>1085</v>
      </c>
      <c r="F77" s="203" t="s">
        <v>1011</v>
      </c>
      <c r="G77" s="205"/>
      <c r="H77" s="24"/>
      <c r="I77" s="24"/>
    </row>
    <row r="78" spans="1:9" s="53" customFormat="1" ht="18.75" customHeight="1">
      <c r="A78" s="228" t="s">
        <v>619</v>
      </c>
      <c r="B78" s="34"/>
      <c r="C78" s="35" t="s">
        <v>1050</v>
      </c>
      <c r="D78" s="35"/>
      <c r="E78" s="35"/>
      <c r="F78" s="27"/>
      <c r="G78" s="144">
        <f>SUM(G79+G130+G166+G195)</f>
        <v>200879.6</v>
      </c>
      <c r="H78" s="144" t="e">
        <f>SUM(H79+H130+H166+H195)</f>
        <v>#REF!</v>
      </c>
      <c r="I78" s="24" t="e">
        <f aca="true" t="shared" si="4" ref="I78:I118">SUM(H78/G78*100)</f>
        <v>#REF!</v>
      </c>
    </row>
    <row r="79" spans="1:9" s="53" customFormat="1" ht="18.75" customHeight="1">
      <c r="A79" s="222" t="s">
        <v>620</v>
      </c>
      <c r="B79" s="21"/>
      <c r="C79" s="22" t="s">
        <v>1050</v>
      </c>
      <c r="D79" s="22" t="s">
        <v>663</v>
      </c>
      <c r="E79" s="22"/>
      <c r="F79" s="23"/>
      <c r="G79" s="24">
        <f>SUM(G100+G122+G92+G105+G80+G119)</f>
        <v>34343.799999999996</v>
      </c>
      <c r="H79" s="24">
        <f>SUM(H100+H122+H92+H105+H80)</f>
        <v>24076.4</v>
      </c>
      <c r="I79" s="24">
        <f t="shared" si="4"/>
        <v>70.1040653625982</v>
      </c>
    </row>
    <row r="80" spans="1:9" s="36" customFormat="1" ht="33" customHeight="1">
      <c r="A80" s="230" t="s">
        <v>621</v>
      </c>
      <c r="B80" s="58"/>
      <c r="C80" s="22" t="s">
        <v>1050</v>
      </c>
      <c r="D80" s="22" t="s">
        <v>663</v>
      </c>
      <c r="E80" s="22" t="s">
        <v>622</v>
      </c>
      <c r="F80" s="23"/>
      <c r="G80" s="24">
        <f>SUM(G81+G88)</f>
        <v>34237.7</v>
      </c>
      <c r="H80" s="24">
        <f>SUM(H81+H88)</f>
        <v>23798.300000000003</v>
      </c>
      <c r="I80" s="24">
        <f t="shared" si="4"/>
        <v>69.50904996538905</v>
      </c>
    </row>
    <row r="81" spans="1:9" s="36" customFormat="1" ht="62.25" customHeight="1">
      <c r="A81" s="230" t="s">
        <v>623</v>
      </c>
      <c r="B81" s="58"/>
      <c r="C81" s="22" t="s">
        <v>1050</v>
      </c>
      <c r="D81" s="22" t="s">
        <v>663</v>
      </c>
      <c r="E81" s="22" t="s">
        <v>624</v>
      </c>
      <c r="F81" s="23"/>
      <c r="G81" s="24">
        <f>SUM(G82+G84+G86)</f>
        <v>24367</v>
      </c>
      <c r="H81" s="24">
        <f>SUM(H82+H84+H86)</f>
        <v>20414.4</v>
      </c>
      <c r="I81" s="24">
        <f t="shared" si="4"/>
        <v>83.77888127385398</v>
      </c>
    </row>
    <row r="82" spans="1:9" s="36" customFormat="1" ht="48" customHeight="1">
      <c r="A82" s="230" t="s">
        <v>833</v>
      </c>
      <c r="B82" s="58"/>
      <c r="C82" s="22" t="s">
        <v>1050</v>
      </c>
      <c r="D82" s="22" t="s">
        <v>663</v>
      </c>
      <c r="E82" s="22" t="s">
        <v>834</v>
      </c>
      <c r="F82" s="23"/>
      <c r="G82" s="24">
        <f>SUM(G83)</f>
        <v>24367</v>
      </c>
      <c r="H82" s="24">
        <f>SUM(H83)</f>
        <v>15652.8</v>
      </c>
      <c r="I82" s="24">
        <f t="shared" si="4"/>
        <v>64.23769852669594</v>
      </c>
    </row>
    <row r="83" spans="1:9" s="36" customFormat="1" ht="15.75" customHeight="1">
      <c r="A83" s="222" t="s">
        <v>796</v>
      </c>
      <c r="B83" s="21"/>
      <c r="C83" s="22" t="s">
        <v>1050</v>
      </c>
      <c r="D83" s="22" t="s">
        <v>663</v>
      </c>
      <c r="E83" s="22" t="s">
        <v>834</v>
      </c>
      <c r="F83" s="23" t="s">
        <v>797</v>
      </c>
      <c r="G83" s="24">
        <v>24367</v>
      </c>
      <c r="H83" s="24">
        <v>15652.8</v>
      </c>
      <c r="I83" s="24">
        <f t="shared" si="4"/>
        <v>64.23769852669594</v>
      </c>
    </row>
    <row r="84" spans="1:9" s="36" customFormat="1" ht="11.25" customHeight="1" hidden="1">
      <c r="A84" s="230" t="s">
        <v>835</v>
      </c>
      <c r="B84" s="58"/>
      <c r="C84" s="22" t="s">
        <v>1050</v>
      </c>
      <c r="D84" s="22" t="s">
        <v>663</v>
      </c>
      <c r="E84" s="22" t="s">
        <v>836</v>
      </c>
      <c r="F84" s="23"/>
      <c r="G84" s="24">
        <f>SUM(G85)</f>
        <v>0</v>
      </c>
      <c r="H84" s="24">
        <f>SUM(H85)</f>
        <v>0</v>
      </c>
      <c r="I84" s="24" t="e">
        <f t="shared" si="4"/>
        <v>#DIV/0!</v>
      </c>
    </row>
    <row r="85" spans="1:9" s="36" customFormat="1" ht="15" hidden="1">
      <c r="A85" s="257" t="s">
        <v>1053</v>
      </c>
      <c r="B85" s="58"/>
      <c r="C85" s="22" t="s">
        <v>1050</v>
      </c>
      <c r="D85" s="22" t="s">
        <v>663</v>
      </c>
      <c r="E85" s="22" t="s">
        <v>836</v>
      </c>
      <c r="F85" s="23" t="s">
        <v>1054</v>
      </c>
      <c r="G85" s="24"/>
      <c r="H85" s="24"/>
      <c r="I85" s="24" t="e">
        <f t="shared" si="4"/>
        <v>#DIV/0!</v>
      </c>
    </row>
    <row r="86" spans="1:9" s="36" customFormat="1" ht="71.25" hidden="1">
      <c r="A86" s="230" t="s">
        <v>271</v>
      </c>
      <c r="B86" s="58"/>
      <c r="C86" s="22" t="s">
        <v>1050</v>
      </c>
      <c r="D86" s="22" t="s">
        <v>663</v>
      </c>
      <c r="E86" s="22" t="s">
        <v>1065</v>
      </c>
      <c r="F86" s="23"/>
      <c r="G86" s="24">
        <f>SUM(G87)</f>
        <v>0</v>
      </c>
      <c r="H86" s="24">
        <f>SUM(H87)</f>
        <v>4761.6</v>
      </c>
      <c r="I86" s="24" t="e">
        <f t="shared" si="4"/>
        <v>#DIV/0!</v>
      </c>
    </row>
    <row r="87" spans="1:9" s="36" customFormat="1" ht="15" hidden="1">
      <c r="A87" s="257" t="s">
        <v>1053</v>
      </c>
      <c r="B87" s="58"/>
      <c r="C87" s="22" t="s">
        <v>1050</v>
      </c>
      <c r="D87" s="22" t="s">
        <v>663</v>
      </c>
      <c r="E87" s="22" t="s">
        <v>1065</v>
      </c>
      <c r="F87" s="23" t="s">
        <v>1054</v>
      </c>
      <c r="G87" s="24"/>
      <c r="H87" s="24">
        <v>4761.6</v>
      </c>
      <c r="I87" s="24" t="e">
        <f t="shared" si="4"/>
        <v>#DIV/0!</v>
      </c>
    </row>
    <row r="88" spans="1:9" s="36" customFormat="1" ht="42.75">
      <c r="A88" s="228" t="s">
        <v>625</v>
      </c>
      <c r="B88" s="58"/>
      <c r="C88" s="22" t="s">
        <v>1050</v>
      </c>
      <c r="D88" s="22" t="s">
        <v>663</v>
      </c>
      <c r="E88" s="22" t="s">
        <v>626</v>
      </c>
      <c r="F88" s="23"/>
      <c r="G88" s="24">
        <f>SUM(G89)+G95+G98</f>
        <v>9870.7</v>
      </c>
      <c r="H88" s="24">
        <f>SUM(H89)+H95+H98</f>
        <v>3383.9</v>
      </c>
      <c r="I88" s="24">
        <f t="shared" si="4"/>
        <v>34.282269747839564</v>
      </c>
    </row>
    <row r="89" spans="1:9" s="36" customFormat="1" ht="32.25" customHeight="1">
      <c r="A89" s="228" t="s">
        <v>627</v>
      </c>
      <c r="B89" s="58"/>
      <c r="C89" s="22" t="s">
        <v>1050</v>
      </c>
      <c r="D89" s="22" t="s">
        <v>663</v>
      </c>
      <c r="E89" s="22" t="s">
        <v>628</v>
      </c>
      <c r="F89" s="23"/>
      <c r="G89" s="24">
        <f>SUM(G90+G91)</f>
        <v>9870.7</v>
      </c>
      <c r="H89" s="24">
        <f>SUM(H90+H91)</f>
        <v>1562</v>
      </c>
      <c r="I89" s="24">
        <f t="shared" si="4"/>
        <v>15.82461223621425</v>
      </c>
    </row>
    <row r="90" spans="1:9" s="36" customFormat="1" ht="15">
      <c r="A90" s="232" t="s">
        <v>796</v>
      </c>
      <c r="B90" s="58"/>
      <c r="C90" s="22" t="s">
        <v>1050</v>
      </c>
      <c r="D90" s="22" t="s">
        <v>663</v>
      </c>
      <c r="E90" s="22" t="s">
        <v>628</v>
      </c>
      <c r="F90" s="23" t="s">
        <v>797</v>
      </c>
      <c r="G90" s="24">
        <v>9870.7</v>
      </c>
      <c r="H90" s="24">
        <v>233.9</v>
      </c>
      <c r="I90" s="24">
        <f t="shared" si="4"/>
        <v>2.369639437932467</v>
      </c>
    </row>
    <row r="91" spans="1:9" s="36" customFormat="1" ht="28.5" hidden="1">
      <c r="A91" s="232" t="s">
        <v>629</v>
      </c>
      <c r="B91" s="58"/>
      <c r="C91" s="22" t="s">
        <v>1050</v>
      </c>
      <c r="D91" s="22" t="s">
        <v>663</v>
      </c>
      <c r="E91" s="22" t="s">
        <v>628</v>
      </c>
      <c r="F91" s="23" t="s">
        <v>630</v>
      </c>
      <c r="G91" s="24"/>
      <c r="H91" s="24">
        <v>1328.1</v>
      </c>
      <c r="I91" s="24" t="e">
        <f t="shared" si="4"/>
        <v>#DIV/0!</v>
      </c>
    </row>
    <row r="92" spans="1:9" s="36" customFormat="1" ht="28.5" hidden="1">
      <c r="A92" s="228" t="s">
        <v>242</v>
      </c>
      <c r="B92" s="21"/>
      <c r="C92" s="22" t="s">
        <v>1050</v>
      </c>
      <c r="D92" s="22" t="s">
        <v>663</v>
      </c>
      <c r="E92" s="22" t="s">
        <v>605</v>
      </c>
      <c r="F92" s="23"/>
      <c r="G92" s="24">
        <f>SUM(G93)</f>
        <v>0</v>
      </c>
      <c r="H92" s="24">
        <f>SUM(H93)</f>
        <v>0</v>
      </c>
      <c r="I92" s="24" t="e">
        <f t="shared" si="4"/>
        <v>#DIV/0!</v>
      </c>
    </row>
    <row r="93" spans="1:9" s="36" customFormat="1" ht="28.5" hidden="1">
      <c r="A93" s="228" t="s">
        <v>1051</v>
      </c>
      <c r="B93" s="21"/>
      <c r="C93" s="22" t="s">
        <v>1050</v>
      </c>
      <c r="D93" s="22" t="s">
        <v>663</v>
      </c>
      <c r="E93" s="22" t="s">
        <v>1052</v>
      </c>
      <c r="F93" s="23"/>
      <c r="G93" s="24">
        <f>SUM(G94)</f>
        <v>0</v>
      </c>
      <c r="H93" s="24">
        <f>SUM(H94)</f>
        <v>0</v>
      </c>
      <c r="I93" s="24" t="e">
        <f t="shared" si="4"/>
        <v>#DIV/0!</v>
      </c>
    </row>
    <row r="94" spans="1:9" s="36" customFormat="1" ht="15" hidden="1">
      <c r="A94" s="228" t="s">
        <v>1053</v>
      </c>
      <c r="B94" s="21"/>
      <c r="C94" s="22" t="s">
        <v>1050</v>
      </c>
      <c r="D94" s="22" t="s">
        <v>663</v>
      </c>
      <c r="E94" s="22" t="s">
        <v>1052</v>
      </c>
      <c r="F94" s="23" t="s">
        <v>1054</v>
      </c>
      <c r="G94" s="24"/>
      <c r="H94" s="24"/>
      <c r="I94" s="24" t="e">
        <f t="shared" si="4"/>
        <v>#DIV/0!</v>
      </c>
    </row>
    <row r="95" spans="1:9" s="36" customFormat="1" ht="28.5" hidden="1">
      <c r="A95" s="228" t="s">
        <v>631</v>
      </c>
      <c r="B95" s="21"/>
      <c r="C95" s="22" t="s">
        <v>1050</v>
      </c>
      <c r="D95" s="22" t="s">
        <v>663</v>
      </c>
      <c r="E95" s="22" t="s">
        <v>632</v>
      </c>
      <c r="F95" s="23"/>
      <c r="G95" s="24">
        <f>SUM(G96+G97)</f>
        <v>0</v>
      </c>
      <c r="H95" s="24">
        <f>SUM(H96+H97)</f>
        <v>0</v>
      </c>
      <c r="I95" s="24" t="e">
        <f t="shared" si="4"/>
        <v>#DIV/0!</v>
      </c>
    </row>
    <row r="96" spans="1:9" s="36" customFormat="1" ht="15" hidden="1">
      <c r="A96" s="257" t="s">
        <v>1053</v>
      </c>
      <c r="B96" s="21"/>
      <c r="C96" s="22" t="s">
        <v>1050</v>
      </c>
      <c r="D96" s="22" t="s">
        <v>663</v>
      </c>
      <c r="E96" s="22" t="s">
        <v>632</v>
      </c>
      <c r="F96" s="23" t="s">
        <v>1054</v>
      </c>
      <c r="G96" s="24"/>
      <c r="H96" s="24"/>
      <c r="I96" s="24" t="e">
        <f t="shared" si="4"/>
        <v>#DIV/0!</v>
      </c>
    </row>
    <row r="97" spans="1:9" s="36" customFormat="1" ht="15" hidden="1">
      <c r="A97" s="257" t="s">
        <v>639</v>
      </c>
      <c r="B97" s="21"/>
      <c r="C97" s="22" t="s">
        <v>1050</v>
      </c>
      <c r="D97" s="22" t="s">
        <v>663</v>
      </c>
      <c r="E97" s="22" t="s">
        <v>632</v>
      </c>
      <c r="F97" s="23" t="s">
        <v>640</v>
      </c>
      <c r="G97" s="24"/>
      <c r="H97" s="24"/>
      <c r="I97" s="24" t="e">
        <f t="shared" si="4"/>
        <v>#DIV/0!</v>
      </c>
    </row>
    <row r="98" spans="1:9" s="36" customFormat="1" ht="42.75" hidden="1">
      <c r="A98" s="228" t="s">
        <v>641</v>
      </c>
      <c r="B98" s="21"/>
      <c r="C98" s="22" t="s">
        <v>1050</v>
      </c>
      <c r="D98" s="22" t="s">
        <v>663</v>
      </c>
      <c r="E98" s="22" t="s">
        <v>642</v>
      </c>
      <c r="F98" s="23"/>
      <c r="G98" s="24">
        <f>SUM(G99)</f>
        <v>0</v>
      </c>
      <c r="H98" s="24">
        <f>SUM(H99)</f>
        <v>1821.9</v>
      </c>
      <c r="I98" s="24" t="e">
        <f t="shared" si="4"/>
        <v>#DIV/0!</v>
      </c>
    </row>
    <row r="99" spans="1:9" s="36" customFormat="1" ht="15" hidden="1">
      <c r="A99" s="257" t="s">
        <v>1053</v>
      </c>
      <c r="B99" s="21"/>
      <c r="C99" s="22" t="s">
        <v>1050</v>
      </c>
      <c r="D99" s="22" t="s">
        <v>663</v>
      </c>
      <c r="E99" s="22" t="s">
        <v>642</v>
      </c>
      <c r="F99" s="23" t="s">
        <v>1054</v>
      </c>
      <c r="G99" s="24"/>
      <c r="H99" s="24">
        <v>1821.9</v>
      </c>
      <c r="I99" s="24" t="e">
        <f t="shared" si="4"/>
        <v>#DIV/0!</v>
      </c>
    </row>
    <row r="100" spans="1:9" s="36" customFormat="1" ht="15" hidden="1">
      <c r="A100" s="222" t="s">
        <v>643</v>
      </c>
      <c r="B100" s="21"/>
      <c r="C100" s="22" t="s">
        <v>1050</v>
      </c>
      <c r="D100" s="22" t="s">
        <v>663</v>
      </c>
      <c r="E100" s="22" t="s">
        <v>965</v>
      </c>
      <c r="F100" s="23"/>
      <c r="G100" s="24">
        <f>SUM(G101+G103)</f>
        <v>0</v>
      </c>
      <c r="H100" s="24">
        <f>SUM(H101+H103)</f>
        <v>0</v>
      </c>
      <c r="I100" s="24" t="e">
        <f t="shared" si="4"/>
        <v>#DIV/0!</v>
      </c>
    </row>
    <row r="101" spans="1:9" s="36" customFormat="1" ht="25.5" customHeight="1" hidden="1">
      <c r="A101" s="224" t="s">
        <v>967</v>
      </c>
      <c r="B101" s="21"/>
      <c r="C101" s="22" t="s">
        <v>1050</v>
      </c>
      <c r="D101" s="22" t="s">
        <v>663</v>
      </c>
      <c r="E101" s="22" t="s">
        <v>966</v>
      </c>
      <c r="F101" s="23"/>
      <c r="G101" s="24">
        <f>SUM(G102)</f>
        <v>0</v>
      </c>
      <c r="H101" s="24">
        <f>SUM(H102)</f>
        <v>0</v>
      </c>
      <c r="I101" s="24" t="e">
        <f t="shared" si="4"/>
        <v>#DIV/0!</v>
      </c>
    </row>
    <row r="102" spans="1:9" s="36" customFormat="1" ht="14.25" customHeight="1" hidden="1">
      <c r="A102" s="222" t="s">
        <v>796</v>
      </c>
      <c r="B102" s="21"/>
      <c r="C102" s="22" t="s">
        <v>1050</v>
      </c>
      <c r="D102" s="22" t="s">
        <v>663</v>
      </c>
      <c r="E102" s="22" t="s">
        <v>966</v>
      </c>
      <c r="F102" s="23" t="s">
        <v>797</v>
      </c>
      <c r="G102" s="24"/>
      <c r="H102" s="24"/>
      <c r="I102" s="24" t="e">
        <f t="shared" si="4"/>
        <v>#DIV/0!</v>
      </c>
    </row>
    <row r="103" spans="1:9" s="36" customFormat="1" ht="28.5" hidden="1">
      <c r="A103" s="224" t="s">
        <v>647</v>
      </c>
      <c r="B103" s="34"/>
      <c r="C103" s="22" t="s">
        <v>1050</v>
      </c>
      <c r="D103" s="22" t="s">
        <v>663</v>
      </c>
      <c r="E103" s="22" t="s">
        <v>648</v>
      </c>
      <c r="F103" s="26"/>
      <c r="G103" s="24">
        <f>SUM(G104)</f>
        <v>0</v>
      </c>
      <c r="H103" s="24">
        <f>SUM(H104)</f>
        <v>0</v>
      </c>
      <c r="I103" s="24" t="e">
        <f t="shared" si="4"/>
        <v>#DIV/0!</v>
      </c>
    </row>
    <row r="104" spans="1:9" s="36" customFormat="1" ht="15" hidden="1">
      <c r="A104" s="222" t="s">
        <v>1010</v>
      </c>
      <c r="B104" s="59"/>
      <c r="C104" s="22" t="s">
        <v>1050</v>
      </c>
      <c r="D104" s="22" t="s">
        <v>663</v>
      </c>
      <c r="E104" s="22" t="s">
        <v>648</v>
      </c>
      <c r="F104" s="47" t="s">
        <v>1011</v>
      </c>
      <c r="G104" s="49"/>
      <c r="H104" s="49"/>
      <c r="I104" s="24" t="e">
        <f t="shared" si="4"/>
        <v>#DIV/0!</v>
      </c>
    </row>
    <row r="105" spans="1:9" s="36" customFormat="1" ht="15" hidden="1">
      <c r="A105" s="224" t="s">
        <v>785</v>
      </c>
      <c r="B105" s="45"/>
      <c r="C105" s="63" t="s">
        <v>1050</v>
      </c>
      <c r="D105" s="63" t="s">
        <v>663</v>
      </c>
      <c r="E105" s="63" t="s">
        <v>786</v>
      </c>
      <c r="F105" s="61"/>
      <c r="G105" s="62">
        <f>SUM(G109)+G114+G106</f>
        <v>0</v>
      </c>
      <c r="H105" s="62">
        <f>SUM(H109)+H114+H106</f>
        <v>0</v>
      </c>
      <c r="I105" s="24" t="e">
        <f t="shared" si="4"/>
        <v>#DIV/0!</v>
      </c>
    </row>
    <row r="106" spans="1:9" s="36" customFormat="1" ht="28.5" hidden="1">
      <c r="A106" s="224" t="s">
        <v>649</v>
      </c>
      <c r="B106" s="45"/>
      <c r="C106" s="63" t="s">
        <v>1050</v>
      </c>
      <c r="D106" s="63" t="s">
        <v>663</v>
      </c>
      <c r="E106" s="63" t="s">
        <v>650</v>
      </c>
      <c r="F106" s="61"/>
      <c r="G106" s="62">
        <f>SUM(G107)</f>
        <v>0</v>
      </c>
      <c r="H106" s="62">
        <f>SUM(H107)</f>
        <v>0</v>
      </c>
      <c r="I106" s="24" t="e">
        <f t="shared" si="4"/>
        <v>#DIV/0!</v>
      </c>
    </row>
    <row r="107" spans="1:9" s="36" customFormat="1" ht="15" hidden="1">
      <c r="A107" s="224" t="s">
        <v>1053</v>
      </c>
      <c r="B107" s="45"/>
      <c r="C107" s="63" t="s">
        <v>1050</v>
      </c>
      <c r="D107" s="63" t="s">
        <v>663</v>
      </c>
      <c r="E107" s="63" t="s">
        <v>650</v>
      </c>
      <c r="F107" s="61" t="s">
        <v>1054</v>
      </c>
      <c r="G107" s="62"/>
      <c r="H107" s="62"/>
      <c r="I107" s="24" t="e">
        <f t="shared" si="4"/>
        <v>#DIV/0!</v>
      </c>
    </row>
    <row r="108" spans="1:9" s="36" customFormat="1" ht="15" hidden="1">
      <c r="A108" s="224"/>
      <c r="B108" s="45"/>
      <c r="C108" s="45"/>
      <c r="D108" s="45"/>
      <c r="E108" s="45"/>
      <c r="F108" s="61"/>
      <c r="G108" s="62"/>
      <c r="H108" s="62"/>
      <c r="I108" s="24" t="e">
        <f t="shared" si="4"/>
        <v>#DIV/0!</v>
      </c>
    </row>
    <row r="109" spans="1:9" s="36" customFormat="1" ht="28.5" hidden="1">
      <c r="A109" s="222" t="s">
        <v>651</v>
      </c>
      <c r="B109" s="45"/>
      <c r="C109" s="63" t="s">
        <v>1050</v>
      </c>
      <c r="D109" s="63" t="s">
        <v>663</v>
      </c>
      <c r="E109" s="63" t="s">
        <v>652</v>
      </c>
      <c r="F109" s="61"/>
      <c r="G109" s="62">
        <f>SUM(G110+G112)</f>
        <v>0</v>
      </c>
      <c r="H109" s="62">
        <f>SUM(H110+H112)</f>
        <v>0</v>
      </c>
      <c r="I109" s="24" t="e">
        <f t="shared" si="4"/>
        <v>#DIV/0!</v>
      </c>
    </row>
    <row r="110" spans="1:9" s="36" customFormat="1" ht="28.5" hidden="1">
      <c r="A110" s="224" t="s">
        <v>653</v>
      </c>
      <c r="B110" s="64"/>
      <c r="C110" s="63" t="s">
        <v>1050</v>
      </c>
      <c r="D110" s="63" t="s">
        <v>663</v>
      </c>
      <c r="E110" s="63" t="s">
        <v>654</v>
      </c>
      <c r="F110" s="61"/>
      <c r="G110" s="62">
        <f>SUM(G111)</f>
        <v>0</v>
      </c>
      <c r="H110" s="62">
        <f>SUM(H111)</f>
        <v>0</v>
      </c>
      <c r="I110" s="24" t="e">
        <f t="shared" si="4"/>
        <v>#DIV/0!</v>
      </c>
    </row>
    <row r="111" spans="1:9" s="36" customFormat="1" ht="15" hidden="1">
      <c r="A111" s="228" t="s">
        <v>1053</v>
      </c>
      <c r="B111" s="45"/>
      <c r="C111" s="63" t="s">
        <v>1050</v>
      </c>
      <c r="D111" s="63" t="s">
        <v>663</v>
      </c>
      <c r="E111" s="63" t="s">
        <v>654</v>
      </c>
      <c r="F111" s="50" t="s">
        <v>1054</v>
      </c>
      <c r="G111" s="24"/>
      <c r="H111" s="24"/>
      <c r="I111" s="24" t="e">
        <f t="shared" si="4"/>
        <v>#DIV/0!</v>
      </c>
    </row>
    <row r="112" spans="1:9" s="36" customFormat="1" ht="15" hidden="1">
      <c r="A112" s="228" t="s">
        <v>655</v>
      </c>
      <c r="B112" s="45"/>
      <c r="C112" s="63" t="s">
        <v>1050</v>
      </c>
      <c r="D112" s="63" t="s">
        <v>663</v>
      </c>
      <c r="E112" s="63" t="s">
        <v>656</v>
      </c>
      <c r="F112" s="50"/>
      <c r="G112" s="24">
        <f>SUM(G113)</f>
        <v>0</v>
      </c>
      <c r="H112" s="24">
        <f>SUM(H113)</f>
        <v>0</v>
      </c>
      <c r="I112" s="24" t="e">
        <f t="shared" si="4"/>
        <v>#DIV/0!</v>
      </c>
    </row>
    <row r="113" spans="1:9" s="36" customFormat="1" ht="15" hidden="1">
      <c r="A113" s="222" t="s">
        <v>1010</v>
      </c>
      <c r="B113" s="59"/>
      <c r="C113" s="22" t="s">
        <v>1050</v>
      </c>
      <c r="D113" s="22" t="s">
        <v>663</v>
      </c>
      <c r="E113" s="63" t="s">
        <v>656</v>
      </c>
      <c r="F113" s="50" t="s">
        <v>1011</v>
      </c>
      <c r="G113" s="24"/>
      <c r="H113" s="24"/>
      <c r="I113" s="24" t="e">
        <f t="shared" si="4"/>
        <v>#DIV/0!</v>
      </c>
    </row>
    <row r="114" spans="1:9" s="36" customFormat="1" ht="28.5" hidden="1">
      <c r="A114" s="222" t="s">
        <v>657</v>
      </c>
      <c r="B114" s="59"/>
      <c r="C114" s="22" t="s">
        <v>1050</v>
      </c>
      <c r="D114" s="22" t="s">
        <v>663</v>
      </c>
      <c r="E114" s="46" t="s">
        <v>658</v>
      </c>
      <c r="F114" s="50"/>
      <c r="G114" s="24"/>
      <c r="H114" s="24"/>
      <c r="I114" s="24" t="e">
        <f t="shared" si="4"/>
        <v>#DIV/0!</v>
      </c>
    </row>
    <row r="115" spans="1:9" s="36" customFormat="1" ht="28.5" hidden="1">
      <c r="A115" s="222" t="s">
        <v>874</v>
      </c>
      <c r="B115" s="59"/>
      <c r="C115" s="22" t="s">
        <v>1050</v>
      </c>
      <c r="D115" s="22" t="s">
        <v>663</v>
      </c>
      <c r="E115" s="46" t="s">
        <v>875</v>
      </c>
      <c r="F115" s="50"/>
      <c r="G115" s="24">
        <f>SUM(G116)</f>
        <v>0</v>
      </c>
      <c r="H115" s="24">
        <f>SUM(H116)</f>
        <v>0</v>
      </c>
      <c r="I115" s="24" t="e">
        <f t="shared" si="4"/>
        <v>#DIV/0!</v>
      </c>
    </row>
    <row r="116" spans="1:9" s="36" customFormat="1" ht="15" hidden="1">
      <c r="A116" s="222" t="s">
        <v>796</v>
      </c>
      <c r="B116" s="59"/>
      <c r="C116" s="22" t="s">
        <v>1050</v>
      </c>
      <c r="D116" s="22" t="s">
        <v>663</v>
      </c>
      <c r="E116" s="63" t="s">
        <v>875</v>
      </c>
      <c r="F116" s="50" t="s">
        <v>797</v>
      </c>
      <c r="G116" s="24"/>
      <c r="H116" s="24"/>
      <c r="I116" s="24" t="e">
        <f t="shared" si="4"/>
        <v>#DIV/0!</v>
      </c>
    </row>
    <row r="117" spans="1:9" s="36" customFormat="1" ht="28.5" hidden="1">
      <c r="A117" s="222" t="s">
        <v>876</v>
      </c>
      <c r="B117" s="59"/>
      <c r="C117" s="22" t="s">
        <v>1050</v>
      </c>
      <c r="D117" s="22" t="s">
        <v>663</v>
      </c>
      <c r="E117" s="46" t="s">
        <v>877</v>
      </c>
      <c r="F117" s="50"/>
      <c r="G117" s="24">
        <f>SUM(G118)</f>
        <v>0</v>
      </c>
      <c r="H117" s="24">
        <f>SUM(H118)</f>
        <v>0</v>
      </c>
      <c r="I117" s="24" t="e">
        <f t="shared" si="4"/>
        <v>#DIV/0!</v>
      </c>
    </row>
    <row r="118" spans="1:9" s="36" customFormat="1" ht="15" hidden="1">
      <c r="A118" s="222" t="s">
        <v>796</v>
      </c>
      <c r="B118" s="59"/>
      <c r="C118" s="22" t="s">
        <v>1050</v>
      </c>
      <c r="D118" s="22" t="s">
        <v>663</v>
      </c>
      <c r="E118" s="63" t="s">
        <v>877</v>
      </c>
      <c r="F118" s="50" t="s">
        <v>797</v>
      </c>
      <c r="G118" s="24"/>
      <c r="H118" s="24"/>
      <c r="I118" s="24" t="e">
        <f t="shared" si="4"/>
        <v>#DIV/0!</v>
      </c>
    </row>
    <row r="119" spans="1:9" s="36" customFormat="1" ht="15" hidden="1">
      <c r="A119" s="222" t="s">
        <v>643</v>
      </c>
      <c r="B119" s="59"/>
      <c r="C119" s="22" t="s">
        <v>1050</v>
      </c>
      <c r="D119" s="22" t="s">
        <v>663</v>
      </c>
      <c r="E119" s="63" t="s">
        <v>644</v>
      </c>
      <c r="F119" s="50"/>
      <c r="G119" s="24">
        <f>SUM(G120)</f>
        <v>0</v>
      </c>
      <c r="H119" s="24"/>
      <c r="I119" s="24"/>
    </row>
    <row r="120" spans="1:9" s="36" customFormat="1" ht="28.5" hidden="1">
      <c r="A120" s="222" t="s">
        <v>339</v>
      </c>
      <c r="B120" s="59"/>
      <c r="C120" s="22" t="s">
        <v>1050</v>
      </c>
      <c r="D120" s="22" t="s">
        <v>663</v>
      </c>
      <c r="E120" s="46" t="s">
        <v>648</v>
      </c>
      <c r="F120" s="50"/>
      <c r="G120" s="24">
        <f>SUM(G121)</f>
        <v>0</v>
      </c>
      <c r="H120" s="24"/>
      <c r="I120" s="24"/>
    </row>
    <row r="121" spans="1:9" s="36" customFormat="1" ht="15" hidden="1">
      <c r="A121" s="222" t="s">
        <v>1010</v>
      </c>
      <c r="B121" s="59"/>
      <c r="C121" s="22" t="s">
        <v>1050</v>
      </c>
      <c r="D121" s="22" t="s">
        <v>663</v>
      </c>
      <c r="E121" s="46" t="s">
        <v>648</v>
      </c>
      <c r="F121" s="47" t="s">
        <v>1011</v>
      </c>
      <c r="G121" s="24"/>
      <c r="H121" s="24"/>
      <c r="I121" s="24"/>
    </row>
    <row r="122" spans="1:9" s="36" customFormat="1" ht="15">
      <c r="A122" s="257" t="s">
        <v>1046</v>
      </c>
      <c r="B122" s="45"/>
      <c r="C122" s="45" t="s">
        <v>1050</v>
      </c>
      <c r="D122" s="45" t="s">
        <v>663</v>
      </c>
      <c r="E122" s="45" t="s">
        <v>1047</v>
      </c>
      <c r="F122" s="50"/>
      <c r="G122" s="24">
        <f>SUM(G123+G125)+G128</f>
        <v>106.1</v>
      </c>
      <c r="H122" s="24">
        <f>SUM(H123+H125)+H128</f>
        <v>278.1</v>
      </c>
      <c r="I122" s="24">
        <f aca="true" t="shared" si="5" ref="I122:I170">SUM(H122/G122*100)</f>
        <v>262.1112158341188</v>
      </c>
    </row>
    <row r="123" spans="1:9" s="36" customFormat="1" ht="42.75">
      <c r="A123" s="212" t="s">
        <v>1244</v>
      </c>
      <c r="B123" s="45"/>
      <c r="C123" s="45" t="s">
        <v>1050</v>
      </c>
      <c r="D123" s="45" t="s">
        <v>663</v>
      </c>
      <c r="E123" s="45" t="s">
        <v>383</v>
      </c>
      <c r="F123" s="50"/>
      <c r="G123" s="65">
        <f>SUM(G124:G124)</f>
        <v>66.1</v>
      </c>
      <c r="H123" s="65">
        <f>SUM(H124:H124)</f>
        <v>0</v>
      </c>
      <c r="I123" s="24">
        <f t="shared" si="5"/>
        <v>0</v>
      </c>
    </row>
    <row r="124" spans="1:9" s="36" customFormat="1" ht="18" customHeight="1">
      <c r="A124" s="222" t="s">
        <v>796</v>
      </c>
      <c r="B124" s="45"/>
      <c r="C124" s="45" t="s">
        <v>1050</v>
      </c>
      <c r="D124" s="45" t="s">
        <v>663</v>
      </c>
      <c r="E124" s="45" t="s">
        <v>383</v>
      </c>
      <c r="F124" s="50" t="s">
        <v>797</v>
      </c>
      <c r="G124" s="65">
        <v>66.1</v>
      </c>
      <c r="H124" s="65"/>
      <c r="I124" s="24">
        <f t="shared" si="5"/>
        <v>0</v>
      </c>
    </row>
    <row r="125" spans="1:9" s="60" customFormat="1" ht="15" hidden="1">
      <c r="A125" s="257" t="s">
        <v>1053</v>
      </c>
      <c r="B125" s="45"/>
      <c r="C125" s="45" t="s">
        <v>1050</v>
      </c>
      <c r="D125" s="45" t="s">
        <v>663</v>
      </c>
      <c r="E125" s="45" t="s">
        <v>1047</v>
      </c>
      <c r="F125" s="50" t="s">
        <v>1054</v>
      </c>
      <c r="G125" s="49">
        <f>SUM(G126)</f>
        <v>0</v>
      </c>
      <c r="H125" s="49">
        <f>SUM(H126)</f>
        <v>167.7</v>
      </c>
      <c r="I125" s="24" t="e">
        <f t="shared" si="5"/>
        <v>#DIV/0!</v>
      </c>
    </row>
    <row r="126" spans="1:9" ht="28.5" hidden="1">
      <c r="A126" s="228" t="s">
        <v>882</v>
      </c>
      <c r="B126" s="45"/>
      <c r="C126" s="46" t="s">
        <v>1050</v>
      </c>
      <c r="D126" s="46" t="s">
        <v>663</v>
      </c>
      <c r="E126" s="46" t="s">
        <v>883</v>
      </c>
      <c r="F126" s="47" t="s">
        <v>1054</v>
      </c>
      <c r="G126" s="24">
        <f>SUM(G127)</f>
        <v>0</v>
      </c>
      <c r="H126" s="24">
        <f>SUM(H127)</f>
        <v>167.7</v>
      </c>
      <c r="I126" s="24" t="e">
        <f t="shared" si="5"/>
        <v>#DIV/0!</v>
      </c>
    </row>
    <row r="127" spans="1:9" s="36" customFormat="1" ht="28.5" hidden="1">
      <c r="A127" s="224" t="s">
        <v>653</v>
      </c>
      <c r="B127" s="45"/>
      <c r="C127" s="46" t="s">
        <v>1050</v>
      </c>
      <c r="D127" s="46" t="s">
        <v>663</v>
      </c>
      <c r="E127" s="46" t="s">
        <v>884</v>
      </c>
      <c r="F127" s="47" t="s">
        <v>1054</v>
      </c>
      <c r="G127" s="24"/>
      <c r="H127" s="24">
        <v>167.7</v>
      </c>
      <c r="I127" s="24" t="e">
        <f t="shared" si="5"/>
        <v>#DIV/0!</v>
      </c>
    </row>
    <row r="128" spans="1:9" s="36" customFormat="1" ht="28.5">
      <c r="A128" s="233" t="s">
        <v>741</v>
      </c>
      <c r="B128" s="45"/>
      <c r="C128" s="46" t="s">
        <v>1050</v>
      </c>
      <c r="D128" s="46" t="s">
        <v>663</v>
      </c>
      <c r="E128" s="46" t="s">
        <v>742</v>
      </c>
      <c r="F128" s="47"/>
      <c r="G128" s="24">
        <f>SUM(G129)</f>
        <v>40</v>
      </c>
      <c r="H128" s="24">
        <f>SUM(H129)</f>
        <v>110.4</v>
      </c>
      <c r="I128" s="24">
        <f t="shared" si="5"/>
        <v>276</v>
      </c>
    </row>
    <row r="129" spans="1:9" s="36" customFormat="1" ht="15">
      <c r="A129" s="222" t="s">
        <v>1010</v>
      </c>
      <c r="B129" s="45"/>
      <c r="C129" s="46" t="s">
        <v>1050</v>
      </c>
      <c r="D129" s="46" t="s">
        <v>663</v>
      </c>
      <c r="E129" s="46" t="s">
        <v>742</v>
      </c>
      <c r="F129" s="47" t="s">
        <v>1011</v>
      </c>
      <c r="G129" s="24">
        <v>40</v>
      </c>
      <c r="H129" s="24">
        <v>110.4</v>
      </c>
      <c r="I129" s="24">
        <f t="shared" si="5"/>
        <v>276</v>
      </c>
    </row>
    <row r="130" spans="1:9" ht="20.25" customHeight="1">
      <c r="A130" s="228" t="s">
        <v>887</v>
      </c>
      <c r="B130" s="34"/>
      <c r="C130" s="35" t="s">
        <v>1050</v>
      </c>
      <c r="D130" s="35" t="s">
        <v>665</v>
      </c>
      <c r="E130" s="35"/>
      <c r="F130" s="26"/>
      <c r="G130" s="24">
        <f>SUM(G137+G155)+G131+G152+G134</f>
        <v>80524.99999999999</v>
      </c>
      <c r="H130" s="24" t="e">
        <f>SUM(H137+H155)+H131+H152+H134</f>
        <v>#REF!</v>
      </c>
      <c r="I130" s="24" t="e">
        <f t="shared" si="5"/>
        <v>#REF!</v>
      </c>
    </row>
    <row r="131" spans="1:9" ht="19.5" customHeight="1" hidden="1">
      <c r="A131" s="222" t="s">
        <v>567</v>
      </c>
      <c r="B131" s="21"/>
      <c r="C131" s="35" t="s">
        <v>1050</v>
      </c>
      <c r="D131" s="35" t="s">
        <v>665</v>
      </c>
      <c r="E131" s="35" t="s">
        <v>569</v>
      </c>
      <c r="F131" s="26"/>
      <c r="G131" s="24">
        <f>SUM(G132)</f>
        <v>0</v>
      </c>
      <c r="H131" s="24">
        <f>SUM(H132)</f>
        <v>0</v>
      </c>
      <c r="I131" s="24" t="e">
        <f t="shared" si="5"/>
        <v>#DIV/0!</v>
      </c>
    </row>
    <row r="132" spans="1:9" ht="19.5" customHeight="1" hidden="1">
      <c r="A132" s="222" t="s">
        <v>545</v>
      </c>
      <c r="B132" s="21"/>
      <c r="C132" s="35" t="s">
        <v>1050</v>
      </c>
      <c r="D132" s="35" t="s">
        <v>665</v>
      </c>
      <c r="E132" s="35" t="s">
        <v>546</v>
      </c>
      <c r="F132" s="23"/>
      <c r="G132" s="24">
        <f>SUM(G133)</f>
        <v>0</v>
      </c>
      <c r="H132" s="24">
        <f>SUM(H133)</f>
        <v>0</v>
      </c>
      <c r="I132" s="24" t="e">
        <f t="shared" si="5"/>
        <v>#DIV/0!</v>
      </c>
    </row>
    <row r="133" spans="1:9" ht="19.5" customHeight="1" hidden="1">
      <c r="A133" s="222" t="s">
        <v>1010</v>
      </c>
      <c r="B133" s="21"/>
      <c r="C133" s="35" t="s">
        <v>1050</v>
      </c>
      <c r="D133" s="35" t="s">
        <v>665</v>
      </c>
      <c r="E133" s="35" t="s">
        <v>546</v>
      </c>
      <c r="F133" s="23" t="s">
        <v>1011</v>
      </c>
      <c r="G133" s="24"/>
      <c r="H133" s="24"/>
      <c r="I133" s="24" t="e">
        <f t="shared" si="5"/>
        <v>#DIV/0!</v>
      </c>
    </row>
    <row r="134" spans="1:9" ht="19.5" customHeight="1" hidden="1">
      <c r="A134" s="222" t="s">
        <v>359</v>
      </c>
      <c r="B134" s="21"/>
      <c r="C134" s="35" t="s">
        <v>1050</v>
      </c>
      <c r="D134" s="35" t="s">
        <v>665</v>
      </c>
      <c r="E134" s="35" t="s">
        <v>360</v>
      </c>
      <c r="F134" s="23"/>
      <c r="G134" s="24">
        <f>SUM(G135)</f>
        <v>0</v>
      </c>
      <c r="H134" s="24">
        <f>SUM(H135)</f>
        <v>9483.6</v>
      </c>
      <c r="I134" s="24" t="e">
        <f t="shared" si="5"/>
        <v>#DIV/0!</v>
      </c>
    </row>
    <row r="135" spans="1:9" ht="19.5" customHeight="1" hidden="1">
      <c r="A135" s="222" t="s">
        <v>361</v>
      </c>
      <c r="B135" s="21"/>
      <c r="C135" s="35" t="s">
        <v>1050</v>
      </c>
      <c r="D135" s="35" t="s">
        <v>665</v>
      </c>
      <c r="E135" s="35" t="s">
        <v>362</v>
      </c>
      <c r="F135" s="23"/>
      <c r="G135" s="24">
        <f>SUM(G136)</f>
        <v>0</v>
      </c>
      <c r="H135" s="24">
        <f>SUM(H136)</f>
        <v>9483.6</v>
      </c>
      <c r="I135" s="24" t="e">
        <f t="shared" si="5"/>
        <v>#DIV/0!</v>
      </c>
    </row>
    <row r="136" spans="1:9" ht="19.5" customHeight="1" hidden="1">
      <c r="A136" s="222" t="s">
        <v>796</v>
      </c>
      <c r="B136" s="21"/>
      <c r="C136" s="35" t="s">
        <v>1050</v>
      </c>
      <c r="D136" s="35" t="s">
        <v>665</v>
      </c>
      <c r="E136" s="35" t="s">
        <v>362</v>
      </c>
      <c r="F136" s="23" t="s">
        <v>797</v>
      </c>
      <c r="G136" s="24"/>
      <c r="H136" s="24">
        <v>9483.6</v>
      </c>
      <c r="I136" s="24" t="e">
        <f t="shared" si="5"/>
        <v>#DIV/0!</v>
      </c>
    </row>
    <row r="137" spans="1:9" ht="18" customHeight="1">
      <c r="A137" s="229" t="s">
        <v>363</v>
      </c>
      <c r="B137" s="34"/>
      <c r="C137" s="35" t="s">
        <v>1050</v>
      </c>
      <c r="D137" s="35" t="s">
        <v>665</v>
      </c>
      <c r="E137" s="35" t="s">
        <v>889</v>
      </c>
      <c r="F137" s="26"/>
      <c r="G137" s="24">
        <f>SUM(G138+G140+G142)+G146</f>
        <v>19058.2</v>
      </c>
      <c r="H137" s="24">
        <f>SUM(H138+H140+H142)</f>
        <v>15047</v>
      </c>
      <c r="I137" s="24">
        <f t="shared" si="5"/>
        <v>78.95289166867805</v>
      </c>
    </row>
    <row r="138" spans="1:9" ht="42.75" hidden="1">
      <c r="A138" s="257" t="s">
        <v>364</v>
      </c>
      <c r="B138" s="34"/>
      <c r="C138" s="35" t="s">
        <v>1050</v>
      </c>
      <c r="D138" s="35" t="s">
        <v>665</v>
      </c>
      <c r="E138" s="35" t="s">
        <v>365</v>
      </c>
      <c r="F138" s="26"/>
      <c r="G138" s="24">
        <f>SUM(G139)</f>
        <v>0</v>
      </c>
      <c r="H138" s="24">
        <f>SUM(H139)</f>
        <v>0</v>
      </c>
      <c r="I138" s="24" t="e">
        <f t="shared" si="5"/>
        <v>#DIV/0!</v>
      </c>
    </row>
    <row r="139" spans="1:9" s="70" customFormat="1" ht="15" hidden="1">
      <c r="A139" s="222" t="s">
        <v>796</v>
      </c>
      <c r="B139" s="21"/>
      <c r="C139" s="22" t="s">
        <v>1050</v>
      </c>
      <c r="D139" s="35" t="s">
        <v>665</v>
      </c>
      <c r="E139" s="35" t="s">
        <v>365</v>
      </c>
      <c r="F139" s="23" t="s">
        <v>797</v>
      </c>
      <c r="G139" s="24"/>
      <c r="H139" s="24"/>
      <c r="I139" s="24" t="e">
        <f t="shared" si="5"/>
        <v>#DIV/0!</v>
      </c>
    </row>
    <row r="140" spans="1:9" ht="42.75" hidden="1">
      <c r="A140" s="257" t="s">
        <v>858</v>
      </c>
      <c r="B140" s="21"/>
      <c r="C140" s="35" t="s">
        <v>1050</v>
      </c>
      <c r="D140" s="35" t="s">
        <v>665</v>
      </c>
      <c r="E140" s="35" t="s">
        <v>859</v>
      </c>
      <c r="F140" s="23"/>
      <c r="G140" s="24">
        <f>SUM(G141)</f>
        <v>0</v>
      </c>
      <c r="H140" s="24">
        <f>SUM(H141)</f>
        <v>0</v>
      </c>
      <c r="I140" s="24" t="e">
        <f t="shared" si="5"/>
        <v>#DIV/0!</v>
      </c>
    </row>
    <row r="141" spans="1:9" s="70" customFormat="1" ht="19.5" customHeight="1" hidden="1">
      <c r="A141" s="222" t="s">
        <v>796</v>
      </c>
      <c r="B141" s="21"/>
      <c r="C141" s="35" t="s">
        <v>1050</v>
      </c>
      <c r="D141" s="35" t="s">
        <v>665</v>
      </c>
      <c r="E141" s="35" t="s">
        <v>859</v>
      </c>
      <c r="F141" s="23" t="s">
        <v>797</v>
      </c>
      <c r="G141" s="24"/>
      <c r="H141" s="24"/>
      <c r="I141" s="24" t="e">
        <f t="shared" si="5"/>
        <v>#DIV/0!</v>
      </c>
    </row>
    <row r="142" spans="1:9" ht="20.25" customHeight="1">
      <c r="A142" s="224" t="s">
        <v>860</v>
      </c>
      <c r="B142" s="34"/>
      <c r="C142" s="35" t="s">
        <v>1050</v>
      </c>
      <c r="D142" s="35" t="s">
        <v>665</v>
      </c>
      <c r="E142" s="35" t="s">
        <v>861</v>
      </c>
      <c r="F142" s="26"/>
      <c r="G142" s="24">
        <f>SUM(G143:G144)+G145</f>
        <v>4023.9</v>
      </c>
      <c r="H142" s="24">
        <f>SUM(H143:H144)</f>
        <v>15047</v>
      </c>
      <c r="I142" s="24">
        <f t="shared" si="5"/>
        <v>373.94070429185615</v>
      </c>
    </row>
    <row r="143" spans="1:9" ht="19.5" customHeight="1" hidden="1">
      <c r="A143" s="222" t="s">
        <v>796</v>
      </c>
      <c r="B143" s="34"/>
      <c r="C143" s="35" t="s">
        <v>1050</v>
      </c>
      <c r="D143" s="35" t="s">
        <v>665</v>
      </c>
      <c r="E143" s="35" t="s">
        <v>861</v>
      </c>
      <c r="F143" s="23" t="s">
        <v>797</v>
      </c>
      <c r="G143" s="49"/>
      <c r="H143" s="49">
        <f>878+4272.1+2990.6</f>
        <v>8140.700000000001</v>
      </c>
      <c r="I143" s="24" t="e">
        <f t="shared" si="5"/>
        <v>#DIV/0!</v>
      </c>
    </row>
    <row r="144" spans="1:9" ht="19.5" customHeight="1" hidden="1">
      <c r="A144" s="222" t="s">
        <v>796</v>
      </c>
      <c r="B144" s="34"/>
      <c r="C144" s="35" t="s">
        <v>1050</v>
      </c>
      <c r="D144" s="35" t="s">
        <v>665</v>
      </c>
      <c r="E144" s="35" t="s">
        <v>861</v>
      </c>
      <c r="F144" s="23" t="s">
        <v>797</v>
      </c>
      <c r="G144" s="49"/>
      <c r="H144" s="49">
        <v>6906.3</v>
      </c>
      <c r="I144" s="24" t="e">
        <f t="shared" si="5"/>
        <v>#DIV/0!</v>
      </c>
    </row>
    <row r="145" spans="1:9" ht="27" customHeight="1">
      <c r="A145" s="222" t="s">
        <v>1010</v>
      </c>
      <c r="B145" s="34"/>
      <c r="C145" s="35" t="s">
        <v>1050</v>
      </c>
      <c r="D145" s="35" t="s">
        <v>665</v>
      </c>
      <c r="E145" s="35" t="s">
        <v>861</v>
      </c>
      <c r="F145" s="23" t="s">
        <v>1011</v>
      </c>
      <c r="G145" s="49">
        <v>4023.9</v>
      </c>
      <c r="H145" s="49"/>
      <c r="I145" s="24"/>
    </row>
    <row r="146" spans="1:9" ht="27" customHeight="1">
      <c r="A146" s="222" t="s">
        <v>811</v>
      </c>
      <c r="B146" s="34"/>
      <c r="C146" s="35" t="s">
        <v>1050</v>
      </c>
      <c r="D146" s="35" t="s">
        <v>665</v>
      </c>
      <c r="E146" s="35" t="s">
        <v>1086</v>
      </c>
      <c r="F146" s="23"/>
      <c r="G146" s="49">
        <f>SUM(G147)+G149</f>
        <v>15034.3</v>
      </c>
      <c r="H146" s="49"/>
      <c r="I146" s="24"/>
    </row>
    <row r="147" spans="1:9" ht="32.25" customHeight="1">
      <c r="A147" s="222" t="s">
        <v>1232</v>
      </c>
      <c r="B147" s="34"/>
      <c r="C147" s="35" t="s">
        <v>1050</v>
      </c>
      <c r="D147" s="35" t="s">
        <v>665</v>
      </c>
      <c r="E147" s="35" t="s">
        <v>1087</v>
      </c>
      <c r="F147" s="23"/>
      <c r="G147" s="49">
        <f>SUM(G148)</f>
        <v>14946</v>
      </c>
      <c r="H147" s="49"/>
      <c r="I147" s="24"/>
    </row>
    <row r="148" spans="1:9" ht="35.25" customHeight="1">
      <c r="A148" s="222" t="s">
        <v>1105</v>
      </c>
      <c r="B148" s="34"/>
      <c r="C148" s="35" t="s">
        <v>1050</v>
      </c>
      <c r="D148" s="35" t="s">
        <v>665</v>
      </c>
      <c r="E148" s="35" t="s">
        <v>1087</v>
      </c>
      <c r="F148" s="23" t="s">
        <v>897</v>
      </c>
      <c r="G148" s="49">
        <v>14946</v>
      </c>
      <c r="H148" s="49"/>
      <c r="I148" s="24"/>
    </row>
    <row r="149" spans="1:9" ht="35.25" customHeight="1">
      <c r="A149" s="222" t="s">
        <v>1126</v>
      </c>
      <c r="B149" s="21"/>
      <c r="C149" s="35" t="s">
        <v>1050</v>
      </c>
      <c r="D149" s="35" t="s">
        <v>665</v>
      </c>
      <c r="E149" s="22" t="s">
        <v>1118</v>
      </c>
      <c r="F149" s="23"/>
      <c r="G149" s="24">
        <f>SUM(G150)</f>
        <v>88.3</v>
      </c>
      <c r="H149" s="49"/>
      <c r="I149" s="24"/>
    </row>
    <row r="150" spans="1:9" ht="35.25" customHeight="1">
      <c r="A150" s="222" t="s">
        <v>578</v>
      </c>
      <c r="B150" s="21"/>
      <c r="C150" s="35" t="s">
        <v>1050</v>
      </c>
      <c r="D150" s="35" t="s">
        <v>665</v>
      </c>
      <c r="E150" s="22" t="s">
        <v>701</v>
      </c>
      <c r="F150" s="23"/>
      <c r="G150" s="24">
        <f>SUM(G151)</f>
        <v>88.3</v>
      </c>
      <c r="H150" s="49"/>
      <c r="I150" s="24"/>
    </row>
    <row r="151" spans="1:9" ht="33" customHeight="1">
      <c r="A151" s="222" t="s">
        <v>1126</v>
      </c>
      <c r="B151" s="21"/>
      <c r="C151" s="35" t="s">
        <v>1050</v>
      </c>
      <c r="D151" s="35" t="s">
        <v>665</v>
      </c>
      <c r="E151" s="22" t="s">
        <v>701</v>
      </c>
      <c r="F151" s="23" t="s">
        <v>978</v>
      </c>
      <c r="G151" s="24">
        <v>88.3</v>
      </c>
      <c r="H151" s="49"/>
      <c r="I151" s="24"/>
    </row>
    <row r="152" spans="1:9" ht="19.5" customHeight="1">
      <c r="A152" s="224" t="s">
        <v>785</v>
      </c>
      <c r="B152" s="45"/>
      <c r="C152" s="35" t="s">
        <v>1050</v>
      </c>
      <c r="D152" s="35" t="s">
        <v>665</v>
      </c>
      <c r="E152" s="46" t="s">
        <v>786</v>
      </c>
      <c r="F152" s="26"/>
      <c r="G152" s="49">
        <f>SUM(G153)</f>
        <v>12786.4</v>
      </c>
      <c r="H152" s="49" t="e">
        <f>SUM(H153)</f>
        <v>#REF!</v>
      </c>
      <c r="I152" s="24" t="e">
        <f t="shared" si="5"/>
        <v>#REF!</v>
      </c>
    </row>
    <row r="153" spans="1:9" ht="46.5" customHeight="1">
      <c r="A153" s="222" t="s">
        <v>743</v>
      </c>
      <c r="B153" s="45"/>
      <c r="C153" s="35" t="s">
        <v>1050</v>
      </c>
      <c r="D153" s="35" t="s">
        <v>665</v>
      </c>
      <c r="E153" s="46" t="s">
        <v>717</v>
      </c>
      <c r="F153" s="26"/>
      <c r="G153" s="49">
        <f>SUM(G154)</f>
        <v>12786.4</v>
      </c>
      <c r="H153" s="49" t="e">
        <f>SUM(#REF!)</f>
        <v>#REF!</v>
      </c>
      <c r="I153" s="24" t="e">
        <f t="shared" si="5"/>
        <v>#REF!</v>
      </c>
    </row>
    <row r="154" spans="1:9" ht="19.5" customHeight="1">
      <c r="A154" s="222" t="s">
        <v>1010</v>
      </c>
      <c r="B154" s="34"/>
      <c r="C154" s="35" t="s">
        <v>1050</v>
      </c>
      <c r="D154" s="35" t="s">
        <v>665</v>
      </c>
      <c r="E154" s="46" t="s">
        <v>717</v>
      </c>
      <c r="F154" s="23" t="s">
        <v>1011</v>
      </c>
      <c r="G154" s="49">
        <v>12786.4</v>
      </c>
      <c r="H154" s="49"/>
      <c r="I154" s="24">
        <f t="shared" si="5"/>
        <v>0</v>
      </c>
    </row>
    <row r="155" spans="1:9" ht="21.75" customHeight="1">
      <c r="A155" s="257" t="s">
        <v>1046</v>
      </c>
      <c r="B155" s="66"/>
      <c r="C155" s="46" t="s">
        <v>1050</v>
      </c>
      <c r="D155" s="46" t="s">
        <v>665</v>
      </c>
      <c r="E155" s="46" t="s">
        <v>1047</v>
      </c>
      <c r="F155" s="47"/>
      <c r="G155" s="49">
        <f>SUM(G160)</f>
        <v>48680.399999999994</v>
      </c>
      <c r="H155" s="49">
        <f>SUM(H156)</f>
        <v>0</v>
      </c>
      <c r="I155" s="24">
        <f t="shared" si="5"/>
        <v>0</v>
      </c>
    </row>
    <row r="156" spans="1:9" s="73" customFormat="1" ht="42.75" hidden="1">
      <c r="A156" s="234" t="s">
        <v>382</v>
      </c>
      <c r="B156" s="66"/>
      <c r="C156" s="46" t="s">
        <v>1050</v>
      </c>
      <c r="D156" s="46" t="s">
        <v>665</v>
      </c>
      <c r="E156" s="46" t="s">
        <v>383</v>
      </c>
      <c r="F156" s="23"/>
      <c r="G156" s="49">
        <f>SUM(G157)+G158+G163+G159</f>
        <v>0</v>
      </c>
      <c r="H156" s="49">
        <f>SUM(H157)+H158+H163</f>
        <v>0</v>
      </c>
      <c r="I156" s="24" t="e">
        <f t="shared" si="5"/>
        <v>#DIV/0!</v>
      </c>
    </row>
    <row r="157" spans="1:9" ht="28.5" hidden="1">
      <c r="A157" s="222" t="s">
        <v>864</v>
      </c>
      <c r="B157" s="66"/>
      <c r="C157" s="46" t="s">
        <v>1050</v>
      </c>
      <c r="D157" s="46" t="s">
        <v>665</v>
      </c>
      <c r="E157" s="46" t="s">
        <v>865</v>
      </c>
      <c r="F157" s="23" t="s">
        <v>1011</v>
      </c>
      <c r="G157" s="49">
        <f>600-600</f>
        <v>0</v>
      </c>
      <c r="H157" s="49">
        <f>600-600</f>
        <v>0</v>
      </c>
      <c r="I157" s="24" t="e">
        <f t="shared" si="5"/>
        <v>#DIV/0!</v>
      </c>
    </row>
    <row r="158" spans="1:9" ht="28.5" hidden="1">
      <c r="A158" s="257" t="s">
        <v>866</v>
      </c>
      <c r="B158" s="66"/>
      <c r="C158" s="46" t="s">
        <v>1050</v>
      </c>
      <c r="D158" s="46" t="s">
        <v>665</v>
      </c>
      <c r="E158" s="46" t="s">
        <v>867</v>
      </c>
      <c r="F158" s="23" t="s">
        <v>1011</v>
      </c>
      <c r="G158" s="49">
        <f>900-900</f>
        <v>0</v>
      </c>
      <c r="H158" s="49">
        <f>900-900</f>
        <v>0</v>
      </c>
      <c r="I158" s="24" t="e">
        <f t="shared" si="5"/>
        <v>#DIV/0!</v>
      </c>
    </row>
    <row r="159" spans="1:9" ht="15" hidden="1">
      <c r="A159" s="222" t="s">
        <v>1010</v>
      </c>
      <c r="B159" s="66"/>
      <c r="C159" s="46" t="s">
        <v>1050</v>
      </c>
      <c r="D159" s="46" t="s">
        <v>665</v>
      </c>
      <c r="E159" s="46" t="s">
        <v>383</v>
      </c>
      <c r="F159" s="23" t="s">
        <v>1011</v>
      </c>
      <c r="G159" s="49">
        <f>5825.2-5825.2</f>
        <v>0</v>
      </c>
      <c r="H159" s="49"/>
      <c r="I159" s="24" t="e">
        <f t="shared" si="5"/>
        <v>#DIV/0!</v>
      </c>
    </row>
    <row r="160" spans="1:9" ht="42.75">
      <c r="A160" s="222" t="s">
        <v>702</v>
      </c>
      <c r="B160" s="66"/>
      <c r="C160" s="46" t="s">
        <v>1050</v>
      </c>
      <c r="D160" s="46" t="s">
        <v>665</v>
      </c>
      <c r="E160" s="46" t="s">
        <v>670</v>
      </c>
      <c r="F160" s="23"/>
      <c r="G160" s="49">
        <f>SUM(G161+G162)</f>
        <v>48680.399999999994</v>
      </c>
      <c r="H160" s="49"/>
      <c r="I160" s="24"/>
    </row>
    <row r="161" spans="1:9" ht="17.25" customHeight="1">
      <c r="A161" s="222" t="s">
        <v>796</v>
      </c>
      <c r="B161" s="66"/>
      <c r="C161" s="46" t="s">
        <v>1050</v>
      </c>
      <c r="D161" s="46" t="s">
        <v>665</v>
      </c>
      <c r="E161" s="46" t="s">
        <v>670</v>
      </c>
      <c r="F161" s="23" t="s">
        <v>797</v>
      </c>
      <c r="G161" s="49">
        <v>27559.8</v>
      </c>
      <c r="H161" s="49"/>
      <c r="I161" s="24"/>
    </row>
    <row r="162" spans="1:9" ht="17.25" customHeight="1">
      <c r="A162" s="222" t="s">
        <v>1010</v>
      </c>
      <c r="B162" s="66"/>
      <c r="C162" s="46" t="s">
        <v>1050</v>
      </c>
      <c r="D162" s="46" t="s">
        <v>665</v>
      </c>
      <c r="E162" s="46" t="s">
        <v>670</v>
      </c>
      <c r="F162" s="23" t="s">
        <v>1011</v>
      </c>
      <c r="G162" s="49">
        <v>21120.6</v>
      </c>
      <c r="H162" s="49"/>
      <c r="I162" s="24"/>
    </row>
    <row r="163" spans="1:9" ht="28.5" hidden="1">
      <c r="A163" s="233" t="s">
        <v>870</v>
      </c>
      <c r="B163" s="66"/>
      <c r="C163" s="46" t="s">
        <v>1050</v>
      </c>
      <c r="D163" s="46" t="s">
        <v>665</v>
      </c>
      <c r="E163" s="46" t="s">
        <v>871</v>
      </c>
      <c r="F163" s="23"/>
      <c r="G163" s="49">
        <f>SUM(G164)</f>
        <v>0</v>
      </c>
      <c r="H163" s="49">
        <f>SUM(H164)</f>
        <v>0</v>
      </c>
      <c r="I163" s="24" t="e">
        <f t="shared" si="5"/>
        <v>#DIV/0!</v>
      </c>
    </row>
    <row r="164" spans="1:9" ht="15" hidden="1">
      <c r="A164" s="257" t="s">
        <v>862</v>
      </c>
      <c r="B164" s="66"/>
      <c r="C164" s="46" t="s">
        <v>1050</v>
      </c>
      <c r="D164" s="46" t="s">
        <v>665</v>
      </c>
      <c r="E164" s="46" t="s">
        <v>872</v>
      </c>
      <c r="F164" s="23"/>
      <c r="G164" s="49">
        <f>SUM(G165)</f>
        <v>0</v>
      </c>
      <c r="H164" s="49">
        <f>SUM(H165)</f>
        <v>0</v>
      </c>
      <c r="I164" s="24" t="e">
        <f t="shared" si="5"/>
        <v>#DIV/0!</v>
      </c>
    </row>
    <row r="165" spans="1:9" ht="19.5" customHeight="1" hidden="1">
      <c r="A165" s="222" t="s">
        <v>1010</v>
      </c>
      <c r="B165" s="66"/>
      <c r="C165" s="46" t="s">
        <v>1050</v>
      </c>
      <c r="D165" s="46" t="s">
        <v>665</v>
      </c>
      <c r="E165" s="46" t="s">
        <v>872</v>
      </c>
      <c r="F165" s="23" t="s">
        <v>1011</v>
      </c>
      <c r="G165" s="49">
        <f>4200.9-4200.9</f>
        <v>0</v>
      </c>
      <c r="H165" s="49">
        <f>4200.9-4200.9</f>
        <v>0</v>
      </c>
      <c r="I165" s="24" t="e">
        <f t="shared" si="5"/>
        <v>#DIV/0!</v>
      </c>
    </row>
    <row r="166" spans="1:9" s="145" customFormat="1" ht="16.5" customHeight="1">
      <c r="A166" s="228" t="s">
        <v>873</v>
      </c>
      <c r="B166" s="34"/>
      <c r="C166" s="35" t="s">
        <v>1050</v>
      </c>
      <c r="D166" s="35" t="s">
        <v>1013</v>
      </c>
      <c r="E166" s="35"/>
      <c r="F166" s="26"/>
      <c r="G166" s="24">
        <f>SUM(G169+G186)+G167+G185</f>
        <v>69552.6</v>
      </c>
      <c r="H166" s="24">
        <f>SUM(H169+H186)+H167</f>
        <v>71482.59999999999</v>
      </c>
      <c r="I166" s="24">
        <f t="shared" si="5"/>
        <v>102.77487829355047</v>
      </c>
    </row>
    <row r="167" spans="1:9" s="83" customFormat="1" ht="19.5" customHeight="1" hidden="1">
      <c r="A167" s="228" t="s">
        <v>950</v>
      </c>
      <c r="B167" s="34"/>
      <c r="C167" s="35" t="s">
        <v>1050</v>
      </c>
      <c r="D167" s="35" t="s">
        <v>1013</v>
      </c>
      <c r="E167" s="35" t="s">
        <v>951</v>
      </c>
      <c r="F167" s="26"/>
      <c r="G167" s="24">
        <f>SUM(G168)</f>
        <v>0</v>
      </c>
      <c r="H167" s="24">
        <f>SUM(H168)</f>
        <v>0</v>
      </c>
      <c r="I167" s="24" t="e">
        <f t="shared" si="5"/>
        <v>#DIV/0!</v>
      </c>
    </row>
    <row r="168" spans="1:9" s="83" customFormat="1" ht="19.5" customHeight="1" hidden="1">
      <c r="A168" s="228" t="s">
        <v>952</v>
      </c>
      <c r="B168" s="34"/>
      <c r="C168" s="35" t="s">
        <v>1050</v>
      </c>
      <c r="D168" s="35" t="s">
        <v>1013</v>
      </c>
      <c r="E168" s="35" t="s">
        <v>951</v>
      </c>
      <c r="F168" s="26" t="s">
        <v>953</v>
      </c>
      <c r="G168" s="24"/>
      <c r="H168" s="24"/>
      <c r="I168" s="24" t="e">
        <f t="shared" si="5"/>
        <v>#DIV/0!</v>
      </c>
    </row>
    <row r="169" spans="1:9" s="83" customFormat="1" ht="18.75" customHeight="1">
      <c r="A169" s="228" t="s">
        <v>873</v>
      </c>
      <c r="B169" s="45"/>
      <c r="C169" s="35" t="s">
        <v>1050</v>
      </c>
      <c r="D169" s="35" t="s">
        <v>1013</v>
      </c>
      <c r="E169" s="46" t="s">
        <v>954</v>
      </c>
      <c r="F169" s="47"/>
      <c r="G169" s="24">
        <f>SUM(G170+G175+G180+G183)+G178</f>
        <v>68612.3</v>
      </c>
      <c r="H169" s="24">
        <f>SUM(H170+H175+H180+H183)+H178</f>
        <v>71087.2</v>
      </c>
      <c r="I169" s="24">
        <f t="shared" si="5"/>
        <v>103.60707919717018</v>
      </c>
    </row>
    <row r="170" spans="1:9" s="83" customFormat="1" ht="15.75" customHeight="1">
      <c r="A170" s="257" t="s">
        <v>955</v>
      </c>
      <c r="B170" s="66"/>
      <c r="C170" s="35" t="s">
        <v>1050</v>
      </c>
      <c r="D170" s="35" t="s">
        <v>1013</v>
      </c>
      <c r="E170" s="46" t="s">
        <v>956</v>
      </c>
      <c r="F170" s="47"/>
      <c r="G170" s="24">
        <f>SUM(G171:G173)</f>
        <v>38922.8</v>
      </c>
      <c r="H170" s="24">
        <f>SUM(H172:H173)</f>
        <v>20816.7</v>
      </c>
      <c r="I170" s="24">
        <f t="shared" si="5"/>
        <v>53.48202082070149</v>
      </c>
    </row>
    <row r="171" spans="1:9" s="83" customFormat="1" ht="19.5" customHeight="1" hidden="1">
      <c r="A171" s="222" t="s">
        <v>796</v>
      </c>
      <c r="B171" s="66"/>
      <c r="C171" s="35" t="s">
        <v>1050</v>
      </c>
      <c r="D171" s="35" t="s">
        <v>1013</v>
      </c>
      <c r="E171" s="46" t="s">
        <v>956</v>
      </c>
      <c r="F171" s="47" t="s">
        <v>797</v>
      </c>
      <c r="G171" s="24"/>
      <c r="H171" s="24"/>
      <c r="I171" s="24"/>
    </row>
    <row r="172" spans="1:9" s="83" customFormat="1" ht="15">
      <c r="A172" s="222" t="s">
        <v>1010</v>
      </c>
      <c r="B172" s="66"/>
      <c r="C172" s="35" t="s">
        <v>1050</v>
      </c>
      <c r="D172" s="35" t="s">
        <v>1013</v>
      </c>
      <c r="E172" s="46" t="s">
        <v>956</v>
      </c>
      <c r="F172" s="47" t="s">
        <v>1011</v>
      </c>
      <c r="G172" s="24">
        <v>38922.8</v>
      </c>
      <c r="H172" s="24">
        <v>20816.7</v>
      </c>
      <c r="I172" s="24">
        <f>SUM(H172/G172*100)</f>
        <v>53.48202082070149</v>
      </c>
    </row>
    <row r="173" spans="1:9" s="83" customFormat="1" ht="19.5" customHeight="1" hidden="1">
      <c r="A173" s="222" t="s">
        <v>272</v>
      </c>
      <c r="B173" s="66"/>
      <c r="C173" s="35" t="s">
        <v>1050</v>
      </c>
      <c r="D173" s="35" t="s">
        <v>1013</v>
      </c>
      <c r="E173" s="46" t="s">
        <v>957</v>
      </c>
      <c r="F173" s="47"/>
      <c r="G173" s="24">
        <f>SUM(G174)</f>
        <v>0</v>
      </c>
      <c r="H173" s="24">
        <f>SUM(H174)</f>
        <v>0</v>
      </c>
      <c r="I173" s="24" t="e">
        <f>SUM(H173/G173*100)</f>
        <v>#DIV/0!</v>
      </c>
    </row>
    <row r="174" spans="1:9" s="83" customFormat="1" ht="15" hidden="1">
      <c r="A174" s="222" t="s">
        <v>1010</v>
      </c>
      <c r="B174" s="66"/>
      <c r="C174" s="35" t="s">
        <v>1050</v>
      </c>
      <c r="D174" s="35" t="s">
        <v>1013</v>
      </c>
      <c r="E174" s="46" t="s">
        <v>957</v>
      </c>
      <c r="F174" s="47" t="s">
        <v>1011</v>
      </c>
      <c r="G174" s="24"/>
      <c r="H174" s="24"/>
      <c r="I174" s="24" t="e">
        <f>SUM(H174/G174*100)</f>
        <v>#DIV/0!</v>
      </c>
    </row>
    <row r="175" spans="1:9" s="83" customFormat="1" ht="19.5" customHeight="1" hidden="1">
      <c r="A175" s="257" t="s">
        <v>847</v>
      </c>
      <c r="B175" s="66"/>
      <c r="C175" s="35" t="s">
        <v>1050</v>
      </c>
      <c r="D175" s="35" t="s">
        <v>1013</v>
      </c>
      <c r="E175" s="46" t="s">
        <v>848</v>
      </c>
      <c r="F175" s="47"/>
      <c r="G175" s="24">
        <f>SUM(G177+G176)</f>
        <v>0</v>
      </c>
      <c r="H175" s="24">
        <f>SUM(H177)</f>
        <v>43097.5</v>
      </c>
      <c r="I175" s="24" t="e">
        <f>SUM(H175/G175*100)</f>
        <v>#DIV/0!</v>
      </c>
    </row>
    <row r="176" spans="1:9" s="36" customFormat="1" ht="15" hidden="1">
      <c r="A176" s="222" t="s">
        <v>1053</v>
      </c>
      <c r="B176" s="66"/>
      <c r="C176" s="35" t="s">
        <v>1050</v>
      </c>
      <c r="D176" s="35" t="s">
        <v>1013</v>
      </c>
      <c r="E176" s="46" t="s">
        <v>848</v>
      </c>
      <c r="F176" s="47" t="s">
        <v>1054</v>
      </c>
      <c r="G176" s="24"/>
      <c r="H176" s="24"/>
      <c r="I176" s="24"/>
    </row>
    <row r="177" spans="1:9" s="83" customFormat="1" ht="15" hidden="1">
      <c r="A177" s="222" t="s">
        <v>1010</v>
      </c>
      <c r="B177" s="66"/>
      <c r="C177" s="35" t="s">
        <v>1050</v>
      </c>
      <c r="D177" s="35" t="s">
        <v>1013</v>
      </c>
      <c r="E177" s="46" t="s">
        <v>848</v>
      </c>
      <c r="F177" s="47" t="s">
        <v>1011</v>
      </c>
      <c r="G177" s="24"/>
      <c r="H177" s="24">
        <v>43097.5</v>
      </c>
      <c r="I177" s="24" t="e">
        <f>SUM(H177/G177*100)</f>
        <v>#DIV/0!</v>
      </c>
    </row>
    <row r="178" spans="1:9" ht="57" hidden="1">
      <c r="A178" s="222" t="s">
        <v>849</v>
      </c>
      <c r="B178" s="66"/>
      <c r="C178" s="35" t="s">
        <v>1050</v>
      </c>
      <c r="D178" s="35" t="s">
        <v>1013</v>
      </c>
      <c r="E178" s="46" t="s">
        <v>850</v>
      </c>
      <c r="F178" s="47"/>
      <c r="G178" s="24">
        <f>SUM(G179)</f>
        <v>0</v>
      </c>
      <c r="H178" s="24">
        <f>SUM(H179)</f>
        <v>482.9</v>
      </c>
      <c r="I178" s="24" t="e">
        <f>SUM(H178/G178*100)</f>
        <v>#DIV/0!</v>
      </c>
    </row>
    <row r="179" spans="1:9" ht="15" hidden="1">
      <c r="A179" s="222" t="s">
        <v>1010</v>
      </c>
      <c r="B179" s="66"/>
      <c r="C179" s="35" t="s">
        <v>1050</v>
      </c>
      <c r="D179" s="35" t="s">
        <v>1013</v>
      </c>
      <c r="E179" s="46" t="s">
        <v>850</v>
      </c>
      <c r="F179" s="47" t="s">
        <v>1011</v>
      </c>
      <c r="G179" s="24"/>
      <c r="H179" s="24">
        <v>482.9</v>
      </c>
      <c r="I179" s="24" t="e">
        <f>SUM(H179/G179*100)</f>
        <v>#DIV/0!</v>
      </c>
    </row>
    <row r="180" spans="1:9" ht="16.5" customHeight="1">
      <c r="A180" s="257" t="s">
        <v>851</v>
      </c>
      <c r="B180" s="66"/>
      <c r="C180" s="35" t="s">
        <v>1050</v>
      </c>
      <c r="D180" s="35" t="s">
        <v>1013</v>
      </c>
      <c r="E180" s="46" t="s">
        <v>852</v>
      </c>
      <c r="F180" s="50"/>
      <c r="G180" s="24">
        <f>SUM(G182+G181)</f>
        <v>2970</v>
      </c>
      <c r="H180" s="24">
        <f>SUM(H182)</f>
        <v>489.8</v>
      </c>
      <c r="I180" s="24">
        <f>SUM(H180/G180*100)</f>
        <v>16.491582491582495</v>
      </c>
    </row>
    <row r="181" spans="1:9" ht="19.5" customHeight="1" hidden="1">
      <c r="A181" s="222" t="s">
        <v>796</v>
      </c>
      <c r="B181" s="66"/>
      <c r="C181" s="35" t="s">
        <v>1050</v>
      </c>
      <c r="D181" s="35" t="s">
        <v>1013</v>
      </c>
      <c r="E181" s="46" t="s">
        <v>852</v>
      </c>
      <c r="F181" s="50" t="s">
        <v>797</v>
      </c>
      <c r="G181" s="24"/>
      <c r="H181" s="24"/>
      <c r="I181" s="24"/>
    </row>
    <row r="182" spans="1:9" s="145" customFormat="1" ht="20.25" customHeight="1">
      <c r="A182" s="222" t="s">
        <v>1010</v>
      </c>
      <c r="B182" s="66"/>
      <c r="C182" s="35" t="s">
        <v>1050</v>
      </c>
      <c r="D182" s="35" t="s">
        <v>1013</v>
      </c>
      <c r="E182" s="46" t="s">
        <v>852</v>
      </c>
      <c r="F182" s="47" t="s">
        <v>1011</v>
      </c>
      <c r="G182" s="24">
        <v>2970</v>
      </c>
      <c r="H182" s="24">
        <v>489.8</v>
      </c>
      <c r="I182" s="24">
        <f>SUM(H182/G182*100)</f>
        <v>16.491582491582495</v>
      </c>
    </row>
    <row r="183" spans="1:9" s="145" customFormat="1" ht="15">
      <c r="A183" s="257" t="s">
        <v>853</v>
      </c>
      <c r="B183" s="66"/>
      <c r="C183" s="35" t="s">
        <v>1050</v>
      </c>
      <c r="D183" s="35" t="s">
        <v>1013</v>
      </c>
      <c r="E183" s="46" t="s">
        <v>854</v>
      </c>
      <c r="F183" s="47"/>
      <c r="G183" s="24">
        <f>SUM(G184)</f>
        <v>26719.5</v>
      </c>
      <c r="H183" s="24">
        <f>SUM(H185)</f>
        <v>6200.3</v>
      </c>
      <c r="I183" s="24">
        <f>SUM(H183/G183*100)</f>
        <v>23.205149796964765</v>
      </c>
    </row>
    <row r="184" spans="1:9" s="145" customFormat="1" ht="15">
      <c r="A184" s="222" t="s">
        <v>1010</v>
      </c>
      <c r="B184" s="66"/>
      <c r="C184" s="35" t="s">
        <v>1050</v>
      </c>
      <c r="D184" s="35" t="s">
        <v>1013</v>
      </c>
      <c r="E184" s="46" t="s">
        <v>854</v>
      </c>
      <c r="F184" s="47" t="s">
        <v>1011</v>
      </c>
      <c r="G184" s="24">
        <v>26719.5</v>
      </c>
      <c r="H184" s="24"/>
      <c r="I184" s="24"/>
    </row>
    <row r="185" spans="1:9" s="145" customFormat="1" ht="15">
      <c r="A185" s="257" t="s">
        <v>1046</v>
      </c>
      <c r="B185" s="66"/>
      <c r="C185" s="35" t="s">
        <v>1050</v>
      </c>
      <c r="D185" s="35" t="s">
        <v>1013</v>
      </c>
      <c r="E185" s="46" t="s">
        <v>1047</v>
      </c>
      <c r="F185" s="47"/>
      <c r="G185" s="24">
        <f>SUM(G193)</f>
        <v>940.3</v>
      </c>
      <c r="H185" s="24">
        <v>6200.3</v>
      </c>
      <c r="I185" s="24">
        <f aca="true" t="shared" si="6" ref="I185:I190">SUM(H185/G185*100)</f>
        <v>659.395937466766</v>
      </c>
    </row>
    <row r="186" spans="1:9" s="145" customFormat="1" ht="15" hidden="1">
      <c r="A186" s="257" t="s">
        <v>1046</v>
      </c>
      <c r="B186" s="66"/>
      <c r="C186" s="35" t="s">
        <v>1050</v>
      </c>
      <c r="D186" s="35" t="s">
        <v>1013</v>
      </c>
      <c r="E186" s="46" t="s">
        <v>1047</v>
      </c>
      <c r="F186" s="47"/>
      <c r="G186" s="24">
        <f>SUM(G187,G191)</f>
        <v>0</v>
      </c>
      <c r="H186" s="24">
        <f>SUM(H187)</f>
        <v>395.4</v>
      </c>
      <c r="I186" s="24" t="e">
        <f t="shared" si="6"/>
        <v>#DIV/0!</v>
      </c>
    </row>
    <row r="187" spans="1:9" s="145" customFormat="1" ht="28.5" hidden="1">
      <c r="A187" s="222" t="s">
        <v>857</v>
      </c>
      <c r="B187" s="66"/>
      <c r="C187" s="35" t="s">
        <v>1050</v>
      </c>
      <c r="D187" s="35" t="s">
        <v>1013</v>
      </c>
      <c r="E187" s="46" t="s">
        <v>865</v>
      </c>
      <c r="F187" s="47"/>
      <c r="G187" s="24">
        <f>SUM(G189)+G188</f>
        <v>0</v>
      </c>
      <c r="H187" s="24">
        <f>SUM(H189)+H188</f>
        <v>395.4</v>
      </c>
      <c r="I187" s="24" t="e">
        <f t="shared" si="6"/>
        <v>#DIV/0!</v>
      </c>
    </row>
    <row r="188" spans="1:9" s="145" customFormat="1" ht="15" hidden="1">
      <c r="A188" s="222" t="s">
        <v>1010</v>
      </c>
      <c r="B188" s="66"/>
      <c r="C188" s="35" t="s">
        <v>1050</v>
      </c>
      <c r="D188" s="35" t="s">
        <v>1013</v>
      </c>
      <c r="E188" s="46" t="s">
        <v>865</v>
      </c>
      <c r="F188" s="23" t="s">
        <v>1011</v>
      </c>
      <c r="G188" s="49"/>
      <c r="H188" s="49">
        <v>395.4</v>
      </c>
      <c r="I188" s="24" t="e">
        <f t="shared" si="6"/>
        <v>#DIV/0!</v>
      </c>
    </row>
    <row r="189" spans="1:9" s="145" customFormat="1" ht="28.5" hidden="1">
      <c r="A189" s="257" t="s">
        <v>855</v>
      </c>
      <c r="B189" s="67"/>
      <c r="C189" s="35" t="s">
        <v>1050</v>
      </c>
      <c r="D189" s="35" t="s">
        <v>1013</v>
      </c>
      <c r="E189" s="46" t="s">
        <v>856</v>
      </c>
      <c r="F189" s="47" t="s">
        <v>1011</v>
      </c>
      <c r="G189" s="49"/>
      <c r="H189" s="49"/>
      <c r="I189" s="24" t="e">
        <f t="shared" si="6"/>
        <v>#DIV/0!</v>
      </c>
    </row>
    <row r="190" spans="1:9" s="145" customFormat="1" ht="42.75" hidden="1">
      <c r="A190" s="233" t="s">
        <v>911</v>
      </c>
      <c r="B190" s="67"/>
      <c r="C190" s="35" t="s">
        <v>1050</v>
      </c>
      <c r="D190" s="35" t="s">
        <v>1013</v>
      </c>
      <c r="E190" s="46" t="s">
        <v>912</v>
      </c>
      <c r="F190" s="47" t="s">
        <v>1011</v>
      </c>
      <c r="G190" s="49"/>
      <c r="H190" s="49"/>
      <c r="I190" s="24" t="e">
        <f t="shared" si="6"/>
        <v>#DIV/0!</v>
      </c>
    </row>
    <row r="191" spans="1:9" ht="15" hidden="1">
      <c r="A191" s="228" t="s">
        <v>840</v>
      </c>
      <c r="B191" s="21"/>
      <c r="C191" s="31" t="s">
        <v>1050</v>
      </c>
      <c r="D191" s="31" t="s">
        <v>1013</v>
      </c>
      <c r="E191" s="31" t="s">
        <v>596</v>
      </c>
      <c r="F191" s="26"/>
      <c r="G191" s="49">
        <f>SUM(G192)</f>
        <v>0</v>
      </c>
      <c r="H191" s="49"/>
      <c r="I191" s="24"/>
    </row>
    <row r="192" spans="1:9" ht="15" hidden="1">
      <c r="A192" s="228" t="s">
        <v>796</v>
      </c>
      <c r="B192" s="21"/>
      <c r="C192" s="31" t="s">
        <v>1050</v>
      </c>
      <c r="D192" s="31" t="s">
        <v>1013</v>
      </c>
      <c r="E192" s="31" t="s">
        <v>943</v>
      </c>
      <c r="F192" s="26" t="s">
        <v>797</v>
      </c>
      <c r="G192" s="49"/>
      <c r="H192" s="49"/>
      <c r="I192" s="24"/>
    </row>
    <row r="193" spans="1:9" ht="42.75">
      <c r="A193" s="228" t="s">
        <v>1088</v>
      </c>
      <c r="B193" s="21"/>
      <c r="C193" s="31" t="s">
        <v>1050</v>
      </c>
      <c r="D193" s="31" t="s">
        <v>1013</v>
      </c>
      <c r="E193" s="46" t="s">
        <v>1089</v>
      </c>
      <c r="F193" s="26"/>
      <c r="G193" s="49">
        <f>SUM(G194)</f>
        <v>940.3</v>
      </c>
      <c r="H193" s="49"/>
      <c r="I193" s="24"/>
    </row>
    <row r="194" spans="1:9" ht="15">
      <c r="A194" s="222" t="s">
        <v>1010</v>
      </c>
      <c r="B194" s="21"/>
      <c r="C194" s="31" t="s">
        <v>1050</v>
      </c>
      <c r="D194" s="31" t="s">
        <v>1013</v>
      </c>
      <c r="E194" s="46" t="s">
        <v>1089</v>
      </c>
      <c r="F194" s="26" t="s">
        <v>1011</v>
      </c>
      <c r="G194" s="49">
        <v>940.3</v>
      </c>
      <c r="H194" s="49"/>
      <c r="I194" s="24"/>
    </row>
    <row r="195" spans="1:9" ht="15">
      <c r="A195" s="229" t="s">
        <v>913</v>
      </c>
      <c r="B195" s="21"/>
      <c r="C195" s="35" t="s">
        <v>1050</v>
      </c>
      <c r="D195" s="35" t="s">
        <v>1050</v>
      </c>
      <c r="E195" s="35"/>
      <c r="F195" s="27"/>
      <c r="G195" s="24">
        <f>SUM(G196+G199+G215+G203)+G211</f>
        <v>16458.2</v>
      </c>
      <c r="H195" s="24" t="e">
        <f>SUM(H196+H199+H215+H203)+H211</f>
        <v>#REF!</v>
      </c>
      <c r="I195" s="24" t="e">
        <f aca="true" t="shared" si="7" ref="I195:I263">SUM(H195/G195*100)</f>
        <v>#REF!</v>
      </c>
    </row>
    <row r="196" spans="1:9" s="36" customFormat="1" ht="41.25" customHeight="1">
      <c r="A196" s="222" t="s">
        <v>1006</v>
      </c>
      <c r="B196" s="34"/>
      <c r="C196" s="35" t="s">
        <v>1050</v>
      </c>
      <c r="D196" s="35" t="s">
        <v>1050</v>
      </c>
      <c r="E196" s="22" t="s">
        <v>1007</v>
      </c>
      <c r="F196" s="26"/>
      <c r="G196" s="24">
        <f>SUM(G197+G200)</f>
        <v>16458.2</v>
      </c>
      <c r="H196" s="24">
        <f>SUM(H197+H200)</f>
        <v>0</v>
      </c>
      <c r="I196" s="24">
        <f t="shared" si="7"/>
        <v>0</v>
      </c>
    </row>
    <row r="197" spans="1:9" s="36" customFormat="1" ht="21" customHeight="1">
      <c r="A197" s="222" t="s">
        <v>1014</v>
      </c>
      <c r="B197" s="34"/>
      <c r="C197" s="35" t="s">
        <v>1050</v>
      </c>
      <c r="D197" s="35" t="s">
        <v>1050</v>
      </c>
      <c r="E197" s="22" t="s">
        <v>1016</v>
      </c>
      <c r="F197" s="26"/>
      <c r="G197" s="24">
        <f>SUM(G198)</f>
        <v>16458.2</v>
      </c>
      <c r="H197" s="24">
        <f>SUM(H198)</f>
        <v>0</v>
      </c>
      <c r="I197" s="24">
        <f t="shared" si="7"/>
        <v>0</v>
      </c>
    </row>
    <row r="198" spans="1:11" s="36" customFormat="1" ht="25.5" customHeight="1">
      <c r="A198" s="222" t="s">
        <v>1010</v>
      </c>
      <c r="B198" s="34"/>
      <c r="C198" s="35" t="s">
        <v>1050</v>
      </c>
      <c r="D198" s="35" t="s">
        <v>1050</v>
      </c>
      <c r="E198" s="22" t="s">
        <v>1016</v>
      </c>
      <c r="F198" s="26" t="s">
        <v>1011</v>
      </c>
      <c r="G198" s="24">
        <v>16458.2</v>
      </c>
      <c r="H198" s="24"/>
      <c r="I198" s="24">
        <f t="shared" si="7"/>
        <v>0</v>
      </c>
      <c r="K198" s="36">
        <f>227313.2+20526.7+105762.3</f>
        <v>353602.2</v>
      </c>
    </row>
    <row r="199" spans="1:9" ht="19.5" customHeight="1" hidden="1">
      <c r="A199" s="224" t="s">
        <v>918</v>
      </c>
      <c r="B199" s="21"/>
      <c r="C199" s="35" t="s">
        <v>1050</v>
      </c>
      <c r="D199" s="35" t="s">
        <v>1050</v>
      </c>
      <c r="E199" s="35" t="s">
        <v>919</v>
      </c>
      <c r="F199" s="27"/>
      <c r="G199" s="24"/>
      <c r="H199" s="24"/>
      <c r="I199" s="24" t="e">
        <f t="shared" si="7"/>
        <v>#DIV/0!</v>
      </c>
    </row>
    <row r="200" spans="1:9" ht="19.5" customHeight="1" hidden="1">
      <c r="A200" s="224" t="s">
        <v>606</v>
      </c>
      <c r="B200" s="21"/>
      <c r="C200" s="35" t="s">
        <v>1050</v>
      </c>
      <c r="D200" s="35" t="s">
        <v>1050</v>
      </c>
      <c r="E200" s="35" t="s">
        <v>914</v>
      </c>
      <c r="F200" s="27"/>
      <c r="G200" s="24">
        <f>SUM(G202)</f>
        <v>0</v>
      </c>
      <c r="H200" s="24">
        <f>SUM(H202)</f>
        <v>0</v>
      </c>
      <c r="I200" s="24" t="e">
        <f t="shared" si="7"/>
        <v>#DIV/0!</v>
      </c>
    </row>
    <row r="201" spans="1:9" ht="19.5" customHeight="1" hidden="1">
      <c r="A201" s="224" t="s">
        <v>915</v>
      </c>
      <c r="B201" s="21"/>
      <c r="C201" s="35" t="s">
        <v>1050</v>
      </c>
      <c r="D201" s="35" t="s">
        <v>1050</v>
      </c>
      <c r="E201" s="35" t="s">
        <v>916</v>
      </c>
      <c r="F201" s="27"/>
      <c r="G201" s="24">
        <f>SUM(G202)</f>
        <v>0</v>
      </c>
      <c r="H201" s="24">
        <f>SUM(H202)</f>
        <v>0</v>
      </c>
      <c r="I201" s="24" t="e">
        <f t="shared" si="7"/>
        <v>#DIV/0!</v>
      </c>
    </row>
    <row r="202" spans="1:9" ht="19.5" customHeight="1" hidden="1">
      <c r="A202" s="228" t="s">
        <v>917</v>
      </c>
      <c r="B202" s="21"/>
      <c r="C202" s="35" t="s">
        <v>1050</v>
      </c>
      <c r="D202" s="35" t="s">
        <v>1050</v>
      </c>
      <c r="E202" s="35" t="s">
        <v>916</v>
      </c>
      <c r="F202" s="26" t="s">
        <v>1054</v>
      </c>
      <c r="G202" s="49"/>
      <c r="H202" s="49"/>
      <c r="I202" s="24" t="e">
        <f t="shared" si="7"/>
        <v>#DIV/0!</v>
      </c>
    </row>
    <row r="203" spans="1:9" ht="19.5" customHeight="1" hidden="1">
      <c r="A203" s="224" t="s">
        <v>785</v>
      </c>
      <c r="B203" s="45"/>
      <c r="C203" s="35" t="s">
        <v>1050</v>
      </c>
      <c r="D203" s="35" t="s">
        <v>1050</v>
      </c>
      <c r="E203" s="46" t="s">
        <v>786</v>
      </c>
      <c r="F203" s="26"/>
      <c r="G203" s="49">
        <f>SUM(G204+G209)</f>
        <v>0</v>
      </c>
      <c r="H203" s="49">
        <f>SUM(H204+H209)</f>
        <v>4731.200000000001</v>
      </c>
      <c r="I203" s="24" t="e">
        <f t="shared" si="7"/>
        <v>#DIV/0!</v>
      </c>
    </row>
    <row r="204" spans="1:9" ht="19.5" customHeight="1" hidden="1">
      <c r="A204" s="222" t="s">
        <v>651</v>
      </c>
      <c r="B204" s="45"/>
      <c r="C204" s="35" t="s">
        <v>1050</v>
      </c>
      <c r="D204" s="35" t="s">
        <v>1050</v>
      </c>
      <c r="E204" s="46" t="s">
        <v>652</v>
      </c>
      <c r="F204" s="26"/>
      <c r="G204" s="49">
        <f>SUM(G205+G207)</f>
        <v>0</v>
      </c>
      <c r="H204" s="49">
        <f>SUM(H205+H207)</f>
        <v>4731.200000000001</v>
      </c>
      <c r="I204" s="24" t="e">
        <f t="shared" si="7"/>
        <v>#DIV/0!</v>
      </c>
    </row>
    <row r="205" spans="1:9" ht="15" hidden="1">
      <c r="A205" s="224" t="s">
        <v>862</v>
      </c>
      <c r="B205" s="21"/>
      <c r="C205" s="35" t="s">
        <v>1050</v>
      </c>
      <c r="D205" s="35" t="s">
        <v>1050</v>
      </c>
      <c r="E205" s="46" t="s">
        <v>863</v>
      </c>
      <c r="F205" s="26"/>
      <c r="G205" s="49">
        <f>SUM(G206,G214)</f>
        <v>0</v>
      </c>
      <c r="H205" s="49">
        <f>SUM(H206,H214)</f>
        <v>4731.200000000001</v>
      </c>
      <c r="I205" s="24" t="e">
        <f t="shared" si="7"/>
        <v>#DIV/0!</v>
      </c>
    </row>
    <row r="206" spans="1:9" ht="19.5" customHeight="1" hidden="1">
      <c r="A206" s="228" t="s">
        <v>917</v>
      </c>
      <c r="B206" s="21"/>
      <c r="C206" s="35" t="s">
        <v>1050</v>
      </c>
      <c r="D206" s="35" t="s">
        <v>1050</v>
      </c>
      <c r="E206" s="46" t="s">
        <v>863</v>
      </c>
      <c r="F206" s="26" t="s">
        <v>1054</v>
      </c>
      <c r="G206" s="49"/>
      <c r="H206" s="49">
        <v>2740.8</v>
      </c>
      <c r="I206" s="24" t="e">
        <f t="shared" si="7"/>
        <v>#DIV/0!</v>
      </c>
    </row>
    <row r="207" spans="1:9" ht="19.5" customHeight="1" hidden="1">
      <c r="A207" s="228" t="s">
        <v>921</v>
      </c>
      <c r="B207" s="21"/>
      <c r="C207" s="35" t="s">
        <v>1050</v>
      </c>
      <c r="D207" s="35" t="s">
        <v>1050</v>
      </c>
      <c r="E207" s="46" t="s">
        <v>922</v>
      </c>
      <c r="F207" s="26"/>
      <c r="G207" s="49">
        <f>SUM(G208)</f>
        <v>0</v>
      </c>
      <c r="H207" s="49">
        <f>SUM(H208)</f>
        <v>0</v>
      </c>
      <c r="I207" s="24" t="e">
        <f t="shared" si="7"/>
        <v>#DIV/0!</v>
      </c>
    </row>
    <row r="208" spans="1:9" ht="19.5" customHeight="1" hidden="1">
      <c r="A208" s="228" t="s">
        <v>917</v>
      </c>
      <c r="B208" s="21"/>
      <c r="C208" s="35" t="s">
        <v>1050</v>
      </c>
      <c r="D208" s="35" t="s">
        <v>1050</v>
      </c>
      <c r="E208" s="46" t="s">
        <v>922</v>
      </c>
      <c r="F208" s="26" t="s">
        <v>1054</v>
      </c>
      <c r="G208" s="49"/>
      <c r="H208" s="49"/>
      <c r="I208" s="24" t="e">
        <f t="shared" si="7"/>
        <v>#DIV/0!</v>
      </c>
    </row>
    <row r="209" spans="1:9" ht="19.5" customHeight="1" hidden="1">
      <c r="A209" s="228" t="s">
        <v>923</v>
      </c>
      <c r="B209" s="21"/>
      <c r="C209" s="35" t="s">
        <v>1050</v>
      </c>
      <c r="D209" s="35" t="s">
        <v>1050</v>
      </c>
      <c r="E209" s="46" t="s">
        <v>924</v>
      </c>
      <c r="F209" s="26"/>
      <c r="G209" s="49">
        <f>SUM(G210)</f>
        <v>0</v>
      </c>
      <c r="H209" s="49">
        <f>SUM(H210)</f>
        <v>0</v>
      </c>
      <c r="I209" s="24" t="e">
        <f t="shared" si="7"/>
        <v>#DIV/0!</v>
      </c>
    </row>
    <row r="210" spans="1:9" ht="19.5" customHeight="1" hidden="1">
      <c r="A210" s="228" t="s">
        <v>917</v>
      </c>
      <c r="B210" s="21"/>
      <c r="C210" s="35" t="s">
        <v>1050</v>
      </c>
      <c r="D210" s="35" t="s">
        <v>1050</v>
      </c>
      <c r="E210" s="46" t="s">
        <v>924</v>
      </c>
      <c r="F210" s="26" t="s">
        <v>1054</v>
      </c>
      <c r="G210" s="49"/>
      <c r="H210" s="49"/>
      <c r="I210" s="24" t="e">
        <f t="shared" si="7"/>
        <v>#DIV/0!</v>
      </c>
    </row>
    <row r="211" spans="1:9" ht="19.5" customHeight="1" hidden="1">
      <c r="A211" s="228" t="s">
        <v>925</v>
      </c>
      <c r="B211" s="21"/>
      <c r="C211" s="35" t="s">
        <v>1050</v>
      </c>
      <c r="D211" s="35" t="s">
        <v>1050</v>
      </c>
      <c r="E211" s="46" t="s">
        <v>926</v>
      </c>
      <c r="F211" s="26"/>
      <c r="G211" s="49">
        <f>SUM(G212)</f>
        <v>0</v>
      </c>
      <c r="H211" s="49">
        <f>SUM(H212)</f>
        <v>0</v>
      </c>
      <c r="I211" s="24" t="e">
        <f t="shared" si="7"/>
        <v>#DIV/0!</v>
      </c>
    </row>
    <row r="212" spans="1:9" ht="19.5" customHeight="1" hidden="1">
      <c r="A212" s="228" t="s">
        <v>927</v>
      </c>
      <c r="B212" s="21"/>
      <c r="C212" s="35" t="s">
        <v>1050</v>
      </c>
      <c r="D212" s="35" t="s">
        <v>1050</v>
      </c>
      <c r="E212" s="46" t="s">
        <v>928</v>
      </c>
      <c r="F212" s="26"/>
      <c r="G212" s="49">
        <f>SUM(G213)</f>
        <v>0</v>
      </c>
      <c r="H212" s="49">
        <f>SUM(H213)</f>
        <v>0</v>
      </c>
      <c r="I212" s="24" t="e">
        <f t="shared" si="7"/>
        <v>#DIV/0!</v>
      </c>
    </row>
    <row r="213" spans="1:9" ht="19.5" customHeight="1" hidden="1">
      <c r="A213" s="228" t="s">
        <v>917</v>
      </c>
      <c r="B213" s="21"/>
      <c r="C213" s="35" t="s">
        <v>1050</v>
      </c>
      <c r="D213" s="35" t="s">
        <v>1050</v>
      </c>
      <c r="E213" s="46" t="s">
        <v>928</v>
      </c>
      <c r="F213" s="26" t="s">
        <v>1054</v>
      </c>
      <c r="G213" s="49"/>
      <c r="H213" s="49"/>
      <c r="I213" s="24" t="e">
        <f t="shared" si="7"/>
        <v>#DIV/0!</v>
      </c>
    </row>
    <row r="214" spans="1:9" ht="19.5" customHeight="1" hidden="1">
      <c r="A214" s="222" t="s">
        <v>1010</v>
      </c>
      <c r="B214" s="21"/>
      <c r="C214" s="35" t="s">
        <v>1050</v>
      </c>
      <c r="D214" s="35" t="s">
        <v>1050</v>
      </c>
      <c r="E214" s="46" t="s">
        <v>863</v>
      </c>
      <c r="F214" s="26" t="s">
        <v>1011</v>
      </c>
      <c r="G214" s="49"/>
      <c r="H214" s="49">
        <v>1990.4</v>
      </c>
      <c r="I214" s="24" t="e">
        <f t="shared" si="7"/>
        <v>#DIV/0!</v>
      </c>
    </row>
    <row r="215" spans="1:9" ht="15" hidden="1">
      <c r="A215" s="222" t="s">
        <v>1046</v>
      </c>
      <c r="B215" s="21"/>
      <c r="C215" s="35" t="s">
        <v>1050</v>
      </c>
      <c r="D215" s="35" t="s">
        <v>1050</v>
      </c>
      <c r="E215" s="22" t="s">
        <v>1047</v>
      </c>
      <c r="F215" s="27"/>
      <c r="G215" s="24">
        <f>SUM(G216+G220)</f>
        <v>0</v>
      </c>
      <c r="H215" s="24" t="e">
        <f>SUM(H217+H219+H220+#REF!)</f>
        <v>#REF!</v>
      </c>
      <c r="I215" s="24" t="e">
        <f t="shared" si="7"/>
        <v>#REF!</v>
      </c>
    </row>
    <row r="216" spans="1:9" ht="15" hidden="1">
      <c r="A216" s="228" t="s">
        <v>917</v>
      </c>
      <c r="B216" s="21"/>
      <c r="C216" s="35" t="s">
        <v>1050</v>
      </c>
      <c r="D216" s="35" t="s">
        <v>1050</v>
      </c>
      <c r="E216" s="22" t="s">
        <v>1047</v>
      </c>
      <c r="F216" s="27" t="s">
        <v>1054</v>
      </c>
      <c r="G216" s="24">
        <f>SUM(G217)</f>
        <v>0</v>
      </c>
      <c r="H216" s="24">
        <f>SUM(H217)</f>
        <v>492.1</v>
      </c>
      <c r="I216" s="24" t="e">
        <f t="shared" si="7"/>
        <v>#DIV/0!</v>
      </c>
    </row>
    <row r="217" spans="1:9" ht="19.5" customHeight="1" hidden="1">
      <c r="A217" s="233" t="s">
        <v>929</v>
      </c>
      <c r="B217" s="68"/>
      <c r="C217" s="69" t="s">
        <v>1050</v>
      </c>
      <c r="D217" s="69" t="s">
        <v>1050</v>
      </c>
      <c r="E217" s="42" t="s">
        <v>930</v>
      </c>
      <c r="F217" s="27" t="s">
        <v>1054</v>
      </c>
      <c r="G217" s="65"/>
      <c r="H217" s="65">
        <v>492.1</v>
      </c>
      <c r="I217" s="24" t="e">
        <f t="shared" si="7"/>
        <v>#DIV/0!</v>
      </c>
    </row>
    <row r="218" spans="1:9" ht="15" hidden="1">
      <c r="A218" s="222" t="s">
        <v>1010</v>
      </c>
      <c r="B218" s="66"/>
      <c r="C218" s="69" t="s">
        <v>1050</v>
      </c>
      <c r="D218" s="69" t="s">
        <v>1050</v>
      </c>
      <c r="E218" s="46" t="s">
        <v>1047</v>
      </c>
      <c r="F218" s="47" t="s">
        <v>1011</v>
      </c>
      <c r="G218" s="24">
        <f>SUM(G219)</f>
        <v>0</v>
      </c>
      <c r="H218" s="24">
        <f>SUM(H219)</f>
        <v>0</v>
      </c>
      <c r="I218" s="24" t="e">
        <f t="shared" si="7"/>
        <v>#DIV/0!</v>
      </c>
    </row>
    <row r="219" spans="1:9" ht="28.5" hidden="1">
      <c r="A219" s="257" t="s">
        <v>866</v>
      </c>
      <c r="B219" s="66"/>
      <c r="C219" s="69" t="s">
        <v>1050</v>
      </c>
      <c r="D219" s="69" t="s">
        <v>1050</v>
      </c>
      <c r="E219" s="46" t="s">
        <v>867</v>
      </c>
      <c r="F219" s="23" t="s">
        <v>1011</v>
      </c>
      <c r="G219" s="49"/>
      <c r="H219" s="49"/>
      <c r="I219" s="24" t="e">
        <f t="shared" si="7"/>
        <v>#DIV/0!</v>
      </c>
    </row>
    <row r="220" spans="1:9" ht="19.5" customHeight="1" hidden="1">
      <c r="A220" s="228" t="s">
        <v>882</v>
      </c>
      <c r="B220" s="21"/>
      <c r="C220" s="35" t="s">
        <v>1050</v>
      </c>
      <c r="D220" s="35" t="s">
        <v>1050</v>
      </c>
      <c r="E220" s="22" t="s">
        <v>871</v>
      </c>
      <c r="F220" s="27"/>
      <c r="G220" s="24">
        <f>SUM(G221+G224)</f>
        <v>0</v>
      </c>
      <c r="H220" s="24">
        <f>SUM(H221+H224)</f>
        <v>2038.3</v>
      </c>
      <c r="I220" s="24" t="e">
        <f t="shared" si="7"/>
        <v>#DIV/0!</v>
      </c>
    </row>
    <row r="221" spans="1:9" ht="19.5" customHeight="1" hidden="1">
      <c r="A221" s="233" t="s">
        <v>862</v>
      </c>
      <c r="B221" s="68"/>
      <c r="C221" s="35" t="s">
        <v>1050</v>
      </c>
      <c r="D221" s="35" t="s">
        <v>1050</v>
      </c>
      <c r="E221" s="22" t="s">
        <v>872</v>
      </c>
      <c r="F221" s="27"/>
      <c r="G221" s="65">
        <f>SUM(G222:G223)</f>
        <v>0</v>
      </c>
      <c r="H221" s="65">
        <f>SUM(H222:H223)</f>
        <v>1157.5</v>
      </c>
      <c r="I221" s="24" t="e">
        <f t="shared" si="7"/>
        <v>#DIV/0!</v>
      </c>
    </row>
    <row r="222" spans="1:9" ht="19.5" customHeight="1" hidden="1">
      <c r="A222" s="228" t="s">
        <v>917</v>
      </c>
      <c r="B222" s="21"/>
      <c r="C222" s="35" t="s">
        <v>1050</v>
      </c>
      <c r="D222" s="35" t="s">
        <v>1050</v>
      </c>
      <c r="E222" s="22" t="s">
        <v>872</v>
      </c>
      <c r="F222" s="26" t="s">
        <v>1054</v>
      </c>
      <c r="G222" s="49"/>
      <c r="H222" s="49">
        <v>1157.5</v>
      </c>
      <c r="I222" s="24" t="e">
        <f t="shared" si="7"/>
        <v>#DIV/0!</v>
      </c>
    </row>
    <row r="223" spans="1:9" ht="19.5" customHeight="1" hidden="1">
      <c r="A223" s="222" t="s">
        <v>1010</v>
      </c>
      <c r="B223" s="66"/>
      <c r="C223" s="35" t="s">
        <v>1050</v>
      </c>
      <c r="D223" s="35" t="s">
        <v>1050</v>
      </c>
      <c r="E223" s="22" t="s">
        <v>872</v>
      </c>
      <c r="F223" s="47" t="s">
        <v>1011</v>
      </c>
      <c r="G223" s="24"/>
      <c r="H223" s="24"/>
      <c r="I223" s="24" t="e">
        <f t="shared" si="7"/>
        <v>#DIV/0!</v>
      </c>
    </row>
    <row r="224" spans="1:9" ht="19.5" customHeight="1" hidden="1">
      <c r="A224" s="257" t="s">
        <v>931</v>
      </c>
      <c r="B224" s="21"/>
      <c r="C224" s="35" t="s">
        <v>1050</v>
      </c>
      <c r="D224" s="35" t="s">
        <v>1050</v>
      </c>
      <c r="E224" s="22" t="s">
        <v>618</v>
      </c>
      <c r="F224" s="27"/>
      <c r="G224" s="24">
        <f>SUM(G225)</f>
        <v>0</v>
      </c>
      <c r="H224" s="24">
        <f>SUM(H225)</f>
        <v>880.8</v>
      </c>
      <c r="I224" s="24" t="e">
        <f t="shared" si="7"/>
        <v>#DIV/0!</v>
      </c>
    </row>
    <row r="225" spans="1:9" ht="19.5" customHeight="1" hidden="1">
      <c r="A225" s="228" t="s">
        <v>917</v>
      </c>
      <c r="B225" s="21"/>
      <c r="C225" s="35" t="s">
        <v>1050</v>
      </c>
      <c r="D225" s="35" t="s">
        <v>1050</v>
      </c>
      <c r="E225" s="22" t="s">
        <v>618</v>
      </c>
      <c r="F225" s="26" t="s">
        <v>1054</v>
      </c>
      <c r="G225" s="49"/>
      <c r="H225" s="49">
        <v>880.8</v>
      </c>
      <c r="I225" s="24" t="e">
        <f t="shared" si="7"/>
        <v>#DIV/0!</v>
      </c>
    </row>
    <row r="226" spans="1:9" ht="21" customHeight="1">
      <c r="A226" s="235" t="s">
        <v>1209</v>
      </c>
      <c r="B226" s="82" t="s">
        <v>1210</v>
      </c>
      <c r="C226" s="41"/>
      <c r="D226" s="41"/>
      <c r="E226" s="41"/>
      <c r="F226" s="142"/>
      <c r="G226" s="141">
        <f>SUM(G227+G302+G340+G378+G533+G553+G643)+G647</f>
        <v>353102.20000000007</v>
      </c>
      <c r="H226" s="141" t="e">
        <f>SUM(H227+H302+H340+H378+H533+H553+H572+H611+#REF!)</f>
        <v>#REF!</v>
      </c>
      <c r="I226" s="40" t="e">
        <f t="shared" si="7"/>
        <v>#REF!</v>
      </c>
    </row>
    <row r="227" spans="1:9" ht="15">
      <c r="A227" s="222" t="s">
        <v>662</v>
      </c>
      <c r="B227" s="21"/>
      <c r="C227" s="22" t="s">
        <v>663</v>
      </c>
      <c r="D227" s="22"/>
      <c r="E227" s="22"/>
      <c r="F227" s="23"/>
      <c r="G227" s="24">
        <f>SUM(G228+G256+G262+G249+G252)</f>
        <v>82309.19999999998</v>
      </c>
      <c r="H227" s="24">
        <f>SUM(H228+H256+H262+H249+H252)</f>
        <v>63770.40000000001</v>
      </c>
      <c r="I227" s="24">
        <f t="shared" si="7"/>
        <v>77.47663687655817</v>
      </c>
    </row>
    <row r="228" spans="1:9" ht="28.5">
      <c r="A228" s="222" t="s">
        <v>273</v>
      </c>
      <c r="B228" s="21"/>
      <c r="C228" s="22" t="s">
        <v>663</v>
      </c>
      <c r="D228" s="22" t="s">
        <v>1037</v>
      </c>
      <c r="E228" s="22"/>
      <c r="F228" s="23"/>
      <c r="G228" s="24">
        <f>SUM(G229)+G246+G244</f>
        <v>74493.59999999999</v>
      </c>
      <c r="H228" s="24">
        <f>SUM(H229)+H246+H244</f>
        <v>52319.90000000001</v>
      </c>
      <c r="I228" s="24">
        <f t="shared" si="7"/>
        <v>70.23408722360044</v>
      </c>
    </row>
    <row r="229" spans="1:9" ht="43.5" customHeight="1">
      <c r="A229" s="222" t="s">
        <v>1006</v>
      </c>
      <c r="B229" s="21"/>
      <c r="C229" s="22" t="s">
        <v>663</v>
      </c>
      <c r="D229" s="22" t="s">
        <v>1037</v>
      </c>
      <c r="E229" s="22" t="s">
        <v>1007</v>
      </c>
      <c r="F229" s="26"/>
      <c r="G229" s="24">
        <f>SUM(G230+G242)</f>
        <v>74268.79999999999</v>
      </c>
      <c r="H229" s="24">
        <f>SUM(H230+H242)</f>
        <v>51899.200000000004</v>
      </c>
      <c r="I229" s="24">
        <f t="shared" si="7"/>
        <v>69.88021888060668</v>
      </c>
    </row>
    <row r="230" spans="1:9" ht="14.25" customHeight="1">
      <c r="A230" s="222" t="s">
        <v>1014</v>
      </c>
      <c r="B230" s="21"/>
      <c r="C230" s="22" t="s">
        <v>663</v>
      </c>
      <c r="D230" s="22" t="s">
        <v>1037</v>
      </c>
      <c r="E230" s="22" t="s">
        <v>1016</v>
      </c>
      <c r="F230" s="26"/>
      <c r="G230" s="24">
        <f>SUM(G231+G232+G236+G238+G240)</f>
        <v>73561.9</v>
      </c>
      <c r="H230" s="24">
        <f>SUM(H231:H231+H232+H234+H236)+H233+H238</f>
        <v>51161.8</v>
      </c>
      <c r="I230" s="24">
        <f t="shared" si="7"/>
        <v>69.54931832918943</v>
      </c>
    </row>
    <row r="231" spans="1:9" ht="23.25" customHeight="1">
      <c r="A231" s="222" t="s">
        <v>1010</v>
      </c>
      <c r="B231" s="21"/>
      <c r="C231" s="22" t="s">
        <v>663</v>
      </c>
      <c r="D231" s="22" t="s">
        <v>1037</v>
      </c>
      <c r="E231" s="22" t="s">
        <v>1016</v>
      </c>
      <c r="F231" s="23" t="s">
        <v>1011</v>
      </c>
      <c r="G231" s="24">
        <v>71641.9</v>
      </c>
      <c r="H231" s="24">
        <v>50612.1</v>
      </c>
      <c r="I231" s="24">
        <f t="shared" si="7"/>
        <v>70.64594880928618</v>
      </c>
    </row>
    <row r="232" spans="1:9" ht="37.5" customHeight="1">
      <c r="A232" s="222" t="s">
        <v>1042</v>
      </c>
      <c r="B232" s="21"/>
      <c r="C232" s="22" t="s">
        <v>663</v>
      </c>
      <c r="D232" s="22" t="s">
        <v>1037</v>
      </c>
      <c r="E232" s="22" t="s">
        <v>1043</v>
      </c>
      <c r="F232" s="23"/>
      <c r="G232" s="24">
        <f>SUM(G233)</f>
        <v>1319.8</v>
      </c>
      <c r="H232" s="24">
        <v>507.8</v>
      </c>
      <c r="I232" s="24">
        <f t="shared" si="7"/>
        <v>38.47552659493863</v>
      </c>
    </row>
    <row r="233" spans="1:9" ht="20.25" customHeight="1">
      <c r="A233" s="222" t="s">
        <v>1010</v>
      </c>
      <c r="B233" s="21"/>
      <c r="C233" s="22" t="s">
        <v>663</v>
      </c>
      <c r="D233" s="22" t="s">
        <v>1037</v>
      </c>
      <c r="E233" s="22" t="s">
        <v>1043</v>
      </c>
      <c r="F233" s="23" t="s">
        <v>1011</v>
      </c>
      <c r="G233" s="24">
        <v>1319.8</v>
      </c>
      <c r="H233" s="24"/>
      <c r="I233" s="24">
        <f t="shared" si="7"/>
        <v>0</v>
      </c>
    </row>
    <row r="234" spans="1:9" ht="19.5" customHeight="1" hidden="1">
      <c r="A234" s="222" t="s">
        <v>1044</v>
      </c>
      <c r="B234" s="21"/>
      <c r="C234" s="22" t="s">
        <v>663</v>
      </c>
      <c r="D234" s="22" t="s">
        <v>1037</v>
      </c>
      <c r="E234" s="22" t="s">
        <v>1045</v>
      </c>
      <c r="F234" s="23"/>
      <c r="G234" s="24"/>
      <c r="H234" s="24">
        <v>41.9</v>
      </c>
      <c r="I234" s="24" t="e">
        <f t="shared" si="7"/>
        <v>#DIV/0!</v>
      </c>
    </row>
    <row r="235" spans="1:9" ht="19.5" customHeight="1" hidden="1">
      <c r="A235" s="222" t="s">
        <v>1010</v>
      </c>
      <c r="B235" s="21"/>
      <c r="C235" s="22" t="s">
        <v>663</v>
      </c>
      <c r="D235" s="22" t="s">
        <v>1037</v>
      </c>
      <c r="E235" s="22" t="s">
        <v>1045</v>
      </c>
      <c r="F235" s="23" t="s">
        <v>1011</v>
      </c>
      <c r="G235" s="24"/>
      <c r="H235" s="24"/>
      <c r="I235" s="24"/>
    </row>
    <row r="236" spans="1:9" ht="51.75" customHeight="1">
      <c r="A236" s="222" t="s">
        <v>541</v>
      </c>
      <c r="B236" s="21"/>
      <c r="C236" s="22" t="s">
        <v>663</v>
      </c>
      <c r="D236" s="22" t="s">
        <v>1037</v>
      </c>
      <c r="E236" s="22" t="s">
        <v>542</v>
      </c>
      <c r="F236" s="23"/>
      <c r="G236" s="24">
        <f>SUM(G237)</f>
        <v>89.4</v>
      </c>
      <c r="H236" s="24"/>
      <c r="I236" s="24">
        <f>SUM(H236/G236*100)</f>
        <v>0</v>
      </c>
    </row>
    <row r="237" spans="1:9" ht="22.5" customHeight="1">
      <c r="A237" s="222" t="s">
        <v>1010</v>
      </c>
      <c r="B237" s="21"/>
      <c r="C237" s="22" t="s">
        <v>663</v>
      </c>
      <c r="D237" s="22" t="s">
        <v>1037</v>
      </c>
      <c r="E237" s="22" t="s">
        <v>542</v>
      </c>
      <c r="F237" s="23" t="s">
        <v>1011</v>
      </c>
      <c r="G237" s="24">
        <v>89.4</v>
      </c>
      <c r="H237" s="24"/>
      <c r="I237" s="24"/>
    </row>
    <row r="238" spans="1:9" s="36" customFormat="1" ht="37.5" customHeight="1">
      <c r="A238" s="228" t="s">
        <v>901</v>
      </c>
      <c r="B238" s="34"/>
      <c r="C238" s="35" t="s">
        <v>663</v>
      </c>
      <c r="D238" s="35" t="s">
        <v>1037</v>
      </c>
      <c r="E238" s="35" t="s">
        <v>902</v>
      </c>
      <c r="F238" s="26"/>
      <c r="G238" s="24">
        <f>SUM(G239)</f>
        <v>170.1</v>
      </c>
      <c r="H238" s="24"/>
      <c r="I238" s="24">
        <f>SUM(H238/G238*100)</f>
        <v>0</v>
      </c>
    </row>
    <row r="239" spans="1:9" s="36" customFormat="1" ht="26.25" customHeight="1">
      <c r="A239" s="222" t="s">
        <v>1010</v>
      </c>
      <c r="B239" s="34"/>
      <c r="C239" s="35" t="s">
        <v>663</v>
      </c>
      <c r="D239" s="35" t="s">
        <v>1037</v>
      </c>
      <c r="E239" s="35" t="s">
        <v>902</v>
      </c>
      <c r="F239" s="26" t="s">
        <v>1011</v>
      </c>
      <c r="G239" s="24">
        <v>170.1</v>
      </c>
      <c r="H239" s="24"/>
      <c r="I239" s="24"/>
    </row>
    <row r="240" spans="1:9" s="36" customFormat="1" ht="37.5" customHeight="1">
      <c r="A240" s="228" t="s">
        <v>1090</v>
      </c>
      <c r="B240" s="34"/>
      <c r="C240" s="35" t="s">
        <v>663</v>
      </c>
      <c r="D240" s="35" t="s">
        <v>1037</v>
      </c>
      <c r="E240" s="35" t="s">
        <v>1091</v>
      </c>
      <c r="F240" s="26"/>
      <c r="G240" s="24">
        <f>SUM(G241)</f>
        <v>340.7</v>
      </c>
      <c r="H240" s="24"/>
      <c r="I240" s="24"/>
    </row>
    <row r="241" spans="1:9" s="36" customFormat="1" ht="21" customHeight="1">
      <c r="A241" s="222" t="s">
        <v>1010</v>
      </c>
      <c r="B241" s="34"/>
      <c r="C241" s="35" t="s">
        <v>663</v>
      </c>
      <c r="D241" s="35" t="s">
        <v>1037</v>
      </c>
      <c r="E241" s="35" t="s">
        <v>1091</v>
      </c>
      <c r="F241" s="26" t="s">
        <v>1011</v>
      </c>
      <c r="G241" s="24">
        <v>340.7</v>
      </c>
      <c r="H241" s="24"/>
      <c r="I241" s="24"/>
    </row>
    <row r="242" spans="1:9" s="29" customFormat="1" ht="40.5" customHeight="1">
      <c r="A242" s="222" t="s">
        <v>543</v>
      </c>
      <c r="B242" s="21"/>
      <c r="C242" s="22" t="s">
        <v>1015</v>
      </c>
      <c r="D242" s="22" t="s">
        <v>1037</v>
      </c>
      <c r="E242" s="22" t="s">
        <v>544</v>
      </c>
      <c r="F242" s="26"/>
      <c r="G242" s="24">
        <f>SUM(G243)</f>
        <v>706.9</v>
      </c>
      <c r="H242" s="24">
        <f>SUM(H243)</f>
        <v>737.4</v>
      </c>
      <c r="I242" s="24">
        <f t="shared" si="7"/>
        <v>104.3146130994483</v>
      </c>
    </row>
    <row r="243" spans="1:9" s="29" customFormat="1" ht="26.25" customHeight="1">
      <c r="A243" s="222" t="s">
        <v>1010</v>
      </c>
      <c r="B243" s="21"/>
      <c r="C243" s="22" t="s">
        <v>663</v>
      </c>
      <c r="D243" s="22" t="s">
        <v>1037</v>
      </c>
      <c r="E243" s="22" t="s">
        <v>544</v>
      </c>
      <c r="F243" s="23" t="s">
        <v>1011</v>
      </c>
      <c r="G243" s="24">
        <v>706.9</v>
      </c>
      <c r="H243" s="24">
        <v>737.4</v>
      </c>
      <c r="I243" s="24">
        <f t="shared" si="7"/>
        <v>104.3146130994483</v>
      </c>
    </row>
    <row r="244" spans="1:9" s="29" customFormat="1" ht="19.5" customHeight="1" hidden="1">
      <c r="A244" s="222" t="s">
        <v>545</v>
      </c>
      <c r="B244" s="21"/>
      <c r="C244" s="22" t="s">
        <v>663</v>
      </c>
      <c r="D244" s="22" t="s">
        <v>1037</v>
      </c>
      <c r="E244" s="22" t="s">
        <v>546</v>
      </c>
      <c r="F244" s="23"/>
      <c r="G244" s="24">
        <f>SUM(G245)</f>
        <v>0</v>
      </c>
      <c r="H244" s="24">
        <f>SUM(H245)</f>
        <v>264.8</v>
      </c>
      <c r="I244" s="24" t="e">
        <f t="shared" si="7"/>
        <v>#DIV/0!</v>
      </c>
    </row>
    <row r="245" spans="1:9" s="29" customFormat="1" ht="19.5" customHeight="1" hidden="1">
      <c r="A245" s="222" t="s">
        <v>1010</v>
      </c>
      <c r="B245" s="21"/>
      <c r="C245" s="22" t="s">
        <v>663</v>
      </c>
      <c r="D245" s="22" t="s">
        <v>1037</v>
      </c>
      <c r="E245" s="22" t="s">
        <v>546</v>
      </c>
      <c r="F245" s="23" t="s">
        <v>1011</v>
      </c>
      <c r="G245" s="24"/>
      <c r="H245" s="24">
        <v>264.8</v>
      </c>
      <c r="I245" s="24" t="e">
        <f t="shared" si="7"/>
        <v>#DIV/0!</v>
      </c>
    </row>
    <row r="246" spans="1:9" s="29" customFormat="1" ht="19.5" customHeight="1">
      <c r="A246" s="222" t="s">
        <v>1046</v>
      </c>
      <c r="B246" s="21"/>
      <c r="C246" s="22" t="s">
        <v>663</v>
      </c>
      <c r="D246" s="22" t="s">
        <v>1037</v>
      </c>
      <c r="E246" s="22" t="s">
        <v>1047</v>
      </c>
      <c r="F246" s="26"/>
      <c r="G246" s="24">
        <f>SUM(G247)</f>
        <v>224.8</v>
      </c>
      <c r="H246" s="24">
        <f>SUM(H247)</f>
        <v>155.9</v>
      </c>
      <c r="I246" s="24">
        <f t="shared" si="7"/>
        <v>69.35053380782918</v>
      </c>
    </row>
    <row r="247" spans="1:9" s="29" customFormat="1" ht="24.75" customHeight="1">
      <c r="A247" s="222" t="s">
        <v>970</v>
      </c>
      <c r="B247" s="21"/>
      <c r="C247" s="22" t="s">
        <v>663</v>
      </c>
      <c r="D247" s="22" t="s">
        <v>1037</v>
      </c>
      <c r="E247" s="22" t="s">
        <v>1048</v>
      </c>
      <c r="F247" s="26"/>
      <c r="G247" s="24">
        <f>SUM(G248)</f>
        <v>224.8</v>
      </c>
      <c r="H247" s="24">
        <f>SUM(H248:H249)</f>
        <v>155.9</v>
      </c>
      <c r="I247" s="24">
        <f t="shared" si="7"/>
        <v>69.35053380782918</v>
      </c>
    </row>
    <row r="248" spans="1:9" s="29" customFormat="1" ht="24.75" customHeight="1">
      <c r="A248" s="222" t="s">
        <v>1010</v>
      </c>
      <c r="B248" s="21"/>
      <c r="C248" s="22" t="s">
        <v>663</v>
      </c>
      <c r="D248" s="22" t="s">
        <v>1037</v>
      </c>
      <c r="E248" s="22" t="s">
        <v>1048</v>
      </c>
      <c r="F248" s="26" t="s">
        <v>1011</v>
      </c>
      <c r="G248" s="24">
        <v>224.8</v>
      </c>
      <c r="H248" s="24">
        <v>155.9</v>
      </c>
      <c r="I248" s="24">
        <f t="shared" si="7"/>
        <v>69.35053380782918</v>
      </c>
    </row>
    <row r="249" spans="1:9" s="29" customFormat="1" ht="15.75" customHeight="1">
      <c r="A249" s="222" t="s">
        <v>1049</v>
      </c>
      <c r="B249" s="21"/>
      <c r="C249" s="22" t="s">
        <v>663</v>
      </c>
      <c r="D249" s="22" t="s">
        <v>1050</v>
      </c>
      <c r="E249" s="22"/>
      <c r="F249" s="26"/>
      <c r="G249" s="24">
        <f>SUM(G250)</f>
        <v>36.4</v>
      </c>
      <c r="H249" s="24">
        <f>SUM(H250)</f>
        <v>0</v>
      </c>
      <c r="I249" s="24">
        <f t="shared" si="7"/>
        <v>0</v>
      </c>
    </row>
    <row r="250" spans="1:9" ht="42" customHeight="1">
      <c r="A250" s="224" t="s">
        <v>250</v>
      </c>
      <c r="B250" s="21"/>
      <c r="C250" s="22" t="s">
        <v>663</v>
      </c>
      <c r="D250" s="22" t="s">
        <v>1050</v>
      </c>
      <c r="E250" s="22" t="s">
        <v>547</v>
      </c>
      <c r="F250" s="26"/>
      <c r="G250" s="24">
        <f>SUM(G251)</f>
        <v>36.4</v>
      </c>
      <c r="H250" s="24">
        <f>SUM(H251)</f>
        <v>0</v>
      </c>
      <c r="I250" s="24">
        <f t="shared" si="7"/>
        <v>0</v>
      </c>
    </row>
    <row r="251" spans="1:9" ht="25.5" customHeight="1">
      <c r="A251" s="222" t="s">
        <v>1010</v>
      </c>
      <c r="B251" s="21"/>
      <c r="C251" s="22" t="s">
        <v>663</v>
      </c>
      <c r="D251" s="22" t="s">
        <v>1050</v>
      </c>
      <c r="E251" s="22" t="s">
        <v>547</v>
      </c>
      <c r="F251" s="23" t="s">
        <v>1011</v>
      </c>
      <c r="G251" s="24">
        <v>36.4</v>
      </c>
      <c r="H251" s="24"/>
      <c r="I251" s="24">
        <f t="shared" si="7"/>
        <v>0</v>
      </c>
    </row>
    <row r="252" spans="1:9" ht="19.5" customHeight="1" hidden="1">
      <c r="A252" s="222" t="s">
        <v>1211</v>
      </c>
      <c r="B252" s="21"/>
      <c r="C252" s="22" t="s">
        <v>663</v>
      </c>
      <c r="D252" s="22" t="s">
        <v>549</v>
      </c>
      <c r="E252" s="22"/>
      <c r="F252" s="23"/>
      <c r="G252" s="24">
        <f aca="true" t="shared" si="8" ref="G252:H254">SUM(G253)</f>
        <v>0</v>
      </c>
      <c r="H252" s="24">
        <f t="shared" si="8"/>
        <v>0</v>
      </c>
      <c r="I252" s="24" t="e">
        <f t="shared" si="7"/>
        <v>#DIV/0!</v>
      </c>
    </row>
    <row r="253" spans="1:9" ht="19.5" customHeight="1" hidden="1">
      <c r="A253" s="222" t="s">
        <v>1006</v>
      </c>
      <c r="B253" s="21"/>
      <c r="C253" s="22" t="s">
        <v>663</v>
      </c>
      <c r="D253" s="22" t="s">
        <v>549</v>
      </c>
      <c r="E253" s="22" t="s">
        <v>1007</v>
      </c>
      <c r="F253" s="23"/>
      <c r="G253" s="24">
        <f t="shared" si="8"/>
        <v>0</v>
      </c>
      <c r="H253" s="24">
        <f t="shared" si="8"/>
        <v>0</v>
      </c>
      <c r="I253" s="24" t="e">
        <f t="shared" si="7"/>
        <v>#DIV/0!</v>
      </c>
    </row>
    <row r="254" spans="1:9" ht="19.5" customHeight="1" hidden="1">
      <c r="A254" s="222" t="s">
        <v>1014</v>
      </c>
      <c r="B254" s="21"/>
      <c r="C254" s="22" t="s">
        <v>663</v>
      </c>
      <c r="D254" s="22" t="s">
        <v>549</v>
      </c>
      <c r="E254" s="22" t="s">
        <v>1016</v>
      </c>
      <c r="F254" s="23"/>
      <c r="G254" s="24">
        <f t="shared" si="8"/>
        <v>0</v>
      </c>
      <c r="H254" s="24">
        <f t="shared" si="8"/>
        <v>0</v>
      </c>
      <c r="I254" s="24" t="e">
        <f t="shared" si="7"/>
        <v>#DIV/0!</v>
      </c>
    </row>
    <row r="255" spans="1:9" ht="19.5" customHeight="1" hidden="1">
      <c r="A255" s="222" t="s">
        <v>1010</v>
      </c>
      <c r="B255" s="21"/>
      <c r="C255" s="22" t="s">
        <v>1015</v>
      </c>
      <c r="D255" s="22" t="s">
        <v>549</v>
      </c>
      <c r="E255" s="22" t="s">
        <v>1016</v>
      </c>
      <c r="F255" s="27" t="s">
        <v>1011</v>
      </c>
      <c r="G255" s="24"/>
      <c r="H255" s="24"/>
      <c r="I255" s="24" t="e">
        <f t="shared" si="7"/>
        <v>#DIV/0!</v>
      </c>
    </row>
    <row r="256" spans="1:9" ht="20.25" customHeight="1">
      <c r="A256" s="228" t="s">
        <v>554</v>
      </c>
      <c r="B256" s="34"/>
      <c r="C256" s="35" t="s">
        <v>663</v>
      </c>
      <c r="D256" s="35" t="s">
        <v>1026</v>
      </c>
      <c r="E256" s="35"/>
      <c r="F256" s="26"/>
      <c r="G256" s="24">
        <f>SUM(G257)</f>
        <v>411.2</v>
      </c>
      <c r="H256" s="24">
        <f>SUM(H257)</f>
        <v>4219.8</v>
      </c>
      <c r="I256" s="24">
        <f t="shared" si="7"/>
        <v>1026.215953307393</v>
      </c>
    </row>
    <row r="257" spans="1:9" ht="18.75" customHeight="1">
      <c r="A257" s="228" t="s">
        <v>554</v>
      </c>
      <c r="B257" s="34"/>
      <c r="C257" s="35" t="s">
        <v>663</v>
      </c>
      <c r="D257" s="35" t="s">
        <v>1026</v>
      </c>
      <c r="E257" s="35" t="s">
        <v>555</v>
      </c>
      <c r="F257" s="26"/>
      <c r="G257" s="24">
        <f>SUM(G258+G260)</f>
        <v>411.2</v>
      </c>
      <c r="H257" s="24">
        <f>SUM(H258+H260)</f>
        <v>4219.8</v>
      </c>
      <c r="I257" s="24">
        <f t="shared" si="7"/>
        <v>1026.215953307393</v>
      </c>
    </row>
    <row r="258" spans="1:9" ht="28.5">
      <c r="A258" s="222" t="s">
        <v>556</v>
      </c>
      <c r="B258" s="34"/>
      <c r="C258" s="35" t="s">
        <v>663</v>
      </c>
      <c r="D258" s="35" t="s">
        <v>1026</v>
      </c>
      <c r="E258" s="35" t="s">
        <v>557</v>
      </c>
      <c r="F258" s="26"/>
      <c r="G258" s="24">
        <f>SUM(G259:G259)</f>
        <v>411.2</v>
      </c>
      <c r="H258" s="24">
        <f>SUM(H259:H259)</f>
        <v>2142.4</v>
      </c>
      <c r="I258" s="24">
        <f t="shared" si="7"/>
        <v>521.011673151751</v>
      </c>
    </row>
    <row r="259" spans="1:9" ht="27.75" customHeight="1">
      <c r="A259" s="222" t="s">
        <v>1010</v>
      </c>
      <c r="B259" s="34"/>
      <c r="C259" s="35" t="s">
        <v>663</v>
      </c>
      <c r="D259" s="35" t="s">
        <v>1026</v>
      </c>
      <c r="E259" s="35" t="s">
        <v>557</v>
      </c>
      <c r="F259" s="26" t="s">
        <v>1011</v>
      </c>
      <c r="G259" s="24">
        <f>361+50.2</f>
        <v>411.2</v>
      </c>
      <c r="H259" s="24">
        <v>2142.4</v>
      </c>
      <c r="I259" s="24">
        <f t="shared" si="7"/>
        <v>521.011673151751</v>
      </c>
    </row>
    <row r="260" spans="1:9" ht="15" hidden="1">
      <c r="A260" s="222" t="s">
        <v>558</v>
      </c>
      <c r="B260" s="34"/>
      <c r="C260" s="35" t="s">
        <v>663</v>
      </c>
      <c r="D260" s="35" t="s">
        <v>1026</v>
      </c>
      <c r="E260" s="35" t="s">
        <v>559</v>
      </c>
      <c r="F260" s="26"/>
      <c r="G260" s="24">
        <f>SUM(G261)</f>
        <v>0</v>
      </c>
      <c r="H260" s="24">
        <f>SUM(H261)</f>
        <v>2077.4</v>
      </c>
      <c r="I260" s="24" t="e">
        <f t="shared" si="7"/>
        <v>#DIV/0!</v>
      </c>
    </row>
    <row r="261" spans="1:9" ht="15" hidden="1">
      <c r="A261" s="222" t="s">
        <v>1010</v>
      </c>
      <c r="B261" s="34"/>
      <c r="C261" s="35" t="s">
        <v>663</v>
      </c>
      <c r="D261" s="35" t="s">
        <v>1026</v>
      </c>
      <c r="E261" s="35" t="s">
        <v>559</v>
      </c>
      <c r="F261" s="26" t="s">
        <v>1011</v>
      </c>
      <c r="G261" s="24"/>
      <c r="H261" s="24">
        <v>2077.4</v>
      </c>
      <c r="I261" s="24" t="e">
        <f t="shared" si="7"/>
        <v>#DIV/0!</v>
      </c>
    </row>
    <row r="262" spans="1:9" ht="21" customHeight="1">
      <c r="A262" s="222" t="s">
        <v>1019</v>
      </c>
      <c r="B262" s="21"/>
      <c r="C262" s="22" t="s">
        <v>663</v>
      </c>
      <c r="D262" s="22" t="s">
        <v>1331</v>
      </c>
      <c r="E262" s="22"/>
      <c r="F262" s="26"/>
      <c r="G262" s="24">
        <f>SUM(G263+G274+G277+G280+G283+G298+G271)+G268+G266</f>
        <v>7368</v>
      </c>
      <c r="H262" s="24">
        <f>SUM(H263+H274+H277+H280+H283+H298+H271)+H268+H266</f>
        <v>7230.699999999999</v>
      </c>
      <c r="I262" s="24">
        <f t="shared" si="7"/>
        <v>98.13653637350704</v>
      </c>
    </row>
    <row r="263" spans="1:9" ht="15" hidden="1">
      <c r="A263" s="222" t="s">
        <v>572</v>
      </c>
      <c r="B263" s="21"/>
      <c r="C263" s="22" t="s">
        <v>663</v>
      </c>
      <c r="D263" s="22" t="s">
        <v>1331</v>
      </c>
      <c r="E263" s="22" t="s">
        <v>573</v>
      </c>
      <c r="F263" s="23"/>
      <c r="G263" s="24">
        <f>SUM(G264)</f>
        <v>0</v>
      </c>
      <c r="H263" s="24">
        <f>SUM(H264)</f>
        <v>2749.5</v>
      </c>
      <c r="I263" s="24" t="e">
        <f t="shared" si="7"/>
        <v>#DIV/0!</v>
      </c>
    </row>
    <row r="264" spans="1:9" ht="15" hidden="1">
      <c r="A264" s="222" t="s">
        <v>231</v>
      </c>
      <c r="B264" s="21"/>
      <c r="C264" s="22" t="s">
        <v>663</v>
      </c>
      <c r="D264" s="22" t="s">
        <v>1331</v>
      </c>
      <c r="E264" s="22" t="s">
        <v>232</v>
      </c>
      <c r="F264" s="23"/>
      <c r="G264" s="24">
        <f>SUM(G265)</f>
        <v>0</v>
      </c>
      <c r="H264" s="24">
        <f>SUM(H265)</f>
        <v>2749.5</v>
      </c>
      <c r="I264" s="24" t="e">
        <f aca="true" t="shared" si="9" ref="I264:I347">SUM(H264/G264*100)</f>
        <v>#DIV/0!</v>
      </c>
    </row>
    <row r="265" spans="1:9" ht="19.5" customHeight="1" hidden="1">
      <c r="A265" s="222" t="s">
        <v>1010</v>
      </c>
      <c r="B265" s="21"/>
      <c r="C265" s="22" t="s">
        <v>663</v>
      </c>
      <c r="D265" s="22" t="s">
        <v>1331</v>
      </c>
      <c r="E265" s="22" t="s">
        <v>232</v>
      </c>
      <c r="F265" s="23" t="s">
        <v>1011</v>
      </c>
      <c r="G265" s="24"/>
      <c r="H265" s="24">
        <v>2749.5</v>
      </c>
      <c r="I265" s="24" t="e">
        <f t="shared" si="9"/>
        <v>#DIV/0!</v>
      </c>
    </row>
    <row r="266" spans="1:9" ht="19.5" customHeight="1" hidden="1">
      <c r="A266" s="222" t="s">
        <v>233</v>
      </c>
      <c r="B266" s="21"/>
      <c r="C266" s="22" t="s">
        <v>663</v>
      </c>
      <c r="D266" s="22" t="s">
        <v>1331</v>
      </c>
      <c r="E266" s="22" t="s">
        <v>234</v>
      </c>
      <c r="F266" s="23"/>
      <c r="G266" s="24">
        <f>SUM(G267)</f>
        <v>0</v>
      </c>
      <c r="H266" s="24">
        <f>SUM(H267)</f>
        <v>0</v>
      </c>
      <c r="I266" s="24" t="e">
        <f t="shared" si="9"/>
        <v>#DIV/0!</v>
      </c>
    </row>
    <row r="267" spans="1:9" ht="19.5" customHeight="1" hidden="1">
      <c r="A267" s="222" t="s">
        <v>1010</v>
      </c>
      <c r="B267" s="21"/>
      <c r="C267" s="22" t="s">
        <v>663</v>
      </c>
      <c r="D267" s="22" t="s">
        <v>1331</v>
      </c>
      <c r="E267" s="22" t="s">
        <v>234</v>
      </c>
      <c r="F267" s="23" t="s">
        <v>1011</v>
      </c>
      <c r="G267" s="24"/>
      <c r="H267" s="24"/>
      <c r="I267" s="24" t="e">
        <f t="shared" si="9"/>
        <v>#DIV/0!</v>
      </c>
    </row>
    <row r="268" spans="1:9" ht="19.5" customHeight="1" hidden="1">
      <c r="A268" s="222" t="s">
        <v>572</v>
      </c>
      <c r="B268" s="21"/>
      <c r="C268" s="22" t="s">
        <v>663</v>
      </c>
      <c r="D268" s="22" t="s">
        <v>1331</v>
      </c>
      <c r="E268" s="22" t="s">
        <v>1007</v>
      </c>
      <c r="F268" s="26"/>
      <c r="G268" s="24">
        <f>SUM(G269)</f>
        <v>0</v>
      </c>
      <c r="H268" s="24">
        <f>SUM(H269)</f>
        <v>836.4</v>
      </c>
      <c r="I268" s="24" t="e">
        <f t="shared" si="9"/>
        <v>#DIV/0!</v>
      </c>
    </row>
    <row r="269" spans="1:9" ht="19.5" customHeight="1" hidden="1">
      <c r="A269" s="222" t="s">
        <v>235</v>
      </c>
      <c r="B269" s="21"/>
      <c r="C269" s="22" t="s">
        <v>663</v>
      </c>
      <c r="D269" s="22" t="s">
        <v>1331</v>
      </c>
      <c r="E269" s="22" t="s">
        <v>236</v>
      </c>
      <c r="F269" s="26"/>
      <c r="G269" s="24">
        <f>SUM(G270)</f>
        <v>0</v>
      </c>
      <c r="H269" s="24">
        <f>SUM(H270)</f>
        <v>836.4</v>
      </c>
      <c r="I269" s="24" t="e">
        <f t="shared" si="9"/>
        <v>#DIV/0!</v>
      </c>
    </row>
    <row r="270" spans="1:9" ht="19.5" customHeight="1" hidden="1">
      <c r="A270" s="234" t="s">
        <v>237</v>
      </c>
      <c r="B270" s="21"/>
      <c r="C270" s="22" t="s">
        <v>663</v>
      </c>
      <c r="D270" s="22" t="s">
        <v>1331</v>
      </c>
      <c r="E270" s="22" t="s">
        <v>236</v>
      </c>
      <c r="F270" s="26" t="s">
        <v>238</v>
      </c>
      <c r="G270" s="24"/>
      <c r="H270" s="24">
        <v>836.4</v>
      </c>
      <c r="I270" s="24" t="e">
        <f t="shared" si="9"/>
        <v>#DIV/0!</v>
      </c>
    </row>
    <row r="271" spans="1:9" ht="19.5" customHeight="1" hidden="1">
      <c r="A271" s="222" t="s">
        <v>567</v>
      </c>
      <c r="B271" s="21"/>
      <c r="C271" s="22" t="s">
        <v>663</v>
      </c>
      <c r="D271" s="22" t="s">
        <v>1331</v>
      </c>
      <c r="E271" s="22" t="s">
        <v>569</v>
      </c>
      <c r="F271" s="23"/>
      <c r="G271" s="24">
        <f>SUM(G273)</f>
        <v>0</v>
      </c>
      <c r="H271" s="24">
        <f>SUM(H273)</f>
        <v>536.9</v>
      </c>
      <c r="I271" s="24" t="e">
        <f t="shared" si="9"/>
        <v>#DIV/0!</v>
      </c>
    </row>
    <row r="272" spans="1:9" ht="19.5" customHeight="1" hidden="1">
      <c r="A272" s="222" t="s">
        <v>545</v>
      </c>
      <c r="B272" s="21"/>
      <c r="C272" s="22" t="s">
        <v>663</v>
      </c>
      <c r="D272" s="22" t="s">
        <v>1331</v>
      </c>
      <c r="E272" s="22" t="s">
        <v>546</v>
      </c>
      <c r="F272" s="23"/>
      <c r="G272" s="24">
        <f>SUM(G273)</f>
        <v>0</v>
      </c>
      <c r="H272" s="24">
        <f>SUM(H273)</f>
        <v>536.9</v>
      </c>
      <c r="I272" s="24" t="e">
        <f t="shared" si="9"/>
        <v>#DIV/0!</v>
      </c>
    </row>
    <row r="273" spans="1:9" ht="19.5" customHeight="1" hidden="1">
      <c r="A273" s="222" t="s">
        <v>1010</v>
      </c>
      <c r="B273" s="21"/>
      <c r="C273" s="22" t="s">
        <v>663</v>
      </c>
      <c r="D273" s="22" t="s">
        <v>1331</v>
      </c>
      <c r="E273" s="22" t="s">
        <v>546</v>
      </c>
      <c r="F273" s="23" t="s">
        <v>1011</v>
      </c>
      <c r="G273" s="24"/>
      <c r="H273" s="24">
        <f>423.2+113.7</f>
        <v>536.9</v>
      </c>
      <c r="I273" s="24" t="e">
        <f t="shared" si="9"/>
        <v>#DIV/0!</v>
      </c>
    </row>
    <row r="274" spans="1:9" ht="19.5" customHeight="1" hidden="1">
      <c r="A274" s="224" t="s">
        <v>239</v>
      </c>
      <c r="B274" s="21"/>
      <c r="C274" s="22" t="s">
        <v>663</v>
      </c>
      <c r="D274" s="22" t="s">
        <v>1331</v>
      </c>
      <c r="E274" s="22" t="s">
        <v>1033</v>
      </c>
      <c r="F274" s="23"/>
      <c r="G274" s="24">
        <f>SUM(G275)</f>
        <v>0</v>
      </c>
      <c r="H274" s="24">
        <f>SUM(H275)</f>
        <v>917.7</v>
      </c>
      <c r="I274" s="24" t="e">
        <f t="shared" si="9"/>
        <v>#DIV/0!</v>
      </c>
    </row>
    <row r="275" spans="1:9" ht="19.5" customHeight="1" hidden="1">
      <c r="A275" s="224" t="s">
        <v>1034</v>
      </c>
      <c r="B275" s="21"/>
      <c r="C275" s="22" t="s">
        <v>663</v>
      </c>
      <c r="D275" s="22" t="s">
        <v>1331</v>
      </c>
      <c r="E275" s="22" t="s">
        <v>240</v>
      </c>
      <c r="F275" s="23"/>
      <c r="G275" s="24">
        <f>SUM(G276)</f>
        <v>0</v>
      </c>
      <c r="H275" s="24">
        <f>SUM(H276)</f>
        <v>917.7</v>
      </c>
      <c r="I275" s="24" t="e">
        <f t="shared" si="9"/>
        <v>#DIV/0!</v>
      </c>
    </row>
    <row r="276" spans="1:9" ht="19.5" customHeight="1" hidden="1">
      <c r="A276" s="222" t="s">
        <v>1010</v>
      </c>
      <c r="B276" s="21"/>
      <c r="C276" s="22" t="s">
        <v>663</v>
      </c>
      <c r="D276" s="22" t="s">
        <v>1331</v>
      </c>
      <c r="E276" s="22" t="s">
        <v>240</v>
      </c>
      <c r="F276" s="23" t="s">
        <v>1011</v>
      </c>
      <c r="G276" s="24"/>
      <c r="H276" s="24">
        <v>917.7</v>
      </c>
      <c r="I276" s="24" t="e">
        <f t="shared" si="9"/>
        <v>#DIV/0!</v>
      </c>
    </row>
    <row r="277" spans="1:9" ht="33" customHeight="1">
      <c r="A277" s="222" t="s">
        <v>1021</v>
      </c>
      <c r="B277" s="21"/>
      <c r="C277" s="22" t="s">
        <v>663</v>
      </c>
      <c r="D277" s="22" t="s">
        <v>1331</v>
      </c>
      <c r="E277" s="22" t="s">
        <v>1022</v>
      </c>
      <c r="F277" s="27"/>
      <c r="G277" s="24">
        <f>SUM(G278)</f>
        <v>4917.9</v>
      </c>
      <c r="H277" s="24">
        <f>SUM(H278)</f>
        <v>872.8</v>
      </c>
      <c r="I277" s="24">
        <f t="shared" si="9"/>
        <v>17.747412513471197</v>
      </c>
    </row>
    <row r="278" spans="1:9" ht="19.5" customHeight="1">
      <c r="A278" s="222" t="s">
        <v>1023</v>
      </c>
      <c r="B278" s="21"/>
      <c r="C278" s="22" t="s">
        <v>663</v>
      </c>
      <c r="D278" s="22" t="s">
        <v>1331</v>
      </c>
      <c r="E278" s="22" t="s">
        <v>241</v>
      </c>
      <c r="F278" s="27"/>
      <c r="G278" s="24">
        <f>SUM(G279)</f>
        <v>4917.9</v>
      </c>
      <c r="H278" s="24">
        <f>SUM(H279)</f>
        <v>872.8</v>
      </c>
      <c r="I278" s="24">
        <f t="shared" si="9"/>
        <v>17.747412513471197</v>
      </c>
    </row>
    <row r="279" spans="1:9" ht="27" customHeight="1">
      <c r="A279" s="222" t="s">
        <v>1010</v>
      </c>
      <c r="B279" s="21"/>
      <c r="C279" s="22" t="s">
        <v>663</v>
      </c>
      <c r="D279" s="22" t="s">
        <v>1331</v>
      </c>
      <c r="E279" s="22" t="s">
        <v>241</v>
      </c>
      <c r="F279" s="27" t="s">
        <v>1011</v>
      </c>
      <c r="G279" s="24">
        <v>4917.9</v>
      </c>
      <c r="H279" s="24">
        <v>872.8</v>
      </c>
      <c r="I279" s="24">
        <f t="shared" si="9"/>
        <v>17.747412513471197</v>
      </c>
    </row>
    <row r="280" spans="1:9" ht="28.5" hidden="1">
      <c r="A280" s="228" t="s">
        <v>242</v>
      </c>
      <c r="B280" s="21"/>
      <c r="C280" s="22" t="s">
        <v>663</v>
      </c>
      <c r="D280" s="22" t="s">
        <v>1331</v>
      </c>
      <c r="E280" s="22" t="s">
        <v>605</v>
      </c>
      <c r="F280" s="23"/>
      <c r="G280" s="24">
        <f>SUM(G282)</f>
        <v>0</v>
      </c>
      <c r="H280" s="24">
        <f>SUM(H282)</f>
        <v>0</v>
      </c>
      <c r="I280" s="24" t="e">
        <f t="shared" si="9"/>
        <v>#DIV/0!</v>
      </c>
    </row>
    <row r="281" spans="1:9" ht="28.5" hidden="1">
      <c r="A281" s="228" t="s">
        <v>1051</v>
      </c>
      <c r="B281" s="21"/>
      <c r="C281" s="22" t="s">
        <v>663</v>
      </c>
      <c r="D281" s="22" t="s">
        <v>1331</v>
      </c>
      <c r="E281" s="22" t="s">
        <v>1052</v>
      </c>
      <c r="F281" s="23"/>
      <c r="G281" s="24">
        <f>SUM(G282)</f>
        <v>0</v>
      </c>
      <c r="H281" s="24">
        <f>SUM(H282)</f>
        <v>0</v>
      </c>
      <c r="I281" s="24" t="e">
        <f t="shared" si="9"/>
        <v>#DIV/0!</v>
      </c>
    </row>
    <row r="282" spans="1:9" ht="15" hidden="1">
      <c r="A282" s="228" t="s">
        <v>1053</v>
      </c>
      <c r="B282" s="21"/>
      <c r="C282" s="22" t="s">
        <v>663</v>
      </c>
      <c r="D282" s="22" t="s">
        <v>1331</v>
      </c>
      <c r="E282" s="22" t="s">
        <v>1052</v>
      </c>
      <c r="F282" s="23" t="s">
        <v>1054</v>
      </c>
      <c r="G282" s="24"/>
      <c r="H282" s="24"/>
      <c r="I282" s="24" t="e">
        <f t="shared" si="9"/>
        <v>#DIV/0!</v>
      </c>
    </row>
    <row r="283" spans="1:9" ht="28.5">
      <c r="A283" s="228" t="s">
        <v>1041</v>
      </c>
      <c r="B283" s="21"/>
      <c r="C283" s="22" t="s">
        <v>663</v>
      </c>
      <c r="D283" s="22" t="s">
        <v>1331</v>
      </c>
      <c r="E283" s="35" t="s">
        <v>1055</v>
      </c>
      <c r="F283" s="26"/>
      <c r="G283" s="24">
        <f>SUM(G284)</f>
        <v>2450.1</v>
      </c>
      <c r="H283" s="24">
        <f>SUM(H284)</f>
        <v>1317.4</v>
      </c>
      <c r="I283" s="24">
        <f t="shared" si="9"/>
        <v>53.769233908820055</v>
      </c>
    </row>
    <row r="284" spans="1:9" ht="27.75" customHeight="1">
      <c r="A284" s="222" t="s">
        <v>811</v>
      </c>
      <c r="B284" s="21"/>
      <c r="C284" s="22" t="s">
        <v>663</v>
      </c>
      <c r="D284" s="22" t="s">
        <v>1331</v>
      </c>
      <c r="E284" s="35" t="s">
        <v>1231</v>
      </c>
      <c r="F284" s="26"/>
      <c r="G284" s="24">
        <f>SUM(G287+G289)</f>
        <v>2450.1</v>
      </c>
      <c r="H284" s="24">
        <f>SUM(H288)</f>
        <v>1317.4</v>
      </c>
      <c r="I284" s="24">
        <f t="shared" si="9"/>
        <v>53.769233908820055</v>
      </c>
    </row>
    <row r="285" spans="1:9" ht="19.5" customHeight="1" hidden="1">
      <c r="A285" s="222" t="s">
        <v>1044</v>
      </c>
      <c r="B285" s="21"/>
      <c r="C285" s="22" t="s">
        <v>663</v>
      </c>
      <c r="D285" s="22" t="s">
        <v>1331</v>
      </c>
      <c r="E285" s="22" t="s">
        <v>982</v>
      </c>
      <c r="F285" s="23"/>
      <c r="G285" s="24">
        <f>SUM(G286)</f>
        <v>0</v>
      </c>
      <c r="H285" s="24">
        <v>41.9</v>
      </c>
      <c r="I285" s="24" t="e">
        <f t="shared" si="9"/>
        <v>#DIV/0!</v>
      </c>
    </row>
    <row r="286" spans="1:9" ht="19.5" customHeight="1" hidden="1">
      <c r="A286" s="222" t="s">
        <v>813</v>
      </c>
      <c r="B286" s="21"/>
      <c r="C286" s="22" t="s">
        <v>663</v>
      </c>
      <c r="D286" s="22" t="s">
        <v>1331</v>
      </c>
      <c r="E286" s="35" t="s">
        <v>982</v>
      </c>
      <c r="F286" s="26" t="s">
        <v>1300</v>
      </c>
      <c r="G286" s="24"/>
      <c r="H286" s="24">
        <v>1317.4</v>
      </c>
      <c r="I286" s="24" t="e">
        <f>SUM(H286/G286*100)</f>
        <v>#DIV/0!</v>
      </c>
    </row>
    <row r="287" spans="1:9" ht="28.5">
      <c r="A287" s="222" t="s">
        <v>1232</v>
      </c>
      <c r="B287" s="21"/>
      <c r="C287" s="22" t="s">
        <v>663</v>
      </c>
      <c r="D287" s="22" t="s">
        <v>1331</v>
      </c>
      <c r="E287" s="35" t="s">
        <v>1233</v>
      </c>
      <c r="F287" s="26"/>
      <c r="G287" s="24">
        <f>SUM(G288)</f>
        <v>2318.1</v>
      </c>
      <c r="H287" s="24"/>
      <c r="I287" s="24"/>
    </row>
    <row r="288" spans="1:9" ht="52.5" customHeight="1">
      <c r="A288" s="222" t="s">
        <v>812</v>
      </c>
      <c r="B288" s="21"/>
      <c r="C288" s="22" t="s">
        <v>663</v>
      </c>
      <c r="D288" s="22" t="s">
        <v>1331</v>
      </c>
      <c r="E288" s="35" t="s">
        <v>1233</v>
      </c>
      <c r="F288" s="26" t="s">
        <v>897</v>
      </c>
      <c r="G288" s="24">
        <v>2318.1</v>
      </c>
      <c r="H288" s="24">
        <v>1317.4</v>
      </c>
      <c r="I288" s="24">
        <f t="shared" si="9"/>
        <v>56.83102540873992</v>
      </c>
    </row>
    <row r="289" spans="1:9" ht="21.75" customHeight="1">
      <c r="A289" s="222" t="s">
        <v>1126</v>
      </c>
      <c r="B289" s="21"/>
      <c r="C289" s="22" t="s">
        <v>663</v>
      </c>
      <c r="D289" s="22" t="s">
        <v>1331</v>
      </c>
      <c r="E289" s="22" t="s">
        <v>579</v>
      </c>
      <c r="F289" s="23"/>
      <c r="G289" s="24">
        <f>SUM(G292+G294+G296)+G290</f>
        <v>132</v>
      </c>
      <c r="H289" s="24"/>
      <c r="I289" s="24"/>
    </row>
    <row r="290" spans="1:9" ht="32.25" customHeight="1">
      <c r="A290" s="234" t="s">
        <v>729</v>
      </c>
      <c r="B290" s="21"/>
      <c r="C290" s="22" t="s">
        <v>663</v>
      </c>
      <c r="D290" s="22" t="s">
        <v>1331</v>
      </c>
      <c r="E290" s="22" t="s">
        <v>744</v>
      </c>
      <c r="F290" s="23"/>
      <c r="G290" s="24">
        <f>SUM(G291)</f>
        <v>32</v>
      </c>
      <c r="H290" s="24"/>
      <c r="I290" s="24"/>
    </row>
    <row r="291" spans="1:9" ht="30" customHeight="1">
      <c r="A291" s="222" t="s">
        <v>1126</v>
      </c>
      <c r="B291" s="21"/>
      <c r="C291" s="22" t="s">
        <v>663</v>
      </c>
      <c r="D291" s="22" t="s">
        <v>1331</v>
      </c>
      <c r="E291" s="22" t="s">
        <v>744</v>
      </c>
      <c r="F291" s="23" t="s">
        <v>978</v>
      </c>
      <c r="G291" s="24">
        <v>32</v>
      </c>
      <c r="H291" s="24"/>
      <c r="I291" s="24"/>
    </row>
    <row r="292" spans="1:9" ht="38.25" customHeight="1">
      <c r="A292" s="222" t="s">
        <v>845</v>
      </c>
      <c r="B292" s="21"/>
      <c r="C292" s="22" t="s">
        <v>663</v>
      </c>
      <c r="D292" s="22" t="s">
        <v>1331</v>
      </c>
      <c r="E292" s="22" t="s">
        <v>580</v>
      </c>
      <c r="F292" s="23"/>
      <c r="G292" s="24">
        <f>SUM(G293)</f>
        <v>45</v>
      </c>
      <c r="H292" s="24"/>
      <c r="I292" s="24"/>
    </row>
    <row r="293" spans="1:9" ht="29.25" customHeight="1">
      <c r="A293" s="222" t="s">
        <v>1126</v>
      </c>
      <c r="B293" s="21"/>
      <c r="C293" s="22" t="s">
        <v>663</v>
      </c>
      <c r="D293" s="22" t="s">
        <v>1331</v>
      </c>
      <c r="E293" s="22" t="s">
        <v>580</v>
      </c>
      <c r="F293" s="23" t="s">
        <v>978</v>
      </c>
      <c r="G293" s="24">
        <v>45</v>
      </c>
      <c r="H293" s="24"/>
      <c r="I293" s="24"/>
    </row>
    <row r="294" spans="1:9" ht="38.25" customHeight="1">
      <c r="A294" s="222" t="s">
        <v>578</v>
      </c>
      <c r="B294" s="21"/>
      <c r="C294" s="22" t="s">
        <v>663</v>
      </c>
      <c r="D294" s="22" t="s">
        <v>1331</v>
      </c>
      <c r="E294" s="22" t="s">
        <v>577</v>
      </c>
      <c r="F294" s="23"/>
      <c r="G294" s="24">
        <f>SUM(G295)</f>
        <v>15</v>
      </c>
      <c r="H294" s="24"/>
      <c r="I294" s="24"/>
    </row>
    <row r="295" spans="1:9" ht="29.25" customHeight="1">
      <c r="A295" s="222" t="s">
        <v>1126</v>
      </c>
      <c r="B295" s="21"/>
      <c r="C295" s="22" t="s">
        <v>663</v>
      </c>
      <c r="D295" s="22" t="s">
        <v>1331</v>
      </c>
      <c r="E295" s="22" t="s">
        <v>577</v>
      </c>
      <c r="F295" s="23" t="s">
        <v>978</v>
      </c>
      <c r="G295" s="24">
        <v>15</v>
      </c>
      <c r="H295" s="24"/>
      <c r="I295" s="24"/>
    </row>
    <row r="296" spans="1:9" ht="29.25" customHeight="1">
      <c r="A296" s="222" t="s">
        <v>1261</v>
      </c>
      <c r="B296" s="21"/>
      <c r="C296" s="22" t="s">
        <v>663</v>
      </c>
      <c r="D296" s="22" t="s">
        <v>1331</v>
      </c>
      <c r="E296" s="22" t="s">
        <v>1262</v>
      </c>
      <c r="F296" s="23"/>
      <c r="G296" s="24">
        <f>SUM(G297)</f>
        <v>40</v>
      </c>
      <c r="H296" s="24"/>
      <c r="I296" s="24"/>
    </row>
    <row r="297" spans="1:9" ht="29.25" customHeight="1">
      <c r="A297" s="222" t="s">
        <v>1126</v>
      </c>
      <c r="B297" s="21"/>
      <c r="C297" s="22" t="s">
        <v>663</v>
      </c>
      <c r="D297" s="22" t="s">
        <v>1331</v>
      </c>
      <c r="E297" s="22" t="s">
        <v>1262</v>
      </c>
      <c r="F297" s="23" t="s">
        <v>978</v>
      </c>
      <c r="G297" s="24">
        <v>40</v>
      </c>
      <c r="H297" s="24"/>
      <c r="I297" s="24"/>
    </row>
    <row r="298" spans="1:9" s="2" customFormat="1" ht="19.5" customHeight="1" hidden="1">
      <c r="A298" s="280" t="s">
        <v>1046</v>
      </c>
      <c r="B298" s="281"/>
      <c r="C298" s="282" t="s">
        <v>663</v>
      </c>
      <c r="D298" s="282" t="s">
        <v>1331</v>
      </c>
      <c r="E298" s="282" t="s">
        <v>1047</v>
      </c>
      <c r="F298" s="283"/>
      <c r="G298" s="284">
        <f>SUM(G299)</f>
        <v>0</v>
      </c>
      <c r="H298" s="284">
        <f>SUM(H299)</f>
        <v>0</v>
      </c>
      <c r="I298" s="284" t="e">
        <f t="shared" si="9"/>
        <v>#DIV/0!</v>
      </c>
    </row>
    <row r="299" spans="1:9" s="2" customFormat="1" ht="19.5" customHeight="1" hidden="1">
      <c r="A299" s="280" t="s">
        <v>1010</v>
      </c>
      <c r="B299" s="281"/>
      <c r="C299" s="282" t="s">
        <v>663</v>
      </c>
      <c r="D299" s="282" t="s">
        <v>1331</v>
      </c>
      <c r="E299" s="282" t="s">
        <v>1047</v>
      </c>
      <c r="F299" s="283" t="s">
        <v>1011</v>
      </c>
      <c r="G299" s="284">
        <f>SUM(G300:G301)</f>
        <v>0</v>
      </c>
      <c r="H299" s="284">
        <f>SUM(H300:H301)</f>
        <v>0</v>
      </c>
      <c r="I299" s="284" t="e">
        <f t="shared" si="9"/>
        <v>#DIV/0!</v>
      </c>
    </row>
    <row r="300" spans="1:9" ht="19.5" customHeight="1" hidden="1">
      <c r="A300" s="222" t="s">
        <v>1057</v>
      </c>
      <c r="B300" s="21"/>
      <c r="C300" s="22" t="s">
        <v>663</v>
      </c>
      <c r="D300" s="22" t="s">
        <v>1331</v>
      </c>
      <c r="E300" s="22" t="s">
        <v>1058</v>
      </c>
      <c r="F300" s="27" t="s">
        <v>1011</v>
      </c>
      <c r="G300" s="24"/>
      <c r="H300" s="24"/>
      <c r="I300" s="24" t="e">
        <f t="shared" si="9"/>
        <v>#DIV/0!</v>
      </c>
    </row>
    <row r="301" spans="1:9" ht="19.5" customHeight="1" hidden="1">
      <c r="A301" s="222" t="s">
        <v>1059</v>
      </c>
      <c r="B301" s="21"/>
      <c r="C301" s="22" t="s">
        <v>663</v>
      </c>
      <c r="D301" s="22" t="s">
        <v>571</v>
      </c>
      <c r="E301" s="22" t="s">
        <v>1060</v>
      </c>
      <c r="F301" s="27" t="s">
        <v>1011</v>
      </c>
      <c r="G301" s="24"/>
      <c r="H301" s="24"/>
      <c r="I301" s="24" t="e">
        <f t="shared" si="9"/>
        <v>#DIV/0!</v>
      </c>
    </row>
    <row r="302" spans="1:11" ht="24.75" customHeight="1">
      <c r="A302" s="222" t="s">
        <v>1061</v>
      </c>
      <c r="B302" s="21"/>
      <c r="C302" s="35" t="s">
        <v>1013</v>
      </c>
      <c r="D302" s="35"/>
      <c r="E302" s="35"/>
      <c r="F302" s="26"/>
      <c r="G302" s="24">
        <f>SUM(G307)+G303+G325</f>
        <v>25573.999999999996</v>
      </c>
      <c r="H302" s="24">
        <f>SUM(H307)+H304+H325</f>
        <v>15879.199999999997</v>
      </c>
      <c r="I302" s="24">
        <f t="shared" si="9"/>
        <v>62.09118636114804</v>
      </c>
      <c r="K302">
        <f>5047.3+20526.7</f>
        <v>25574</v>
      </c>
    </row>
    <row r="303" spans="1:9" s="36" customFormat="1" ht="18.75" customHeight="1">
      <c r="A303" s="222" t="s">
        <v>900</v>
      </c>
      <c r="B303" s="34"/>
      <c r="C303" s="35" t="s">
        <v>1013</v>
      </c>
      <c r="D303" s="35" t="s">
        <v>1037</v>
      </c>
      <c r="E303" s="35"/>
      <c r="F303" s="26"/>
      <c r="G303" s="24">
        <f>SUM(G305)</f>
        <v>5047.3</v>
      </c>
      <c r="H303" s="24">
        <f>SUM(H305)</f>
        <v>0</v>
      </c>
      <c r="I303" s="24">
        <f t="shared" si="9"/>
        <v>0</v>
      </c>
    </row>
    <row r="304" spans="1:9" s="36" customFormat="1" ht="27.75" customHeight="1">
      <c r="A304" s="228" t="s">
        <v>572</v>
      </c>
      <c r="B304" s="34"/>
      <c r="C304" s="35" t="s">
        <v>1013</v>
      </c>
      <c r="D304" s="35" t="s">
        <v>1037</v>
      </c>
      <c r="E304" s="35" t="s">
        <v>573</v>
      </c>
      <c r="F304" s="26"/>
      <c r="G304" s="24">
        <f>SUM(G305)</f>
        <v>5047.3</v>
      </c>
      <c r="H304" s="24"/>
      <c r="I304" s="24"/>
    </row>
    <row r="305" spans="1:9" s="36" customFormat="1" ht="15">
      <c r="A305" s="228" t="s">
        <v>231</v>
      </c>
      <c r="B305" s="34"/>
      <c r="C305" s="35" t="s">
        <v>1013</v>
      </c>
      <c r="D305" s="35" t="s">
        <v>1037</v>
      </c>
      <c r="E305" s="35" t="s">
        <v>232</v>
      </c>
      <c r="F305" s="26"/>
      <c r="G305" s="24">
        <f>SUM(G306)</f>
        <v>5047.3</v>
      </c>
      <c r="H305" s="24">
        <f>SUM(H306)</f>
        <v>0</v>
      </c>
      <c r="I305" s="24">
        <f t="shared" si="9"/>
        <v>0</v>
      </c>
    </row>
    <row r="306" spans="1:9" s="36" customFormat="1" ht="15">
      <c r="A306" s="228" t="s">
        <v>1010</v>
      </c>
      <c r="B306" s="34"/>
      <c r="C306" s="35" t="s">
        <v>1013</v>
      </c>
      <c r="D306" s="35" t="s">
        <v>1037</v>
      </c>
      <c r="E306" s="35" t="s">
        <v>232</v>
      </c>
      <c r="F306" s="26" t="s">
        <v>1011</v>
      </c>
      <c r="G306" s="24">
        <v>5047.3</v>
      </c>
      <c r="H306" s="24"/>
      <c r="I306" s="24">
        <f t="shared" si="9"/>
        <v>0</v>
      </c>
    </row>
    <row r="307" spans="1:9" ht="39.75" customHeight="1">
      <c r="A307" s="224" t="s">
        <v>388</v>
      </c>
      <c r="B307" s="21"/>
      <c r="C307" s="35" t="s">
        <v>1013</v>
      </c>
      <c r="D307" s="35" t="s">
        <v>389</v>
      </c>
      <c r="E307" s="35"/>
      <c r="F307" s="26"/>
      <c r="G307" s="24">
        <f>SUM(G311+G316+G319+G322)+G309+G329</f>
        <v>20526.699999999997</v>
      </c>
      <c r="H307" s="24">
        <f>SUM(H311+H316+H319+H322)+H309</f>
        <v>15879.199999999997</v>
      </c>
      <c r="I307" s="24">
        <f t="shared" si="9"/>
        <v>77.35875713095626</v>
      </c>
    </row>
    <row r="308" spans="1:9" s="53" customFormat="1" ht="19.5" customHeight="1" hidden="1">
      <c r="A308" s="222" t="s">
        <v>567</v>
      </c>
      <c r="B308" s="21"/>
      <c r="C308" s="35" t="s">
        <v>1013</v>
      </c>
      <c r="D308" s="35" t="s">
        <v>389</v>
      </c>
      <c r="E308" s="35" t="s">
        <v>569</v>
      </c>
      <c r="F308" s="26"/>
      <c r="G308" s="24">
        <f>SUM(G309)</f>
        <v>0</v>
      </c>
      <c r="H308" s="24">
        <f>SUM(H309)</f>
        <v>0</v>
      </c>
      <c r="I308" s="24" t="e">
        <f t="shared" si="9"/>
        <v>#DIV/0!</v>
      </c>
    </row>
    <row r="309" spans="1:9" ht="19.5" customHeight="1" hidden="1">
      <c r="A309" s="222" t="s">
        <v>545</v>
      </c>
      <c r="B309" s="21"/>
      <c r="C309" s="35" t="s">
        <v>1013</v>
      </c>
      <c r="D309" s="35" t="s">
        <v>389</v>
      </c>
      <c r="E309" s="35" t="s">
        <v>546</v>
      </c>
      <c r="F309" s="26"/>
      <c r="G309" s="24">
        <f>SUM(G310)</f>
        <v>0</v>
      </c>
      <c r="H309" s="24">
        <f>SUM(H310)</f>
        <v>0</v>
      </c>
      <c r="I309" s="24" t="e">
        <f t="shared" si="9"/>
        <v>#DIV/0!</v>
      </c>
    </row>
    <row r="310" spans="1:9" ht="15" hidden="1">
      <c r="A310" s="222" t="s">
        <v>1010</v>
      </c>
      <c r="B310" s="21"/>
      <c r="C310" s="35" t="s">
        <v>1013</v>
      </c>
      <c r="D310" s="35" t="s">
        <v>389</v>
      </c>
      <c r="E310" s="35" t="s">
        <v>546</v>
      </c>
      <c r="F310" s="26" t="s">
        <v>1011</v>
      </c>
      <c r="G310" s="24"/>
      <c r="H310" s="24"/>
      <c r="I310" s="24" t="e">
        <f t="shared" si="9"/>
        <v>#DIV/0!</v>
      </c>
    </row>
    <row r="311" spans="1:9" ht="34.5" customHeight="1">
      <c r="A311" s="224" t="s">
        <v>390</v>
      </c>
      <c r="B311" s="21"/>
      <c r="C311" s="35" t="s">
        <v>1013</v>
      </c>
      <c r="D311" s="35" t="s">
        <v>389</v>
      </c>
      <c r="E311" s="35" t="s">
        <v>391</v>
      </c>
      <c r="F311" s="26"/>
      <c r="G311" s="24">
        <f>SUM(G312+G314)</f>
        <v>5932.8</v>
      </c>
      <c r="H311" s="24">
        <f>SUM(H312+H314)</f>
        <v>10264.099999999999</v>
      </c>
      <c r="I311" s="24">
        <f t="shared" si="9"/>
        <v>173.0060005393743</v>
      </c>
    </row>
    <row r="312" spans="1:9" ht="28.5">
      <c r="A312" s="224" t="s">
        <v>392</v>
      </c>
      <c r="B312" s="21"/>
      <c r="C312" s="35" t="s">
        <v>1013</v>
      </c>
      <c r="D312" s="35" t="s">
        <v>389</v>
      </c>
      <c r="E312" s="35" t="s">
        <v>393</v>
      </c>
      <c r="F312" s="26"/>
      <c r="G312" s="24">
        <f>SUM(G313)</f>
        <v>1932.8</v>
      </c>
      <c r="H312" s="24">
        <f>SUM(H313)</f>
        <v>438.8</v>
      </c>
      <c r="I312" s="24">
        <f t="shared" si="9"/>
        <v>22.702814569536425</v>
      </c>
    </row>
    <row r="313" spans="1:9" ht="15">
      <c r="A313" s="222" t="s">
        <v>1010</v>
      </c>
      <c r="B313" s="21"/>
      <c r="C313" s="35" t="s">
        <v>1013</v>
      </c>
      <c r="D313" s="35" t="s">
        <v>389</v>
      </c>
      <c r="E313" s="35" t="s">
        <v>393</v>
      </c>
      <c r="F313" s="26" t="s">
        <v>1011</v>
      </c>
      <c r="G313" s="24">
        <v>1932.8</v>
      </c>
      <c r="H313" s="24">
        <v>438.8</v>
      </c>
      <c r="I313" s="24">
        <f t="shared" si="9"/>
        <v>22.702814569536425</v>
      </c>
    </row>
    <row r="314" spans="1:9" ht="28.5">
      <c r="A314" s="222" t="s">
        <v>777</v>
      </c>
      <c r="B314" s="21"/>
      <c r="C314" s="35" t="s">
        <v>1013</v>
      </c>
      <c r="D314" s="35" t="s">
        <v>389</v>
      </c>
      <c r="E314" s="35" t="s">
        <v>778</v>
      </c>
      <c r="F314" s="35"/>
      <c r="G314" s="24">
        <f>SUM(G315)</f>
        <v>4000</v>
      </c>
      <c r="H314" s="24">
        <f>SUM(H315)</f>
        <v>9825.3</v>
      </c>
      <c r="I314" s="24">
        <f t="shared" si="9"/>
        <v>245.63249999999996</v>
      </c>
    </row>
    <row r="315" spans="1:9" ht="15">
      <c r="A315" s="222" t="s">
        <v>565</v>
      </c>
      <c r="B315" s="21"/>
      <c r="C315" s="35" t="s">
        <v>1013</v>
      </c>
      <c r="D315" s="35" t="s">
        <v>389</v>
      </c>
      <c r="E315" s="35" t="s">
        <v>778</v>
      </c>
      <c r="F315" s="35" t="s">
        <v>566</v>
      </c>
      <c r="G315" s="24">
        <v>4000</v>
      </c>
      <c r="H315" s="24">
        <v>9825.3</v>
      </c>
      <c r="I315" s="24">
        <f t="shared" si="9"/>
        <v>245.63249999999996</v>
      </c>
    </row>
    <row r="316" spans="1:9" ht="15">
      <c r="A316" s="224" t="s">
        <v>779</v>
      </c>
      <c r="B316" s="45"/>
      <c r="C316" s="45" t="s">
        <v>1013</v>
      </c>
      <c r="D316" s="45" t="s">
        <v>389</v>
      </c>
      <c r="E316" s="45" t="s">
        <v>780</v>
      </c>
      <c r="F316" s="50"/>
      <c r="G316" s="24">
        <f>SUM(G317)</f>
        <v>188.4</v>
      </c>
      <c r="H316" s="24">
        <f>SUM(H317)</f>
        <v>227.3</v>
      </c>
      <c r="I316" s="24">
        <f t="shared" si="9"/>
        <v>120.6475583864119</v>
      </c>
    </row>
    <row r="317" spans="1:9" ht="27" customHeight="1">
      <c r="A317" s="224" t="s">
        <v>781</v>
      </c>
      <c r="B317" s="45"/>
      <c r="C317" s="46" t="s">
        <v>1013</v>
      </c>
      <c r="D317" s="46" t="s">
        <v>389</v>
      </c>
      <c r="E317" s="46" t="s">
        <v>782</v>
      </c>
      <c r="F317" s="47"/>
      <c r="G317" s="24">
        <f>SUM(G318)</f>
        <v>188.4</v>
      </c>
      <c r="H317" s="24">
        <f>SUM(H318)</f>
        <v>227.3</v>
      </c>
      <c r="I317" s="24">
        <f t="shared" si="9"/>
        <v>120.6475583864119</v>
      </c>
    </row>
    <row r="318" spans="1:9" ht="19.5" customHeight="1">
      <c r="A318" s="222" t="s">
        <v>1010</v>
      </c>
      <c r="B318" s="45"/>
      <c r="C318" s="46" t="s">
        <v>1013</v>
      </c>
      <c r="D318" s="46" t="s">
        <v>389</v>
      </c>
      <c r="E318" s="46" t="s">
        <v>782</v>
      </c>
      <c r="F318" s="47" t="s">
        <v>1011</v>
      </c>
      <c r="G318" s="24">
        <v>188.4</v>
      </c>
      <c r="H318" s="24">
        <v>227.3</v>
      </c>
      <c r="I318" s="24">
        <f t="shared" si="9"/>
        <v>120.6475583864119</v>
      </c>
    </row>
    <row r="319" spans="1:9" ht="28.5">
      <c r="A319" s="222" t="s">
        <v>896</v>
      </c>
      <c r="B319" s="21"/>
      <c r="C319" s="35" t="s">
        <v>1013</v>
      </c>
      <c r="D319" s="35" t="s">
        <v>389</v>
      </c>
      <c r="E319" s="35" t="s">
        <v>783</v>
      </c>
      <c r="F319" s="26"/>
      <c r="G319" s="24">
        <f>SUM(G320)</f>
        <v>12468.4</v>
      </c>
      <c r="H319" s="24">
        <f>SUM(H320)</f>
        <v>5387.8</v>
      </c>
      <c r="I319" s="24">
        <f t="shared" si="9"/>
        <v>43.21163902345128</v>
      </c>
    </row>
    <row r="320" spans="1:9" ht="28.5">
      <c r="A320" s="222" t="s">
        <v>894</v>
      </c>
      <c r="B320" s="21"/>
      <c r="C320" s="35" t="s">
        <v>1013</v>
      </c>
      <c r="D320" s="35" t="s">
        <v>389</v>
      </c>
      <c r="E320" s="35" t="s">
        <v>784</v>
      </c>
      <c r="F320" s="26"/>
      <c r="G320" s="24">
        <f>SUM(G321)</f>
        <v>12468.4</v>
      </c>
      <c r="H320" s="24">
        <f>SUM(H321)</f>
        <v>5387.8</v>
      </c>
      <c r="I320" s="24">
        <f t="shared" si="9"/>
        <v>43.21163902345128</v>
      </c>
    </row>
    <row r="321" spans="1:9" ht="18" customHeight="1">
      <c r="A321" s="234" t="s">
        <v>895</v>
      </c>
      <c r="B321" s="51"/>
      <c r="C321" s="52" t="s">
        <v>1013</v>
      </c>
      <c r="D321" s="52" t="s">
        <v>389</v>
      </c>
      <c r="E321" s="52" t="s">
        <v>784</v>
      </c>
      <c r="F321" s="27" t="s">
        <v>238</v>
      </c>
      <c r="G321" s="24">
        <v>12468.4</v>
      </c>
      <c r="H321" s="24">
        <v>5387.8</v>
      </c>
      <c r="I321" s="24">
        <f t="shared" si="9"/>
        <v>43.21163902345128</v>
      </c>
    </row>
    <row r="322" spans="1:9" ht="19.5" customHeight="1" hidden="1">
      <c r="A322" s="222" t="s">
        <v>785</v>
      </c>
      <c r="B322" s="51"/>
      <c r="C322" s="52" t="s">
        <v>1013</v>
      </c>
      <c r="D322" s="52" t="s">
        <v>389</v>
      </c>
      <c r="E322" s="52" t="s">
        <v>786</v>
      </c>
      <c r="F322" s="27"/>
      <c r="G322" s="24">
        <f>SUM(G324)</f>
        <v>0</v>
      </c>
      <c r="H322" s="24">
        <f>SUM(H324)</f>
        <v>0</v>
      </c>
      <c r="I322" s="24" t="e">
        <f t="shared" si="9"/>
        <v>#DIV/0!</v>
      </c>
    </row>
    <row r="323" spans="1:9" ht="57" hidden="1">
      <c r="A323" s="224" t="s">
        <v>787</v>
      </c>
      <c r="B323" s="21"/>
      <c r="C323" s="35" t="s">
        <v>1013</v>
      </c>
      <c r="D323" s="35" t="s">
        <v>389</v>
      </c>
      <c r="E323" s="46" t="s">
        <v>788</v>
      </c>
      <c r="F323" s="26"/>
      <c r="G323" s="24">
        <f>SUM(G324)</f>
        <v>0</v>
      </c>
      <c r="H323" s="24">
        <f>SUM(H324)</f>
        <v>0</v>
      </c>
      <c r="I323" s="24" t="e">
        <f t="shared" si="9"/>
        <v>#DIV/0!</v>
      </c>
    </row>
    <row r="324" spans="1:9" ht="19.5" customHeight="1" hidden="1">
      <c r="A324" s="224" t="s">
        <v>789</v>
      </c>
      <c r="B324" s="21"/>
      <c r="C324" s="35" t="s">
        <v>1013</v>
      </c>
      <c r="D324" s="35" t="s">
        <v>389</v>
      </c>
      <c r="E324" s="46" t="s">
        <v>788</v>
      </c>
      <c r="F324" s="26" t="s">
        <v>790</v>
      </c>
      <c r="G324" s="24"/>
      <c r="H324" s="24"/>
      <c r="I324" s="24" t="e">
        <f t="shared" si="9"/>
        <v>#DIV/0!</v>
      </c>
    </row>
    <row r="325" spans="1:9" ht="28.5" hidden="1">
      <c r="A325" s="224" t="s">
        <v>791</v>
      </c>
      <c r="B325" s="21"/>
      <c r="C325" s="35" t="s">
        <v>1013</v>
      </c>
      <c r="D325" s="35" t="s">
        <v>571</v>
      </c>
      <c r="E325" s="46"/>
      <c r="F325" s="26"/>
      <c r="G325" s="24">
        <f aca="true" t="shared" si="10" ref="G325:H327">SUM(G326)</f>
        <v>0</v>
      </c>
      <c r="H325" s="24">
        <f t="shared" si="10"/>
        <v>0</v>
      </c>
      <c r="I325" s="24" t="e">
        <f t="shared" si="9"/>
        <v>#DIV/0!</v>
      </c>
    </row>
    <row r="326" spans="1:9" ht="15" hidden="1">
      <c r="A326" s="224" t="s">
        <v>785</v>
      </c>
      <c r="B326" s="21"/>
      <c r="C326" s="35" t="s">
        <v>1013</v>
      </c>
      <c r="D326" s="35" t="s">
        <v>571</v>
      </c>
      <c r="E326" s="46" t="s">
        <v>786</v>
      </c>
      <c r="F326" s="26"/>
      <c r="G326" s="24">
        <f t="shared" si="10"/>
        <v>0</v>
      </c>
      <c r="H326" s="24">
        <f t="shared" si="10"/>
        <v>0</v>
      </c>
      <c r="I326" s="24" t="e">
        <f t="shared" si="9"/>
        <v>#DIV/0!</v>
      </c>
    </row>
    <row r="327" spans="1:9" ht="28.5" hidden="1">
      <c r="A327" s="224" t="s">
        <v>792</v>
      </c>
      <c r="B327" s="21"/>
      <c r="C327" s="35" t="s">
        <v>1013</v>
      </c>
      <c r="D327" s="35" t="s">
        <v>571</v>
      </c>
      <c r="E327" s="46" t="s">
        <v>788</v>
      </c>
      <c r="F327" s="26"/>
      <c r="G327" s="24">
        <f t="shared" si="10"/>
        <v>0</v>
      </c>
      <c r="H327" s="24">
        <f t="shared" si="10"/>
        <v>0</v>
      </c>
      <c r="I327" s="24" t="e">
        <f t="shared" si="9"/>
        <v>#DIV/0!</v>
      </c>
    </row>
    <row r="328" spans="1:9" ht="15" hidden="1">
      <c r="A328" s="228" t="s">
        <v>1053</v>
      </c>
      <c r="B328" s="21"/>
      <c r="C328" s="35" t="s">
        <v>1013</v>
      </c>
      <c r="D328" s="35" t="s">
        <v>571</v>
      </c>
      <c r="E328" s="46" t="s">
        <v>788</v>
      </c>
      <c r="F328" s="26" t="s">
        <v>1054</v>
      </c>
      <c r="G328" s="24"/>
      <c r="H328" s="24"/>
      <c r="I328" s="24" t="e">
        <f t="shared" si="9"/>
        <v>#DIV/0!</v>
      </c>
    </row>
    <row r="329" spans="1:9" s="36" customFormat="1" ht="20.25" customHeight="1">
      <c r="A329" s="228" t="s">
        <v>1046</v>
      </c>
      <c r="B329" s="34"/>
      <c r="C329" s="52" t="s">
        <v>1013</v>
      </c>
      <c r="D329" s="52" t="s">
        <v>389</v>
      </c>
      <c r="E329" s="35" t="s">
        <v>1047</v>
      </c>
      <c r="F329" s="26"/>
      <c r="G329" s="24">
        <f>SUM(G330+G333+G339)</f>
        <v>1937.1</v>
      </c>
      <c r="H329" s="24">
        <f>SUM(H330+H333+H339+H345)</f>
        <v>30706.4</v>
      </c>
      <c r="I329" s="24">
        <f t="shared" si="9"/>
        <v>1585.1737132827425</v>
      </c>
    </row>
    <row r="330" spans="1:9" ht="15">
      <c r="A330" s="228" t="s">
        <v>1107</v>
      </c>
      <c r="B330" s="21"/>
      <c r="C330" s="52" t="s">
        <v>1013</v>
      </c>
      <c r="D330" s="52" t="s">
        <v>389</v>
      </c>
      <c r="E330" s="35" t="s">
        <v>1058</v>
      </c>
      <c r="F330" s="26"/>
      <c r="G330" s="24">
        <f>SUM(G331)</f>
        <v>1800</v>
      </c>
      <c r="H330" s="24"/>
      <c r="I330" s="24"/>
    </row>
    <row r="331" spans="1:9" ht="15">
      <c r="A331" s="222" t="s">
        <v>1010</v>
      </c>
      <c r="B331" s="21"/>
      <c r="C331" s="52" t="s">
        <v>1013</v>
      </c>
      <c r="D331" s="52" t="s">
        <v>389</v>
      </c>
      <c r="E331" s="35" t="s">
        <v>1058</v>
      </c>
      <c r="F331" s="26" t="s">
        <v>1011</v>
      </c>
      <c r="G331" s="24">
        <v>1800</v>
      </c>
      <c r="H331" s="24"/>
      <c r="I331" s="24"/>
    </row>
    <row r="332" spans="1:9" ht="28.5">
      <c r="A332" s="228" t="s">
        <v>1252</v>
      </c>
      <c r="B332" s="21"/>
      <c r="C332" s="52" t="s">
        <v>1013</v>
      </c>
      <c r="D332" s="52" t="s">
        <v>389</v>
      </c>
      <c r="E332" s="35" t="s">
        <v>1093</v>
      </c>
      <c r="F332" s="26"/>
      <c r="G332" s="24">
        <f>SUM(G333)</f>
        <v>137.1</v>
      </c>
      <c r="H332" s="24"/>
      <c r="I332" s="24"/>
    </row>
    <row r="333" spans="1:9" ht="15">
      <c r="A333" s="222" t="s">
        <v>1010</v>
      </c>
      <c r="B333" s="21"/>
      <c r="C333" s="52" t="s">
        <v>1013</v>
      </c>
      <c r="D333" s="52" t="s">
        <v>389</v>
      </c>
      <c r="E333" s="35" t="s">
        <v>1093</v>
      </c>
      <c r="F333" s="26" t="s">
        <v>1011</v>
      </c>
      <c r="G333" s="24">
        <v>137.1</v>
      </c>
      <c r="H333" s="24"/>
      <c r="I333" s="24"/>
    </row>
    <row r="334" spans="1:9" ht="15" hidden="1">
      <c r="A334" s="228"/>
      <c r="B334" s="21"/>
      <c r="C334" s="35"/>
      <c r="D334" s="35"/>
      <c r="E334" s="46"/>
      <c r="F334" s="26"/>
      <c r="G334" s="24"/>
      <c r="H334" s="24"/>
      <c r="I334" s="24"/>
    </row>
    <row r="335" spans="1:9" ht="15" hidden="1">
      <c r="A335" s="228"/>
      <c r="B335" s="21"/>
      <c r="C335" s="35"/>
      <c r="D335" s="35"/>
      <c r="E335" s="46"/>
      <c r="F335" s="26"/>
      <c r="G335" s="24"/>
      <c r="H335" s="24"/>
      <c r="I335" s="24"/>
    </row>
    <row r="336" spans="1:9" ht="15" hidden="1">
      <c r="A336" s="228"/>
      <c r="B336" s="21"/>
      <c r="C336" s="35"/>
      <c r="D336" s="35"/>
      <c r="E336" s="46"/>
      <c r="F336" s="26"/>
      <c r="G336" s="24"/>
      <c r="H336" s="24"/>
      <c r="I336" s="24"/>
    </row>
    <row r="337" spans="1:9" ht="15" hidden="1">
      <c r="A337" s="228"/>
      <c r="B337" s="21"/>
      <c r="C337" s="35"/>
      <c r="D337" s="35"/>
      <c r="E337" s="46"/>
      <c r="F337" s="26"/>
      <c r="G337" s="24"/>
      <c r="H337" s="24"/>
      <c r="I337" s="24"/>
    </row>
    <row r="338" spans="1:9" ht="15" hidden="1">
      <c r="A338" s="228"/>
      <c r="B338" s="21"/>
      <c r="C338" s="35"/>
      <c r="D338" s="35"/>
      <c r="E338" s="46"/>
      <c r="F338" s="26"/>
      <c r="G338" s="24"/>
      <c r="H338" s="24"/>
      <c r="I338" s="24"/>
    </row>
    <row r="339" spans="1:9" ht="15" hidden="1">
      <c r="A339" s="228"/>
      <c r="B339" s="21"/>
      <c r="C339" s="35"/>
      <c r="D339" s="35"/>
      <c r="E339" s="46"/>
      <c r="F339" s="26"/>
      <c r="G339" s="24"/>
      <c r="H339" s="24"/>
      <c r="I339" s="24"/>
    </row>
    <row r="340" spans="1:11" ht="18.75" customHeight="1">
      <c r="A340" s="222" t="s">
        <v>1036</v>
      </c>
      <c r="B340" s="21"/>
      <c r="C340" s="22" t="s">
        <v>1037</v>
      </c>
      <c r="D340" s="22"/>
      <c r="E340" s="22"/>
      <c r="F340" s="23"/>
      <c r="G340" s="24">
        <f>SUM(G341+G350)</f>
        <v>19971.6</v>
      </c>
      <c r="H340" s="24" t="e">
        <f>SUM(H341+H350)</f>
        <v>#REF!</v>
      </c>
      <c r="I340" s="24" t="e">
        <f t="shared" si="9"/>
        <v>#REF!</v>
      </c>
      <c r="K340">
        <f>11508.6+8463</f>
        <v>19971.6</v>
      </c>
    </row>
    <row r="341" spans="1:9" ht="15" hidden="1">
      <c r="A341" s="222" t="s">
        <v>1038</v>
      </c>
      <c r="B341" s="21"/>
      <c r="C341" s="22" t="s">
        <v>1037</v>
      </c>
      <c r="D341" s="22" t="s">
        <v>1039</v>
      </c>
      <c r="E341" s="22"/>
      <c r="F341" s="23"/>
      <c r="G341" s="24">
        <f>SUM(G345)+G342</f>
        <v>0</v>
      </c>
      <c r="H341" s="24">
        <f>SUM(H345)+H342</f>
        <v>53329</v>
      </c>
      <c r="I341" s="24" t="e">
        <f t="shared" si="9"/>
        <v>#DIV/0!</v>
      </c>
    </row>
    <row r="342" spans="1:9" ht="15" hidden="1">
      <c r="A342" s="222" t="s">
        <v>794</v>
      </c>
      <c r="B342" s="21"/>
      <c r="C342" s="22" t="s">
        <v>1037</v>
      </c>
      <c r="D342" s="22" t="s">
        <v>1039</v>
      </c>
      <c r="E342" s="35" t="s">
        <v>795</v>
      </c>
      <c r="F342" s="26"/>
      <c r="G342" s="24">
        <f>SUM(G343)+G344</f>
        <v>0</v>
      </c>
      <c r="H342" s="24">
        <f>SUM(H343)+H344</f>
        <v>22622.6</v>
      </c>
      <c r="I342" s="24" t="e">
        <f t="shared" si="9"/>
        <v>#DIV/0!</v>
      </c>
    </row>
    <row r="343" spans="1:9" ht="19.5" customHeight="1" hidden="1">
      <c r="A343" s="222" t="s">
        <v>796</v>
      </c>
      <c r="B343" s="21"/>
      <c r="C343" s="22" t="s">
        <v>1037</v>
      </c>
      <c r="D343" s="22" t="s">
        <v>1039</v>
      </c>
      <c r="E343" s="35" t="s">
        <v>795</v>
      </c>
      <c r="F343" s="23" t="s">
        <v>797</v>
      </c>
      <c r="G343" s="24"/>
      <c r="H343" s="24">
        <v>22622.6</v>
      </c>
      <c r="I343" s="24" t="e">
        <f t="shared" si="9"/>
        <v>#DIV/0!</v>
      </c>
    </row>
    <row r="344" spans="1:9" ht="19.5" customHeight="1" hidden="1">
      <c r="A344" s="222" t="s">
        <v>1010</v>
      </c>
      <c r="B344" s="21"/>
      <c r="C344" s="22" t="s">
        <v>1037</v>
      </c>
      <c r="D344" s="22" t="s">
        <v>1039</v>
      </c>
      <c r="E344" s="35" t="s">
        <v>795</v>
      </c>
      <c r="F344" s="23" t="s">
        <v>1011</v>
      </c>
      <c r="G344" s="24"/>
      <c r="H344" s="24"/>
      <c r="I344" s="24" t="e">
        <f t="shared" si="9"/>
        <v>#DIV/0!</v>
      </c>
    </row>
    <row r="345" spans="1:9" ht="19.5" customHeight="1" hidden="1">
      <c r="A345" s="222" t="s">
        <v>1040</v>
      </c>
      <c r="B345" s="21"/>
      <c r="C345" s="22" t="s">
        <v>1037</v>
      </c>
      <c r="D345" s="22" t="s">
        <v>1039</v>
      </c>
      <c r="E345" s="22" t="s">
        <v>581</v>
      </c>
      <c r="F345" s="23"/>
      <c r="G345" s="24">
        <f>SUM(G346)</f>
        <v>0</v>
      </c>
      <c r="H345" s="24">
        <f>SUM(H346)</f>
        <v>30706.4</v>
      </c>
      <c r="I345" s="24" t="e">
        <f t="shared" si="9"/>
        <v>#DIV/0!</v>
      </c>
    </row>
    <row r="346" spans="1:9" s="36" customFormat="1" ht="19.5" customHeight="1" hidden="1">
      <c r="A346" s="222" t="s">
        <v>582</v>
      </c>
      <c r="B346" s="21"/>
      <c r="C346" s="22" t="s">
        <v>1037</v>
      </c>
      <c r="D346" s="22" t="s">
        <v>1039</v>
      </c>
      <c r="E346" s="22" t="s">
        <v>610</v>
      </c>
      <c r="F346" s="23"/>
      <c r="G346" s="24">
        <f>SUM(G347+G348)</f>
        <v>0</v>
      </c>
      <c r="H346" s="24">
        <f>SUM(H347+H348)</f>
        <v>30706.4</v>
      </c>
      <c r="I346" s="24" t="e">
        <f t="shared" si="9"/>
        <v>#DIV/0!</v>
      </c>
    </row>
    <row r="347" spans="1:9" ht="19.5" customHeight="1" hidden="1">
      <c r="A347" s="222" t="s">
        <v>796</v>
      </c>
      <c r="B347" s="21"/>
      <c r="C347" s="22" t="s">
        <v>1037</v>
      </c>
      <c r="D347" s="22" t="s">
        <v>1039</v>
      </c>
      <c r="E347" s="22" t="s">
        <v>610</v>
      </c>
      <c r="F347" s="23" t="s">
        <v>797</v>
      </c>
      <c r="G347" s="24"/>
      <c r="H347" s="24">
        <v>30706.4</v>
      </c>
      <c r="I347" s="24" t="e">
        <f t="shared" si="9"/>
        <v>#DIV/0!</v>
      </c>
    </row>
    <row r="348" spans="1:9" ht="42.75" hidden="1">
      <c r="A348" s="222" t="s">
        <v>611</v>
      </c>
      <c r="B348" s="21"/>
      <c r="C348" s="22" t="s">
        <v>1037</v>
      </c>
      <c r="D348" s="22" t="s">
        <v>1039</v>
      </c>
      <c r="E348" s="22" t="s">
        <v>612</v>
      </c>
      <c r="F348" s="23"/>
      <c r="G348" s="24">
        <f>SUM(G349)</f>
        <v>0</v>
      </c>
      <c r="H348" s="24">
        <f>SUM(H349)</f>
        <v>0</v>
      </c>
      <c r="I348" s="24" t="e">
        <f aca="true" t="shared" si="11" ref="I348:I424">SUM(H348/G348*100)</f>
        <v>#DIV/0!</v>
      </c>
    </row>
    <row r="349" spans="1:9" ht="19.5" customHeight="1" hidden="1">
      <c r="A349" s="222" t="s">
        <v>796</v>
      </c>
      <c r="B349" s="21"/>
      <c r="C349" s="22" t="s">
        <v>1037</v>
      </c>
      <c r="D349" s="22" t="s">
        <v>1039</v>
      </c>
      <c r="E349" s="22" t="s">
        <v>612</v>
      </c>
      <c r="F349" s="23" t="s">
        <v>797</v>
      </c>
      <c r="G349" s="24"/>
      <c r="H349" s="24"/>
      <c r="I349" s="24" t="e">
        <f t="shared" si="11"/>
        <v>#DIV/0!</v>
      </c>
    </row>
    <row r="350" spans="1:9" ht="21" customHeight="1">
      <c r="A350" s="228" t="s">
        <v>584</v>
      </c>
      <c r="B350" s="34"/>
      <c r="C350" s="35" t="s">
        <v>1037</v>
      </c>
      <c r="D350" s="35" t="s">
        <v>568</v>
      </c>
      <c r="E350" s="35"/>
      <c r="F350" s="26"/>
      <c r="G350" s="24">
        <f>SUM(G351+G354+G366)+G362+G359</f>
        <v>19971.6</v>
      </c>
      <c r="H350" s="24" t="e">
        <f>SUM(H354+H356+H366+#REF!)</f>
        <v>#REF!</v>
      </c>
      <c r="I350" s="24" t="e">
        <f t="shared" si="11"/>
        <v>#REF!</v>
      </c>
    </row>
    <row r="351" spans="1:9" s="36" customFormat="1" ht="19.5" customHeight="1" hidden="1">
      <c r="A351" s="222" t="s">
        <v>1046</v>
      </c>
      <c r="B351" s="35"/>
      <c r="C351" s="35" t="s">
        <v>1037</v>
      </c>
      <c r="D351" s="35" t="s">
        <v>568</v>
      </c>
      <c r="E351" s="22" t="s">
        <v>1047</v>
      </c>
      <c r="F351" s="26"/>
      <c r="G351" s="24">
        <f>SUM(G353)</f>
        <v>0</v>
      </c>
      <c r="H351" s="24">
        <f>SUM(H353)</f>
        <v>0</v>
      </c>
      <c r="I351" s="24" t="e">
        <f t="shared" si="11"/>
        <v>#DIV/0!</v>
      </c>
    </row>
    <row r="352" spans="1:9" s="36" customFormat="1" ht="19.5" customHeight="1" hidden="1">
      <c r="A352" s="222" t="s">
        <v>416</v>
      </c>
      <c r="B352" s="35"/>
      <c r="C352" s="35" t="s">
        <v>1037</v>
      </c>
      <c r="D352" s="35" t="s">
        <v>568</v>
      </c>
      <c r="E352" s="22" t="s">
        <v>886</v>
      </c>
      <c r="F352" s="26"/>
      <c r="G352" s="24">
        <f>SUM(G353)</f>
        <v>0</v>
      </c>
      <c r="H352" s="24"/>
      <c r="I352" s="24"/>
    </row>
    <row r="353" spans="1:9" s="60" customFormat="1" ht="19.5" customHeight="1" hidden="1">
      <c r="A353" s="222" t="s">
        <v>812</v>
      </c>
      <c r="B353" s="35"/>
      <c r="C353" s="35" t="s">
        <v>1037</v>
      </c>
      <c r="D353" s="35" t="s">
        <v>568</v>
      </c>
      <c r="E353" s="22" t="s">
        <v>886</v>
      </c>
      <c r="F353" s="26" t="s">
        <v>897</v>
      </c>
      <c r="G353" s="24"/>
      <c r="H353" s="24"/>
      <c r="I353" s="24" t="e">
        <f t="shared" si="11"/>
        <v>#DIV/0!</v>
      </c>
    </row>
    <row r="354" spans="1:9" s="53" customFormat="1" ht="27.75" customHeight="1">
      <c r="A354" s="229" t="s">
        <v>613</v>
      </c>
      <c r="B354" s="35"/>
      <c r="C354" s="35" t="s">
        <v>1037</v>
      </c>
      <c r="D354" s="35" t="s">
        <v>568</v>
      </c>
      <c r="E354" s="35" t="s">
        <v>614</v>
      </c>
      <c r="F354" s="26"/>
      <c r="G354" s="24">
        <f>SUM(G355,G358)</f>
        <v>4235.9</v>
      </c>
      <c r="H354" s="24">
        <f>SUM(H355)</f>
        <v>0</v>
      </c>
      <c r="I354" s="24">
        <f t="shared" si="11"/>
        <v>0</v>
      </c>
    </row>
    <row r="355" spans="1:9" s="53" customFormat="1" ht="15" hidden="1">
      <c r="A355" s="222" t="s">
        <v>1010</v>
      </c>
      <c r="B355" s="35"/>
      <c r="C355" s="35" t="s">
        <v>1037</v>
      </c>
      <c r="D355" s="35" t="s">
        <v>568</v>
      </c>
      <c r="E355" s="35" t="s">
        <v>614</v>
      </c>
      <c r="F355" s="26" t="s">
        <v>1011</v>
      </c>
      <c r="G355" s="24"/>
      <c r="H355" s="24">
        <f>5050-2000-3050</f>
        <v>0</v>
      </c>
      <c r="I355" s="24" t="e">
        <f t="shared" si="11"/>
        <v>#DIV/0!</v>
      </c>
    </row>
    <row r="356" spans="1:9" s="53" customFormat="1" ht="15">
      <c r="A356" s="222" t="s">
        <v>893</v>
      </c>
      <c r="B356" s="21"/>
      <c r="C356" s="35" t="s">
        <v>1037</v>
      </c>
      <c r="D356" s="35" t="s">
        <v>568</v>
      </c>
      <c r="E356" s="22" t="s">
        <v>809</v>
      </c>
      <c r="F356" s="26"/>
      <c r="G356" s="24">
        <f>SUM(G357)</f>
        <v>4235.9</v>
      </c>
      <c r="H356" s="24">
        <f>SUM(H357)</f>
        <v>200</v>
      </c>
      <c r="I356" s="24">
        <f t="shared" si="11"/>
        <v>4.7215467787247105</v>
      </c>
    </row>
    <row r="357" spans="1:9" s="53" customFormat="1" ht="40.5" customHeight="1">
      <c r="A357" s="222" t="s">
        <v>1232</v>
      </c>
      <c r="B357" s="21"/>
      <c r="C357" s="35" t="s">
        <v>1037</v>
      </c>
      <c r="D357" s="35" t="s">
        <v>568</v>
      </c>
      <c r="E357" s="22" t="s">
        <v>810</v>
      </c>
      <c r="F357" s="26"/>
      <c r="G357" s="24">
        <f>SUM(G358)</f>
        <v>4235.9</v>
      </c>
      <c r="H357" s="24">
        <f>SUM(H358)</f>
        <v>200</v>
      </c>
      <c r="I357" s="24">
        <f t="shared" si="11"/>
        <v>4.7215467787247105</v>
      </c>
    </row>
    <row r="358" spans="1:9" s="53" customFormat="1" ht="51" customHeight="1">
      <c r="A358" s="222" t="s">
        <v>812</v>
      </c>
      <c r="B358" s="21"/>
      <c r="C358" s="35" t="s">
        <v>1037</v>
      </c>
      <c r="D358" s="35" t="s">
        <v>568</v>
      </c>
      <c r="E358" s="22" t="s">
        <v>810</v>
      </c>
      <c r="F358" s="26" t="s">
        <v>897</v>
      </c>
      <c r="G358" s="24">
        <v>4235.9</v>
      </c>
      <c r="H358" s="24">
        <v>200</v>
      </c>
      <c r="I358" s="24">
        <f t="shared" si="11"/>
        <v>4.7215467787247105</v>
      </c>
    </row>
    <row r="359" spans="1:9" s="53" customFormat="1" ht="22.5" customHeight="1">
      <c r="A359" s="222" t="s">
        <v>706</v>
      </c>
      <c r="B359" s="21"/>
      <c r="C359" s="35" t="s">
        <v>1037</v>
      </c>
      <c r="D359" s="35" t="s">
        <v>568</v>
      </c>
      <c r="E359" s="22" t="s">
        <v>707</v>
      </c>
      <c r="F359" s="26"/>
      <c r="G359" s="24">
        <f>SUM(G360)</f>
        <v>4011</v>
      </c>
      <c r="H359" s="24"/>
      <c r="I359" s="24"/>
    </row>
    <row r="360" spans="1:9" s="53" customFormat="1" ht="39.75" customHeight="1">
      <c r="A360" s="222" t="s">
        <v>705</v>
      </c>
      <c r="B360" s="21"/>
      <c r="C360" s="35" t="s">
        <v>1037</v>
      </c>
      <c r="D360" s="35" t="s">
        <v>568</v>
      </c>
      <c r="E360" s="22" t="s">
        <v>708</v>
      </c>
      <c r="F360" s="26"/>
      <c r="G360" s="24">
        <f>SUM(G361)</f>
        <v>4011</v>
      </c>
      <c r="H360" s="24"/>
      <c r="I360" s="24"/>
    </row>
    <row r="361" spans="1:9" s="53" customFormat="1" ht="17.25" customHeight="1">
      <c r="A361" s="222" t="s">
        <v>1010</v>
      </c>
      <c r="B361" s="21"/>
      <c r="C361" s="35" t="s">
        <v>1037</v>
      </c>
      <c r="D361" s="35" t="s">
        <v>568</v>
      </c>
      <c r="E361" s="22" t="s">
        <v>708</v>
      </c>
      <c r="F361" s="26" t="s">
        <v>1011</v>
      </c>
      <c r="G361" s="24">
        <v>4011</v>
      </c>
      <c r="H361" s="24"/>
      <c r="I361" s="24"/>
    </row>
    <row r="362" spans="1:9" s="53" customFormat="1" ht="20.25" customHeight="1">
      <c r="A362" s="239" t="s">
        <v>785</v>
      </c>
      <c r="B362" s="248"/>
      <c r="C362" s="35" t="s">
        <v>1037</v>
      </c>
      <c r="D362" s="35" t="s">
        <v>568</v>
      </c>
      <c r="E362" s="249" t="s">
        <v>786</v>
      </c>
      <c r="F362" s="26"/>
      <c r="G362" s="24">
        <f>SUM(G363)</f>
        <v>800</v>
      </c>
      <c r="H362" s="24"/>
      <c r="I362" s="24"/>
    </row>
    <row r="363" spans="1:9" s="53" customFormat="1" ht="40.5" customHeight="1">
      <c r="A363" s="228" t="s">
        <v>651</v>
      </c>
      <c r="B363" s="248"/>
      <c r="C363" s="35" t="s">
        <v>1037</v>
      </c>
      <c r="D363" s="35" t="s">
        <v>568</v>
      </c>
      <c r="E363" s="249" t="s">
        <v>652</v>
      </c>
      <c r="F363" s="26"/>
      <c r="G363" s="24">
        <f>SUM(G364)</f>
        <v>800</v>
      </c>
      <c r="H363" s="24"/>
      <c r="I363" s="24"/>
    </row>
    <row r="364" spans="1:9" s="143" customFormat="1" ht="42.75">
      <c r="A364" s="239" t="s">
        <v>1263</v>
      </c>
      <c r="B364" s="34"/>
      <c r="C364" s="35" t="s">
        <v>1037</v>
      </c>
      <c r="D364" s="35" t="s">
        <v>568</v>
      </c>
      <c r="E364" s="249" t="s">
        <v>922</v>
      </c>
      <c r="F364" s="26"/>
      <c r="G364" s="24">
        <f>SUM(G365)</f>
        <v>800</v>
      </c>
      <c r="H364" s="24">
        <f>SUM(H365)</f>
        <v>0</v>
      </c>
      <c r="I364" s="24">
        <f t="shared" si="11"/>
        <v>0</v>
      </c>
    </row>
    <row r="365" spans="1:9" s="53" customFormat="1" ht="15">
      <c r="A365" s="222" t="s">
        <v>1010</v>
      </c>
      <c r="B365" s="34"/>
      <c r="C365" s="35" t="s">
        <v>1037</v>
      </c>
      <c r="D365" s="35" t="s">
        <v>568</v>
      </c>
      <c r="E365" s="249" t="s">
        <v>922</v>
      </c>
      <c r="F365" s="26" t="s">
        <v>1011</v>
      </c>
      <c r="G365" s="24">
        <v>800</v>
      </c>
      <c r="H365" s="24"/>
      <c r="I365" s="24">
        <f t="shared" si="11"/>
        <v>0</v>
      </c>
    </row>
    <row r="366" spans="1:9" s="53" customFormat="1" ht="21" customHeight="1">
      <c r="A366" s="222" t="s">
        <v>1046</v>
      </c>
      <c r="B366" s="21"/>
      <c r="C366" s="35" t="s">
        <v>1037</v>
      </c>
      <c r="D366" s="35" t="s">
        <v>568</v>
      </c>
      <c r="E366" s="22" t="s">
        <v>1047</v>
      </c>
      <c r="F366" s="26"/>
      <c r="G366" s="24">
        <f>SUM(G367)+G374+G369+G371</f>
        <v>10924.7</v>
      </c>
      <c r="H366" s="24">
        <f>SUM(H367)</f>
        <v>0</v>
      </c>
      <c r="I366" s="24">
        <f t="shared" si="11"/>
        <v>0</v>
      </c>
    </row>
    <row r="367" spans="1:9" s="53" customFormat="1" ht="28.5">
      <c r="A367" s="230" t="s">
        <v>1064</v>
      </c>
      <c r="B367" s="21"/>
      <c r="C367" s="35" t="s">
        <v>1037</v>
      </c>
      <c r="D367" s="35" t="s">
        <v>568</v>
      </c>
      <c r="E367" s="22" t="s">
        <v>617</v>
      </c>
      <c r="F367" s="26"/>
      <c r="G367" s="24">
        <f>SUM(G368)</f>
        <v>1762.7</v>
      </c>
      <c r="H367" s="24">
        <f>SUM(H368:H377)</f>
        <v>0</v>
      </c>
      <c r="I367" s="24">
        <f t="shared" si="11"/>
        <v>0</v>
      </c>
    </row>
    <row r="368" spans="1:9" s="53" customFormat="1" ht="30.75" customHeight="1">
      <c r="A368" s="222" t="s">
        <v>1010</v>
      </c>
      <c r="B368" s="34"/>
      <c r="C368" s="35" t="s">
        <v>1037</v>
      </c>
      <c r="D368" s="35" t="s">
        <v>568</v>
      </c>
      <c r="E368" s="22" t="s">
        <v>617</v>
      </c>
      <c r="F368" s="26" t="s">
        <v>1011</v>
      </c>
      <c r="G368" s="49">
        <v>1762.7</v>
      </c>
      <c r="H368" s="49"/>
      <c r="I368" s="24">
        <f t="shared" si="11"/>
        <v>0</v>
      </c>
    </row>
    <row r="369" spans="1:9" s="53" customFormat="1" ht="30.75" customHeight="1">
      <c r="A369" s="222" t="s">
        <v>1074</v>
      </c>
      <c r="B369" s="34"/>
      <c r="C369" s="35" t="s">
        <v>1037</v>
      </c>
      <c r="D369" s="35" t="s">
        <v>568</v>
      </c>
      <c r="E369" s="22" t="s">
        <v>1075</v>
      </c>
      <c r="F369" s="26"/>
      <c r="G369" s="49">
        <f>SUM(G370)</f>
        <v>2185</v>
      </c>
      <c r="H369" s="49"/>
      <c r="I369" s="24"/>
    </row>
    <row r="370" spans="1:9" s="53" customFormat="1" ht="24.75" customHeight="1">
      <c r="A370" s="222" t="s">
        <v>1053</v>
      </c>
      <c r="B370" s="34"/>
      <c r="C370" s="35" t="s">
        <v>1037</v>
      </c>
      <c r="D370" s="35" t="s">
        <v>568</v>
      </c>
      <c r="E370" s="22" t="s">
        <v>1075</v>
      </c>
      <c r="F370" s="26" t="s">
        <v>1054</v>
      </c>
      <c r="G370" s="49">
        <v>2185</v>
      </c>
      <c r="H370" s="49"/>
      <c r="I370" s="24"/>
    </row>
    <row r="371" spans="1:9" s="53" customFormat="1" ht="37.5" customHeight="1">
      <c r="A371" s="228" t="s">
        <v>638</v>
      </c>
      <c r="B371" s="34"/>
      <c r="C371" s="35" t="s">
        <v>1037</v>
      </c>
      <c r="D371" s="35" t="s">
        <v>568</v>
      </c>
      <c r="E371" s="22" t="s">
        <v>871</v>
      </c>
      <c r="F371" s="26"/>
      <c r="G371" s="49">
        <f>SUM(G372)</f>
        <v>699</v>
      </c>
      <c r="H371" s="49"/>
      <c r="I371" s="24">
        <f>SUM(H371/G371*100)</f>
        <v>0</v>
      </c>
    </row>
    <row r="372" spans="1:9" s="53" customFormat="1" ht="38.25" customHeight="1">
      <c r="A372" s="230" t="s">
        <v>921</v>
      </c>
      <c r="B372" s="34"/>
      <c r="C372" s="35" t="s">
        <v>1037</v>
      </c>
      <c r="D372" s="35" t="s">
        <v>568</v>
      </c>
      <c r="E372" s="22" t="s">
        <v>618</v>
      </c>
      <c r="F372" s="26"/>
      <c r="G372" s="49">
        <f>SUM(G373)</f>
        <v>699</v>
      </c>
      <c r="H372" s="49"/>
      <c r="I372" s="24">
        <f>SUM(H372/G372*100)</f>
        <v>0</v>
      </c>
    </row>
    <row r="373" spans="1:9" s="53" customFormat="1" ht="23.25" customHeight="1">
      <c r="A373" s="222" t="s">
        <v>1010</v>
      </c>
      <c r="B373" s="34"/>
      <c r="C373" s="35" t="s">
        <v>1037</v>
      </c>
      <c r="D373" s="35" t="s">
        <v>568</v>
      </c>
      <c r="E373" s="22" t="s">
        <v>618</v>
      </c>
      <c r="F373" s="26" t="s">
        <v>1011</v>
      </c>
      <c r="G373" s="49">
        <f>1000-301</f>
        <v>699</v>
      </c>
      <c r="H373" s="49"/>
      <c r="I373" s="24">
        <f>SUM(H373/G373*100)</f>
        <v>0</v>
      </c>
    </row>
    <row r="374" spans="1:9" s="36" customFormat="1" ht="33.75" customHeight="1">
      <c r="A374" s="222" t="s">
        <v>416</v>
      </c>
      <c r="B374" s="35"/>
      <c r="C374" s="35" t="s">
        <v>1037</v>
      </c>
      <c r="D374" s="35" t="s">
        <v>568</v>
      </c>
      <c r="E374" s="22" t="s">
        <v>886</v>
      </c>
      <c r="F374" s="26"/>
      <c r="G374" s="24">
        <f>SUM(G375)</f>
        <v>6278</v>
      </c>
      <c r="H374" s="24"/>
      <c r="I374" s="24"/>
    </row>
    <row r="375" spans="1:9" s="60" customFormat="1" ht="47.25" customHeight="1">
      <c r="A375" s="222" t="s">
        <v>812</v>
      </c>
      <c r="B375" s="35"/>
      <c r="C375" s="35" t="s">
        <v>1037</v>
      </c>
      <c r="D375" s="35" t="s">
        <v>568</v>
      </c>
      <c r="E375" s="22" t="s">
        <v>886</v>
      </c>
      <c r="F375" s="26" t="s">
        <v>897</v>
      </c>
      <c r="G375" s="24">
        <v>6278</v>
      </c>
      <c r="H375" s="24"/>
      <c r="I375" s="24">
        <f>SUM(H375/G375*100)</f>
        <v>0</v>
      </c>
    </row>
    <row r="376" spans="1:9" s="53" customFormat="1" ht="19.5" customHeight="1" hidden="1">
      <c r="A376" s="228" t="s">
        <v>638</v>
      </c>
      <c r="B376" s="34"/>
      <c r="C376" s="35" t="s">
        <v>1037</v>
      </c>
      <c r="D376" s="35" t="s">
        <v>568</v>
      </c>
      <c r="E376" s="22" t="s">
        <v>618</v>
      </c>
      <c r="F376" s="26" t="s">
        <v>1011</v>
      </c>
      <c r="G376" s="49"/>
      <c r="H376" s="49"/>
      <c r="I376" s="24" t="e">
        <f>SUM(H376/G376*100)</f>
        <v>#DIV/0!</v>
      </c>
    </row>
    <row r="377" spans="1:9" s="53" customFormat="1" ht="19.5" customHeight="1" hidden="1">
      <c r="A377" s="230" t="s">
        <v>921</v>
      </c>
      <c r="B377" s="34"/>
      <c r="C377" s="35" t="s">
        <v>1037</v>
      </c>
      <c r="D377" s="35" t="s">
        <v>568</v>
      </c>
      <c r="E377" s="22" t="s">
        <v>618</v>
      </c>
      <c r="F377" s="26" t="s">
        <v>1011</v>
      </c>
      <c r="G377" s="49"/>
      <c r="H377" s="49"/>
      <c r="I377" s="24" t="e">
        <f t="shared" si="11"/>
        <v>#DIV/0!</v>
      </c>
    </row>
    <row r="378" spans="1:9" s="53" customFormat="1" ht="18" customHeight="1">
      <c r="A378" s="228" t="s">
        <v>619</v>
      </c>
      <c r="B378" s="34"/>
      <c r="C378" s="35" t="s">
        <v>1050</v>
      </c>
      <c r="D378" s="35"/>
      <c r="E378" s="35"/>
      <c r="F378" s="27"/>
      <c r="G378" s="144">
        <f>SUM(G379+G432+G459+G495+G486)</f>
        <v>216456.90000000002</v>
      </c>
      <c r="H378" s="144">
        <f>SUM(H379+H432+H459+H495)</f>
        <v>129173.09999999999</v>
      </c>
      <c r="I378" s="24">
        <f t="shared" si="11"/>
        <v>59.67612952047266</v>
      </c>
    </row>
    <row r="379" spans="1:9" s="53" customFormat="1" ht="15">
      <c r="A379" s="222" t="s">
        <v>620</v>
      </c>
      <c r="B379" s="21"/>
      <c r="C379" s="22" t="s">
        <v>1050</v>
      </c>
      <c r="D379" s="22" t="s">
        <v>663</v>
      </c>
      <c r="E379" s="22"/>
      <c r="F379" s="23"/>
      <c r="G379" s="24">
        <f>SUM(G400+G422+G392+G405+G380+G419)</f>
        <v>79989.1</v>
      </c>
      <c r="H379" s="24">
        <f>SUM(H400+H422+H392+H405+H380)</f>
        <v>25898.3</v>
      </c>
      <c r="I379" s="24">
        <f t="shared" si="11"/>
        <v>32.37728640527271</v>
      </c>
    </row>
    <row r="380" spans="1:9" s="36" customFormat="1" ht="39.75" customHeight="1">
      <c r="A380" s="230" t="s">
        <v>621</v>
      </c>
      <c r="B380" s="58"/>
      <c r="C380" s="22" t="s">
        <v>1050</v>
      </c>
      <c r="D380" s="22" t="s">
        <v>663</v>
      </c>
      <c r="E380" s="22" t="s">
        <v>622</v>
      </c>
      <c r="F380" s="23"/>
      <c r="G380" s="24">
        <f>SUM(G381+G388)</f>
        <v>79989.1</v>
      </c>
      <c r="H380" s="24">
        <f>SUM(H381+H388)</f>
        <v>25620.2</v>
      </c>
      <c r="I380" s="24">
        <f t="shared" si="11"/>
        <v>32.02961403491226</v>
      </c>
    </row>
    <row r="381" spans="1:9" s="36" customFormat="1" ht="72.75" customHeight="1">
      <c r="A381" s="230" t="s">
        <v>623</v>
      </c>
      <c r="B381" s="58"/>
      <c r="C381" s="22" t="s">
        <v>1050</v>
      </c>
      <c r="D381" s="22" t="s">
        <v>663</v>
      </c>
      <c r="E381" s="22" t="s">
        <v>624</v>
      </c>
      <c r="F381" s="23"/>
      <c r="G381" s="24">
        <f>SUM(G382+G384+G386)</f>
        <v>53900.3</v>
      </c>
      <c r="H381" s="24">
        <f>SUM(H382+H384+H386)</f>
        <v>20414.4</v>
      </c>
      <c r="I381" s="24">
        <f t="shared" si="11"/>
        <v>37.87437175674347</v>
      </c>
    </row>
    <row r="382" spans="1:9" s="36" customFormat="1" ht="19.5" customHeight="1" hidden="1">
      <c r="A382" s="230" t="s">
        <v>833</v>
      </c>
      <c r="B382" s="58"/>
      <c r="C382" s="22" t="s">
        <v>1050</v>
      </c>
      <c r="D382" s="22" t="s">
        <v>663</v>
      </c>
      <c r="E382" s="22" t="s">
        <v>834</v>
      </c>
      <c r="F382" s="23"/>
      <c r="G382" s="24">
        <f>SUM(G383)</f>
        <v>0</v>
      </c>
      <c r="H382" s="24">
        <f>SUM(H383)</f>
        <v>15652.8</v>
      </c>
      <c r="I382" s="24" t="e">
        <f t="shared" si="11"/>
        <v>#DIV/0!</v>
      </c>
    </row>
    <row r="383" spans="1:9" s="36" customFormat="1" ht="15" hidden="1">
      <c r="A383" s="222" t="s">
        <v>796</v>
      </c>
      <c r="B383" s="21"/>
      <c r="C383" s="22" t="s">
        <v>1050</v>
      </c>
      <c r="D383" s="22" t="s">
        <v>663</v>
      </c>
      <c r="E383" s="22" t="s">
        <v>834</v>
      </c>
      <c r="F383" s="23" t="s">
        <v>797</v>
      </c>
      <c r="G383" s="24"/>
      <c r="H383" s="24">
        <v>15652.8</v>
      </c>
      <c r="I383" s="24" t="e">
        <f t="shared" si="11"/>
        <v>#DIV/0!</v>
      </c>
    </row>
    <row r="384" spans="1:9" s="36" customFormat="1" ht="57">
      <c r="A384" s="230" t="s">
        <v>835</v>
      </c>
      <c r="B384" s="58"/>
      <c r="C384" s="22" t="s">
        <v>1050</v>
      </c>
      <c r="D384" s="22" t="s">
        <v>663</v>
      </c>
      <c r="E384" s="22" t="s">
        <v>836</v>
      </c>
      <c r="F384" s="23"/>
      <c r="G384" s="24">
        <f>SUM(G385)</f>
        <v>53900.3</v>
      </c>
      <c r="H384" s="24">
        <f>SUM(H385)</f>
        <v>0</v>
      </c>
      <c r="I384" s="24">
        <f t="shared" si="11"/>
        <v>0</v>
      </c>
    </row>
    <row r="385" spans="1:9" s="36" customFormat="1" ht="15">
      <c r="A385" s="257" t="s">
        <v>1053</v>
      </c>
      <c r="B385" s="58"/>
      <c r="C385" s="22" t="s">
        <v>1050</v>
      </c>
      <c r="D385" s="22" t="s">
        <v>663</v>
      </c>
      <c r="E385" s="22" t="s">
        <v>836</v>
      </c>
      <c r="F385" s="23" t="s">
        <v>1054</v>
      </c>
      <c r="G385" s="24">
        <v>53900.3</v>
      </c>
      <c r="H385" s="24"/>
      <c r="I385" s="24">
        <f t="shared" si="11"/>
        <v>0</v>
      </c>
    </row>
    <row r="386" spans="1:9" s="36" customFormat="1" ht="19.5" customHeight="1" hidden="1">
      <c r="A386" s="230" t="s">
        <v>271</v>
      </c>
      <c r="B386" s="58"/>
      <c r="C386" s="22" t="s">
        <v>1050</v>
      </c>
      <c r="D386" s="22" t="s">
        <v>663</v>
      </c>
      <c r="E386" s="22" t="s">
        <v>1065</v>
      </c>
      <c r="F386" s="23"/>
      <c r="G386" s="24">
        <f>SUM(G387)</f>
        <v>0</v>
      </c>
      <c r="H386" s="24">
        <f>SUM(H387)</f>
        <v>4761.6</v>
      </c>
      <c r="I386" s="24" t="e">
        <f t="shared" si="11"/>
        <v>#DIV/0!</v>
      </c>
    </row>
    <row r="387" spans="1:9" s="36" customFormat="1" ht="15" hidden="1">
      <c r="A387" s="257" t="s">
        <v>1053</v>
      </c>
      <c r="B387" s="58"/>
      <c r="C387" s="22" t="s">
        <v>1050</v>
      </c>
      <c r="D387" s="22" t="s">
        <v>663</v>
      </c>
      <c r="E387" s="22" t="s">
        <v>1065</v>
      </c>
      <c r="F387" s="23" t="s">
        <v>1054</v>
      </c>
      <c r="G387" s="24"/>
      <c r="H387" s="24">
        <v>4761.6</v>
      </c>
      <c r="I387" s="24" t="e">
        <f t="shared" si="11"/>
        <v>#DIV/0!</v>
      </c>
    </row>
    <row r="388" spans="1:9" s="36" customFormat="1" ht="56.25" customHeight="1">
      <c r="A388" s="228" t="s">
        <v>625</v>
      </c>
      <c r="B388" s="58"/>
      <c r="C388" s="22" t="s">
        <v>1050</v>
      </c>
      <c r="D388" s="22" t="s">
        <v>663</v>
      </c>
      <c r="E388" s="22" t="s">
        <v>626</v>
      </c>
      <c r="F388" s="23"/>
      <c r="G388" s="24">
        <f>SUM(G389)+G395+G398</f>
        <v>26088.8</v>
      </c>
      <c r="H388" s="24">
        <f>SUM(H389)+H395+H398</f>
        <v>5205.8</v>
      </c>
      <c r="I388" s="24">
        <f t="shared" si="11"/>
        <v>19.954156572935513</v>
      </c>
    </row>
    <row r="389" spans="1:9" s="36" customFormat="1" ht="19.5" customHeight="1" hidden="1">
      <c r="A389" s="228" t="s">
        <v>627</v>
      </c>
      <c r="B389" s="58"/>
      <c r="C389" s="22" t="s">
        <v>1050</v>
      </c>
      <c r="D389" s="22" t="s">
        <v>663</v>
      </c>
      <c r="E389" s="22" t="s">
        <v>628</v>
      </c>
      <c r="F389" s="23"/>
      <c r="G389" s="24">
        <f>SUM(G390+G391)</f>
        <v>0</v>
      </c>
      <c r="H389" s="24">
        <f>SUM(H390+H391)</f>
        <v>1562</v>
      </c>
      <c r="I389" s="24" t="e">
        <f t="shared" si="11"/>
        <v>#DIV/0!</v>
      </c>
    </row>
    <row r="390" spans="1:9" s="36" customFormat="1" ht="19.5" customHeight="1" hidden="1">
      <c r="A390" s="232" t="s">
        <v>796</v>
      </c>
      <c r="B390" s="58"/>
      <c r="C390" s="22" t="s">
        <v>1050</v>
      </c>
      <c r="D390" s="22" t="s">
        <v>663</v>
      </c>
      <c r="E390" s="22" t="s">
        <v>628</v>
      </c>
      <c r="F390" s="23" t="s">
        <v>797</v>
      </c>
      <c r="G390" s="24"/>
      <c r="H390" s="24">
        <v>233.9</v>
      </c>
      <c r="I390" s="24" t="e">
        <f t="shared" si="11"/>
        <v>#DIV/0!</v>
      </c>
    </row>
    <row r="391" spans="1:9" s="36" customFormat="1" ht="19.5" customHeight="1" hidden="1">
      <c r="A391" s="232" t="s">
        <v>629</v>
      </c>
      <c r="B391" s="58"/>
      <c r="C391" s="22" t="s">
        <v>1050</v>
      </c>
      <c r="D391" s="22" t="s">
        <v>663</v>
      </c>
      <c r="E391" s="22" t="s">
        <v>628</v>
      </c>
      <c r="F391" s="23" t="s">
        <v>630</v>
      </c>
      <c r="G391" s="24"/>
      <c r="H391" s="24">
        <v>1328.1</v>
      </c>
      <c r="I391" s="24" t="e">
        <f t="shared" si="11"/>
        <v>#DIV/0!</v>
      </c>
    </row>
    <row r="392" spans="1:9" s="36" customFormat="1" ht="19.5" customHeight="1" hidden="1">
      <c r="A392" s="228" t="s">
        <v>242</v>
      </c>
      <c r="B392" s="21"/>
      <c r="C392" s="22" t="s">
        <v>1050</v>
      </c>
      <c r="D392" s="22" t="s">
        <v>663</v>
      </c>
      <c r="E392" s="22" t="s">
        <v>605</v>
      </c>
      <c r="F392" s="23"/>
      <c r="G392" s="24">
        <f>SUM(G393)</f>
        <v>0</v>
      </c>
      <c r="H392" s="24">
        <f>SUM(H393)</f>
        <v>0</v>
      </c>
      <c r="I392" s="24" t="e">
        <f t="shared" si="11"/>
        <v>#DIV/0!</v>
      </c>
    </row>
    <row r="393" spans="1:9" s="36" customFormat="1" ht="19.5" customHeight="1" hidden="1">
      <c r="A393" s="228" t="s">
        <v>1051</v>
      </c>
      <c r="B393" s="21"/>
      <c r="C393" s="22" t="s">
        <v>1050</v>
      </c>
      <c r="D393" s="22" t="s">
        <v>663</v>
      </c>
      <c r="E393" s="22" t="s">
        <v>1052</v>
      </c>
      <c r="F393" s="23"/>
      <c r="G393" s="24">
        <f>SUM(G394)</f>
        <v>0</v>
      </c>
      <c r="H393" s="24">
        <f>SUM(H394)</f>
        <v>0</v>
      </c>
      <c r="I393" s="24" t="e">
        <f t="shared" si="11"/>
        <v>#DIV/0!</v>
      </c>
    </row>
    <row r="394" spans="1:9" s="36" customFormat="1" ht="19.5" customHeight="1" hidden="1">
      <c r="A394" s="228" t="s">
        <v>1053</v>
      </c>
      <c r="B394" s="21"/>
      <c r="C394" s="22" t="s">
        <v>1050</v>
      </c>
      <c r="D394" s="22" t="s">
        <v>663</v>
      </c>
      <c r="E394" s="22" t="s">
        <v>1052</v>
      </c>
      <c r="F394" s="23" t="s">
        <v>1054</v>
      </c>
      <c r="G394" s="24"/>
      <c r="H394" s="24"/>
      <c r="I394" s="24" t="e">
        <f t="shared" si="11"/>
        <v>#DIV/0!</v>
      </c>
    </row>
    <row r="395" spans="1:9" s="36" customFormat="1" ht="43.5" customHeight="1">
      <c r="A395" s="228" t="s">
        <v>631</v>
      </c>
      <c r="B395" s="21"/>
      <c r="C395" s="22" t="s">
        <v>1050</v>
      </c>
      <c r="D395" s="22" t="s">
        <v>663</v>
      </c>
      <c r="E395" s="22" t="s">
        <v>632</v>
      </c>
      <c r="F395" s="23"/>
      <c r="G395" s="24">
        <f>SUM(G396+G397)</f>
        <v>26088.8</v>
      </c>
      <c r="H395" s="24">
        <f>SUM(H396+H397)</f>
        <v>1821.9</v>
      </c>
      <c r="I395" s="24">
        <f t="shared" si="11"/>
        <v>6.983456502407163</v>
      </c>
    </row>
    <row r="396" spans="1:9" s="36" customFormat="1" ht="19.5" customHeight="1" hidden="1">
      <c r="A396" s="222" t="s">
        <v>812</v>
      </c>
      <c r="B396" s="21"/>
      <c r="C396" s="22" t="s">
        <v>1050</v>
      </c>
      <c r="D396" s="22" t="s">
        <v>663</v>
      </c>
      <c r="E396" s="22" t="s">
        <v>632</v>
      </c>
      <c r="F396" s="23" t="s">
        <v>897</v>
      </c>
      <c r="G396" s="24"/>
      <c r="H396" s="24"/>
      <c r="I396" s="24" t="e">
        <f t="shared" si="11"/>
        <v>#DIV/0!</v>
      </c>
    </row>
    <row r="397" spans="1:9" s="36" customFormat="1" ht="19.5" customHeight="1">
      <c r="A397" s="257" t="s">
        <v>1053</v>
      </c>
      <c r="B397" s="21"/>
      <c r="C397" s="22" t="s">
        <v>1050</v>
      </c>
      <c r="D397" s="22" t="s">
        <v>663</v>
      </c>
      <c r="E397" s="22" t="s">
        <v>632</v>
      </c>
      <c r="F397" s="23" t="s">
        <v>1054</v>
      </c>
      <c r="G397" s="24">
        <v>26088.8</v>
      </c>
      <c r="H397" s="24">
        <v>1821.9</v>
      </c>
      <c r="I397" s="24">
        <f>SUM(H397/G397*100)</f>
        <v>6.983456502407163</v>
      </c>
    </row>
    <row r="398" spans="1:9" s="36" customFormat="1" ht="19.5" customHeight="1" hidden="1">
      <c r="A398" s="228" t="s">
        <v>641</v>
      </c>
      <c r="B398" s="21"/>
      <c r="C398" s="22" t="s">
        <v>1050</v>
      </c>
      <c r="D398" s="22" t="s">
        <v>663</v>
      </c>
      <c r="E398" s="22" t="s">
        <v>642</v>
      </c>
      <c r="F398" s="23"/>
      <c r="G398" s="24">
        <f>SUM(G399)</f>
        <v>0</v>
      </c>
      <c r="H398" s="24">
        <f>SUM(H399)</f>
        <v>1821.9</v>
      </c>
      <c r="I398" s="24" t="e">
        <f t="shared" si="11"/>
        <v>#DIV/0!</v>
      </c>
    </row>
    <row r="399" spans="1:9" s="36" customFormat="1" ht="19.5" customHeight="1" hidden="1">
      <c r="A399" s="257" t="s">
        <v>1053</v>
      </c>
      <c r="B399" s="21"/>
      <c r="C399" s="22" t="s">
        <v>1050</v>
      </c>
      <c r="D399" s="22" t="s">
        <v>663</v>
      </c>
      <c r="E399" s="22" t="s">
        <v>642</v>
      </c>
      <c r="F399" s="23" t="s">
        <v>1054</v>
      </c>
      <c r="G399" s="24"/>
      <c r="H399" s="24">
        <v>1821.9</v>
      </c>
      <c r="I399" s="24" t="e">
        <f t="shared" si="11"/>
        <v>#DIV/0!</v>
      </c>
    </row>
    <row r="400" spans="1:9" s="36" customFormat="1" ht="19.5" customHeight="1" hidden="1">
      <c r="A400" s="222" t="s">
        <v>643</v>
      </c>
      <c r="B400" s="21"/>
      <c r="C400" s="22" t="s">
        <v>1050</v>
      </c>
      <c r="D400" s="22" t="s">
        <v>663</v>
      </c>
      <c r="E400" s="22" t="s">
        <v>644</v>
      </c>
      <c r="F400" s="23"/>
      <c r="G400" s="24">
        <f>SUM(G401+G403)</f>
        <v>0</v>
      </c>
      <c r="H400" s="24">
        <f>SUM(H401+H403)</f>
        <v>0</v>
      </c>
      <c r="I400" s="24" t="e">
        <f t="shared" si="11"/>
        <v>#DIV/0!</v>
      </c>
    </row>
    <row r="401" spans="1:9" s="36" customFormat="1" ht="19.5" customHeight="1" hidden="1">
      <c r="A401" s="224" t="s">
        <v>645</v>
      </c>
      <c r="B401" s="21"/>
      <c r="C401" s="22" t="s">
        <v>1050</v>
      </c>
      <c r="D401" s="22" t="s">
        <v>663</v>
      </c>
      <c r="E401" s="22" t="s">
        <v>646</v>
      </c>
      <c r="F401" s="23"/>
      <c r="G401" s="24">
        <f>SUM(G402)</f>
        <v>0</v>
      </c>
      <c r="H401" s="24">
        <f>SUM(H402)</f>
        <v>0</v>
      </c>
      <c r="I401" s="24" t="e">
        <f t="shared" si="11"/>
        <v>#DIV/0!</v>
      </c>
    </row>
    <row r="402" spans="1:9" s="36" customFormat="1" ht="19.5" customHeight="1" hidden="1">
      <c r="A402" s="222" t="s">
        <v>796</v>
      </c>
      <c r="B402" s="21"/>
      <c r="C402" s="22" t="s">
        <v>1050</v>
      </c>
      <c r="D402" s="22" t="s">
        <v>663</v>
      </c>
      <c r="E402" s="22" t="s">
        <v>646</v>
      </c>
      <c r="F402" s="23" t="s">
        <v>797</v>
      </c>
      <c r="G402" s="24"/>
      <c r="H402" s="24"/>
      <c r="I402" s="24" t="e">
        <f t="shared" si="11"/>
        <v>#DIV/0!</v>
      </c>
    </row>
    <row r="403" spans="1:9" s="36" customFormat="1" ht="19.5" customHeight="1" hidden="1">
      <c r="A403" s="224" t="s">
        <v>647</v>
      </c>
      <c r="B403" s="34"/>
      <c r="C403" s="22" t="s">
        <v>1050</v>
      </c>
      <c r="D403" s="22" t="s">
        <v>663</v>
      </c>
      <c r="E403" s="22" t="s">
        <v>648</v>
      </c>
      <c r="F403" s="26"/>
      <c r="G403" s="24">
        <f>SUM(G404)</f>
        <v>0</v>
      </c>
      <c r="H403" s="24">
        <f>SUM(H404)</f>
        <v>0</v>
      </c>
      <c r="I403" s="24" t="e">
        <f t="shared" si="11"/>
        <v>#DIV/0!</v>
      </c>
    </row>
    <row r="404" spans="1:9" s="36" customFormat="1" ht="19.5" customHeight="1" hidden="1">
      <c r="A404" s="222" t="s">
        <v>1010</v>
      </c>
      <c r="B404" s="59"/>
      <c r="C404" s="22" t="s">
        <v>1050</v>
      </c>
      <c r="D404" s="22" t="s">
        <v>663</v>
      </c>
      <c r="E404" s="22" t="s">
        <v>648</v>
      </c>
      <c r="F404" s="47" t="s">
        <v>1011</v>
      </c>
      <c r="G404" s="49"/>
      <c r="H404" s="49"/>
      <c r="I404" s="24" t="e">
        <f t="shared" si="11"/>
        <v>#DIV/0!</v>
      </c>
    </row>
    <row r="405" spans="1:9" s="36" customFormat="1" ht="19.5" customHeight="1" hidden="1">
      <c r="A405" s="224" t="s">
        <v>785</v>
      </c>
      <c r="B405" s="45"/>
      <c r="C405" s="63" t="s">
        <v>1050</v>
      </c>
      <c r="D405" s="63" t="s">
        <v>663</v>
      </c>
      <c r="E405" s="63" t="s">
        <v>786</v>
      </c>
      <c r="F405" s="61"/>
      <c r="G405" s="62">
        <f>SUM(G409)+G414+G406</f>
        <v>0</v>
      </c>
      <c r="H405" s="62">
        <f>SUM(H409)+H414+H406</f>
        <v>0</v>
      </c>
      <c r="I405" s="24" t="e">
        <f t="shared" si="11"/>
        <v>#DIV/0!</v>
      </c>
    </row>
    <row r="406" spans="1:9" s="36" customFormat="1" ht="19.5" customHeight="1" hidden="1">
      <c r="A406" s="224" t="s">
        <v>649</v>
      </c>
      <c r="B406" s="45"/>
      <c r="C406" s="63" t="s">
        <v>1050</v>
      </c>
      <c r="D406" s="63" t="s">
        <v>663</v>
      </c>
      <c r="E406" s="63" t="s">
        <v>650</v>
      </c>
      <c r="F406" s="61"/>
      <c r="G406" s="62">
        <f>SUM(G407)</f>
        <v>0</v>
      </c>
      <c r="H406" s="62">
        <f>SUM(H407)</f>
        <v>0</v>
      </c>
      <c r="I406" s="24" t="e">
        <f t="shared" si="11"/>
        <v>#DIV/0!</v>
      </c>
    </row>
    <row r="407" spans="1:9" s="36" customFormat="1" ht="19.5" customHeight="1" hidden="1">
      <c r="A407" s="224" t="s">
        <v>1053</v>
      </c>
      <c r="B407" s="45"/>
      <c r="C407" s="63" t="s">
        <v>1050</v>
      </c>
      <c r="D407" s="63" t="s">
        <v>663</v>
      </c>
      <c r="E407" s="63" t="s">
        <v>650</v>
      </c>
      <c r="F407" s="61" t="s">
        <v>1054</v>
      </c>
      <c r="G407" s="62"/>
      <c r="H407" s="62"/>
      <c r="I407" s="24" t="e">
        <f t="shared" si="11"/>
        <v>#DIV/0!</v>
      </c>
    </row>
    <row r="408" spans="1:9" s="36" customFormat="1" ht="19.5" customHeight="1" hidden="1">
      <c r="A408" s="224"/>
      <c r="B408" s="45"/>
      <c r="C408" s="45"/>
      <c r="D408" s="45"/>
      <c r="E408" s="45"/>
      <c r="F408" s="61"/>
      <c r="G408" s="62"/>
      <c r="H408" s="62"/>
      <c r="I408" s="24" t="e">
        <f t="shared" si="11"/>
        <v>#DIV/0!</v>
      </c>
    </row>
    <row r="409" spans="1:9" s="36" customFormat="1" ht="19.5" customHeight="1" hidden="1">
      <c r="A409" s="222" t="s">
        <v>651</v>
      </c>
      <c r="B409" s="45"/>
      <c r="C409" s="63" t="s">
        <v>1050</v>
      </c>
      <c r="D409" s="63" t="s">
        <v>663</v>
      </c>
      <c r="E409" s="63" t="s">
        <v>652</v>
      </c>
      <c r="F409" s="61"/>
      <c r="G409" s="62">
        <f>SUM(G410+G412)</f>
        <v>0</v>
      </c>
      <c r="H409" s="62">
        <f>SUM(H410+H412)</f>
        <v>0</v>
      </c>
      <c r="I409" s="24" t="e">
        <f t="shared" si="11"/>
        <v>#DIV/0!</v>
      </c>
    </row>
    <row r="410" spans="1:9" s="36" customFormat="1" ht="28.5" hidden="1">
      <c r="A410" s="224" t="s">
        <v>653</v>
      </c>
      <c r="B410" s="64"/>
      <c r="C410" s="63" t="s">
        <v>1050</v>
      </c>
      <c r="D410" s="63" t="s">
        <v>663</v>
      </c>
      <c r="E410" s="63" t="s">
        <v>654</v>
      </c>
      <c r="F410" s="61"/>
      <c r="G410" s="62">
        <f>SUM(G411)</f>
        <v>0</v>
      </c>
      <c r="H410" s="62">
        <f>SUM(H411)</f>
        <v>0</v>
      </c>
      <c r="I410" s="24" t="e">
        <f t="shared" si="11"/>
        <v>#DIV/0!</v>
      </c>
    </row>
    <row r="411" spans="1:9" s="36" customFormat="1" ht="15" hidden="1">
      <c r="A411" s="228" t="s">
        <v>1053</v>
      </c>
      <c r="B411" s="45"/>
      <c r="C411" s="63" t="s">
        <v>1050</v>
      </c>
      <c r="D411" s="63" t="s">
        <v>663</v>
      </c>
      <c r="E411" s="63" t="s">
        <v>654</v>
      </c>
      <c r="F411" s="50" t="s">
        <v>1054</v>
      </c>
      <c r="G411" s="24"/>
      <c r="H411" s="24"/>
      <c r="I411" s="24" t="e">
        <f t="shared" si="11"/>
        <v>#DIV/0!</v>
      </c>
    </row>
    <row r="412" spans="1:9" s="36" customFormat="1" ht="15" hidden="1">
      <c r="A412" s="228" t="s">
        <v>655</v>
      </c>
      <c r="B412" s="45"/>
      <c r="C412" s="63" t="s">
        <v>1050</v>
      </c>
      <c r="D412" s="63" t="s">
        <v>663</v>
      </c>
      <c r="E412" s="63" t="s">
        <v>656</v>
      </c>
      <c r="F412" s="50"/>
      <c r="G412" s="24">
        <f>SUM(G413)</f>
        <v>0</v>
      </c>
      <c r="H412" s="24">
        <f>SUM(H413)</f>
        <v>0</v>
      </c>
      <c r="I412" s="24" t="e">
        <f t="shared" si="11"/>
        <v>#DIV/0!</v>
      </c>
    </row>
    <row r="413" spans="1:9" s="36" customFormat="1" ht="15" hidden="1">
      <c r="A413" s="222" t="s">
        <v>1010</v>
      </c>
      <c r="B413" s="59"/>
      <c r="C413" s="22" t="s">
        <v>1050</v>
      </c>
      <c r="D413" s="22" t="s">
        <v>663</v>
      </c>
      <c r="E413" s="63" t="s">
        <v>656</v>
      </c>
      <c r="F413" s="50" t="s">
        <v>1011</v>
      </c>
      <c r="G413" s="24"/>
      <c r="H413" s="24"/>
      <c r="I413" s="24" t="e">
        <f t="shared" si="11"/>
        <v>#DIV/0!</v>
      </c>
    </row>
    <row r="414" spans="1:9" s="36" customFormat="1" ht="28.5" hidden="1">
      <c r="A414" s="222" t="s">
        <v>657</v>
      </c>
      <c r="B414" s="59"/>
      <c r="C414" s="22" t="s">
        <v>1050</v>
      </c>
      <c r="D414" s="22" t="s">
        <v>663</v>
      </c>
      <c r="E414" s="46" t="s">
        <v>658</v>
      </c>
      <c r="F414" s="50"/>
      <c r="G414" s="24"/>
      <c r="H414" s="24"/>
      <c r="I414" s="24" t="e">
        <f t="shared" si="11"/>
        <v>#DIV/0!</v>
      </c>
    </row>
    <row r="415" spans="1:9" s="36" customFormat="1" ht="28.5" hidden="1">
      <c r="A415" s="222" t="s">
        <v>874</v>
      </c>
      <c r="B415" s="59"/>
      <c r="C415" s="22" t="s">
        <v>1050</v>
      </c>
      <c r="D415" s="22" t="s">
        <v>663</v>
      </c>
      <c r="E415" s="46" t="s">
        <v>875</v>
      </c>
      <c r="F415" s="50"/>
      <c r="G415" s="24">
        <f>SUM(G416)</f>
        <v>0</v>
      </c>
      <c r="H415" s="24">
        <f>SUM(H416)</f>
        <v>0</v>
      </c>
      <c r="I415" s="24" t="e">
        <f t="shared" si="11"/>
        <v>#DIV/0!</v>
      </c>
    </row>
    <row r="416" spans="1:9" s="36" customFormat="1" ht="15" hidden="1">
      <c r="A416" s="222" t="s">
        <v>796</v>
      </c>
      <c r="B416" s="59"/>
      <c r="C416" s="22" t="s">
        <v>1050</v>
      </c>
      <c r="D416" s="22" t="s">
        <v>663</v>
      </c>
      <c r="E416" s="63" t="s">
        <v>875</v>
      </c>
      <c r="F416" s="50" t="s">
        <v>797</v>
      </c>
      <c r="G416" s="24"/>
      <c r="H416" s="24"/>
      <c r="I416" s="24" t="e">
        <f t="shared" si="11"/>
        <v>#DIV/0!</v>
      </c>
    </row>
    <row r="417" spans="1:9" s="36" customFormat="1" ht="28.5" hidden="1">
      <c r="A417" s="222" t="s">
        <v>876</v>
      </c>
      <c r="B417" s="59"/>
      <c r="C417" s="22" t="s">
        <v>1050</v>
      </c>
      <c r="D417" s="22" t="s">
        <v>663</v>
      </c>
      <c r="E417" s="46" t="s">
        <v>877</v>
      </c>
      <c r="F417" s="50"/>
      <c r="G417" s="24">
        <f>SUM(G418)</f>
        <v>0</v>
      </c>
      <c r="H417" s="24">
        <f>SUM(H418)</f>
        <v>0</v>
      </c>
      <c r="I417" s="24" t="e">
        <f t="shared" si="11"/>
        <v>#DIV/0!</v>
      </c>
    </row>
    <row r="418" spans="1:9" s="36" customFormat="1" ht="19.5" customHeight="1" hidden="1">
      <c r="A418" s="222" t="s">
        <v>796</v>
      </c>
      <c r="B418" s="59"/>
      <c r="C418" s="22" t="s">
        <v>1050</v>
      </c>
      <c r="D418" s="22" t="s">
        <v>663</v>
      </c>
      <c r="E418" s="63" t="s">
        <v>877</v>
      </c>
      <c r="F418" s="50" t="s">
        <v>797</v>
      </c>
      <c r="G418" s="24"/>
      <c r="H418" s="24"/>
      <c r="I418" s="24" t="e">
        <f t="shared" si="11"/>
        <v>#DIV/0!</v>
      </c>
    </row>
    <row r="419" spans="1:9" s="36" customFormat="1" ht="19.5" customHeight="1" hidden="1">
      <c r="A419" s="222" t="s">
        <v>643</v>
      </c>
      <c r="B419" s="59"/>
      <c r="C419" s="22" t="s">
        <v>1050</v>
      </c>
      <c r="D419" s="22" t="s">
        <v>663</v>
      </c>
      <c r="E419" s="63" t="s">
        <v>644</v>
      </c>
      <c r="F419" s="50"/>
      <c r="G419" s="24">
        <f>SUM(G420)</f>
        <v>0</v>
      </c>
      <c r="H419" s="24"/>
      <c r="I419" s="24"/>
    </row>
    <row r="420" spans="1:9" s="36" customFormat="1" ht="19.5" customHeight="1" hidden="1">
      <c r="A420" s="222" t="s">
        <v>339</v>
      </c>
      <c r="B420" s="59"/>
      <c r="C420" s="22" t="s">
        <v>1050</v>
      </c>
      <c r="D420" s="22" t="s">
        <v>663</v>
      </c>
      <c r="E420" s="46" t="s">
        <v>648</v>
      </c>
      <c r="F420" s="50"/>
      <c r="G420" s="24">
        <f>SUM(G421)</f>
        <v>0</v>
      </c>
      <c r="H420" s="24"/>
      <c r="I420" s="24"/>
    </row>
    <row r="421" spans="1:9" s="36" customFormat="1" ht="19.5" customHeight="1" hidden="1">
      <c r="A421" s="222" t="s">
        <v>1010</v>
      </c>
      <c r="B421" s="59"/>
      <c r="C421" s="22" t="s">
        <v>1050</v>
      </c>
      <c r="D421" s="22" t="s">
        <v>663</v>
      </c>
      <c r="E421" s="46" t="s">
        <v>648</v>
      </c>
      <c r="F421" s="47" t="s">
        <v>1011</v>
      </c>
      <c r="G421" s="24"/>
      <c r="H421" s="24"/>
      <c r="I421" s="24"/>
    </row>
    <row r="422" spans="1:9" s="36" customFormat="1" ht="15" hidden="1">
      <c r="A422" s="257" t="s">
        <v>1046</v>
      </c>
      <c r="B422" s="45"/>
      <c r="C422" s="45" t="s">
        <v>1050</v>
      </c>
      <c r="D422" s="45" t="s">
        <v>663</v>
      </c>
      <c r="E422" s="45" t="s">
        <v>1047</v>
      </c>
      <c r="F422" s="50"/>
      <c r="G422" s="24">
        <f>SUM(G423+G426)+G430</f>
        <v>0</v>
      </c>
      <c r="H422" s="24">
        <f>SUM(H423+H426)+H430</f>
        <v>278.1</v>
      </c>
      <c r="I422" s="24" t="e">
        <f t="shared" si="11"/>
        <v>#DIV/0!</v>
      </c>
    </row>
    <row r="423" spans="1:9" s="36" customFormat="1" ht="19.5" customHeight="1" hidden="1">
      <c r="A423" s="222" t="s">
        <v>1010</v>
      </c>
      <c r="B423" s="45"/>
      <c r="C423" s="45" t="s">
        <v>1050</v>
      </c>
      <c r="D423" s="45" t="s">
        <v>663</v>
      </c>
      <c r="E423" s="45" t="s">
        <v>1047</v>
      </c>
      <c r="F423" s="50" t="s">
        <v>1011</v>
      </c>
      <c r="G423" s="65">
        <f>SUM(G424:G425)</f>
        <v>0</v>
      </c>
      <c r="H423" s="65">
        <f>SUM(H424:H425)</f>
        <v>0</v>
      </c>
      <c r="I423" s="24" t="e">
        <f t="shared" si="11"/>
        <v>#DIV/0!</v>
      </c>
    </row>
    <row r="424" spans="1:9" s="36" customFormat="1" ht="19.5" customHeight="1" hidden="1">
      <c r="A424" s="257" t="s">
        <v>878</v>
      </c>
      <c r="B424" s="45"/>
      <c r="C424" s="45" t="s">
        <v>1050</v>
      </c>
      <c r="D424" s="45" t="s">
        <v>663</v>
      </c>
      <c r="E424" s="45" t="s">
        <v>879</v>
      </c>
      <c r="F424" s="50" t="s">
        <v>1011</v>
      </c>
      <c r="G424" s="65"/>
      <c r="H424" s="65"/>
      <c r="I424" s="24" t="e">
        <f t="shared" si="11"/>
        <v>#DIV/0!</v>
      </c>
    </row>
    <row r="425" spans="1:9" s="60" customFormat="1" ht="19.5" customHeight="1" hidden="1">
      <c r="A425" s="257" t="s">
        <v>880</v>
      </c>
      <c r="B425" s="45"/>
      <c r="C425" s="45" t="s">
        <v>1050</v>
      </c>
      <c r="D425" s="45" t="s">
        <v>663</v>
      </c>
      <c r="E425" s="45" t="s">
        <v>881</v>
      </c>
      <c r="F425" s="50" t="s">
        <v>1011</v>
      </c>
      <c r="G425" s="65"/>
      <c r="H425" s="65"/>
      <c r="I425" s="24" t="e">
        <f aca="true" t="shared" si="12" ref="I425:I497">SUM(H425/G425*100)</f>
        <v>#DIV/0!</v>
      </c>
    </row>
    <row r="426" spans="1:9" s="60" customFormat="1" ht="15" hidden="1">
      <c r="A426" s="257" t="s">
        <v>1053</v>
      </c>
      <c r="B426" s="45"/>
      <c r="C426" s="45" t="s">
        <v>1050</v>
      </c>
      <c r="D426" s="45" t="s">
        <v>663</v>
      </c>
      <c r="E426" s="45" t="s">
        <v>1047</v>
      </c>
      <c r="F426" s="50" t="s">
        <v>1054</v>
      </c>
      <c r="G426" s="49">
        <f>SUM(G427)</f>
        <v>0</v>
      </c>
      <c r="H426" s="49">
        <f>SUM(H427)</f>
        <v>167.7</v>
      </c>
      <c r="I426" s="24" t="e">
        <f t="shared" si="12"/>
        <v>#DIV/0!</v>
      </c>
    </row>
    <row r="427" spans="1:9" ht="19.5" customHeight="1" hidden="1">
      <c r="A427" s="228" t="s">
        <v>882</v>
      </c>
      <c r="B427" s="45"/>
      <c r="C427" s="46" t="s">
        <v>1050</v>
      </c>
      <c r="D427" s="46" t="s">
        <v>663</v>
      </c>
      <c r="E427" s="46" t="s">
        <v>883</v>
      </c>
      <c r="F427" s="47" t="s">
        <v>1054</v>
      </c>
      <c r="G427" s="24">
        <f>SUM(G429)</f>
        <v>0</v>
      </c>
      <c r="H427" s="24">
        <f>SUM(H429)</f>
        <v>167.7</v>
      </c>
      <c r="I427" s="24" t="e">
        <f t="shared" si="12"/>
        <v>#DIV/0!</v>
      </c>
    </row>
    <row r="428" spans="1:9" ht="19.5" customHeight="1" hidden="1">
      <c r="A428" s="228" t="s">
        <v>931</v>
      </c>
      <c r="B428" s="45"/>
      <c r="C428" s="46"/>
      <c r="D428" s="46"/>
      <c r="E428" s="46"/>
      <c r="F428" s="47"/>
      <c r="G428" s="24"/>
      <c r="H428" s="24"/>
      <c r="I428" s="24"/>
    </row>
    <row r="429" spans="1:9" s="36" customFormat="1" ht="19.5" customHeight="1" hidden="1">
      <c r="A429" s="224" t="s">
        <v>653</v>
      </c>
      <c r="B429" s="45"/>
      <c r="C429" s="46" t="s">
        <v>1050</v>
      </c>
      <c r="D429" s="46" t="s">
        <v>663</v>
      </c>
      <c r="E429" s="46" t="s">
        <v>884</v>
      </c>
      <c r="F429" s="47" t="s">
        <v>1054</v>
      </c>
      <c r="G429" s="24"/>
      <c r="H429" s="24">
        <v>167.7</v>
      </c>
      <c r="I429" s="24" t="e">
        <f t="shared" si="12"/>
        <v>#DIV/0!</v>
      </c>
    </row>
    <row r="430" spans="1:9" s="36" customFormat="1" ht="19.5" customHeight="1" hidden="1">
      <c r="A430" s="233" t="s">
        <v>885</v>
      </c>
      <c r="B430" s="45"/>
      <c r="C430" s="46" t="s">
        <v>1050</v>
      </c>
      <c r="D430" s="46" t="s">
        <v>663</v>
      </c>
      <c r="E430" s="46" t="s">
        <v>886</v>
      </c>
      <c r="F430" s="47"/>
      <c r="G430" s="24">
        <f>SUM(G431)</f>
        <v>0</v>
      </c>
      <c r="H430" s="24">
        <f>SUM(H431)</f>
        <v>110.4</v>
      </c>
      <c r="I430" s="24" t="e">
        <f t="shared" si="12"/>
        <v>#DIV/0!</v>
      </c>
    </row>
    <row r="431" spans="1:9" s="36" customFormat="1" ht="19.5" customHeight="1" hidden="1">
      <c r="A431" s="257" t="s">
        <v>1053</v>
      </c>
      <c r="B431" s="45"/>
      <c r="C431" s="46" t="s">
        <v>1050</v>
      </c>
      <c r="D431" s="46" t="s">
        <v>663</v>
      </c>
      <c r="E431" s="46" t="s">
        <v>886</v>
      </c>
      <c r="F431" s="47" t="s">
        <v>1054</v>
      </c>
      <c r="G431" s="24"/>
      <c r="H431" s="24">
        <v>110.4</v>
      </c>
      <c r="I431" s="24" t="e">
        <f t="shared" si="12"/>
        <v>#DIV/0!</v>
      </c>
    </row>
    <row r="432" spans="1:9" ht="19.5" customHeight="1" hidden="1">
      <c r="A432" s="228" t="s">
        <v>887</v>
      </c>
      <c r="B432" s="34"/>
      <c r="C432" s="35" t="s">
        <v>1050</v>
      </c>
      <c r="D432" s="35" t="s">
        <v>665</v>
      </c>
      <c r="E432" s="35"/>
      <c r="F432" s="26"/>
      <c r="G432" s="24">
        <f>SUM(G439+G451)+G433+G447+G436</f>
        <v>0</v>
      </c>
      <c r="H432" s="24">
        <f>SUM(H439+H451)+H433+H447+H436</f>
        <v>24530.6</v>
      </c>
      <c r="I432" s="24" t="e">
        <f t="shared" si="12"/>
        <v>#DIV/0!</v>
      </c>
    </row>
    <row r="433" spans="1:9" ht="19.5" customHeight="1" hidden="1">
      <c r="A433" s="222" t="s">
        <v>567</v>
      </c>
      <c r="B433" s="21"/>
      <c r="C433" s="35" t="s">
        <v>1050</v>
      </c>
      <c r="D433" s="35" t="s">
        <v>665</v>
      </c>
      <c r="E433" s="35" t="s">
        <v>569</v>
      </c>
      <c r="F433" s="26"/>
      <c r="G433" s="24">
        <f>SUM(G434)</f>
        <v>0</v>
      </c>
      <c r="H433" s="24">
        <f>SUM(H434)</f>
        <v>0</v>
      </c>
      <c r="I433" s="24" t="e">
        <f t="shared" si="12"/>
        <v>#DIV/0!</v>
      </c>
    </row>
    <row r="434" spans="1:9" ht="19.5" customHeight="1" hidden="1">
      <c r="A434" s="222" t="s">
        <v>545</v>
      </c>
      <c r="B434" s="21"/>
      <c r="C434" s="35" t="s">
        <v>1050</v>
      </c>
      <c r="D434" s="35" t="s">
        <v>665</v>
      </c>
      <c r="E434" s="35" t="s">
        <v>546</v>
      </c>
      <c r="F434" s="23"/>
      <c r="G434" s="24">
        <f>SUM(G435)</f>
        <v>0</v>
      </c>
      <c r="H434" s="24">
        <f>SUM(H435)</f>
        <v>0</v>
      </c>
      <c r="I434" s="24" t="e">
        <f t="shared" si="12"/>
        <v>#DIV/0!</v>
      </c>
    </row>
    <row r="435" spans="1:9" ht="19.5" customHeight="1" hidden="1">
      <c r="A435" s="222" t="s">
        <v>1010</v>
      </c>
      <c r="B435" s="21"/>
      <c r="C435" s="35" t="s">
        <v>1050</v>
      </c>
      <c r="D435" s="35" t="s">
        <v>665</v>
      </c>
      <c r="E435" s="35" t="s">
        <v>546</v>
      </c>
      <c r="F435" s="23" t="s">
        <v>1011</v>
      </c>
      <c r="G435" s="24"/>
      <c r="H435" s="24"/>
      <c r="I435" s="24" t="e">
        <f t="shared" si="12"/>
        <v>#DIV/0!</v>
      </c>
    </row>
    <row r="436" spans="1:9" ht="19.5" customHeight="1" hidden="1">
      <c r="A436" s="222" t="s">
        <v>359</v>
      </c>
      <c r="B436" s="21"/>
      <c r="C436" s="35" t="s">
        <v>1050</v>
      </c>
      <c r="D436" s="35" t="s">
        <v>665</v>
      </c>
      <c r="E436" s="35" t="s">
        <v>360</v>
      </c>
      <c r="F436" s="23"/>
      <c r="G436" s="24">
        <f>SUM(G437)</f>
        <v>0</v>
      </c>
      <c r="H436" s="24">
        <f>SUM(H437)</f>
        <v>9483.6</v>
      </c>
      <c r="I436" s="24" t="e">
        <f t="shared" si="12"/>
        <v>#DIV/0!</v>
      </c>
    </row>
    <row r="437" spans="1:9" ht="19.5" customHeight="1" hidden="1">
      <c r="A437" s="222" t="s">
        <v>361</v>
      </c>
      <c r="B437" s="21"/>
      <c r="C437" s="35" t="s">
        <v>1050</v>
      </c>
      <c r="D437" s="35" t="s">
        <v>665</v>
      </c>
      <c r="E437" s="35" t="s">
        <v>362</v>
      </c>
      <c r="F437" s="23"/>
      <c r="G437" s="24">
        <f>SUM(G438)</f>
        <v>0</v>
      </c>
      <c r="H437" s="24">
        <f>SUM(H438)</f>
        <v>9483.6</v>
      </c>
      <c r="I437" s="24" t="e">
        <f t="shared" si="12"/>
        <v>#DIV/0!</v>
      </c>
    </row>
    <row r="438" spans="1:9" ht="19.5" customHeight="1" hidden="1">
      <c r="A438" s="222" t="s">
        <v>796</v>
      </c>
      <c r="B438" s="21"/>
      <c r="C438" s="35" t="s">
        <v>1050</v>
      </c>
      <c r="D438" s="35" t="s">
        <v>665</v>
      </c>
      <c r="E438" s="35" t="s">
        <v>362</v>
      </c>
      <c r="F438" s="23" t="s">
        <v>797</v>
      </c>
      <c r="G438" s="24"/>
      <c r="H438" s="24">
        <v>9483.6</v>
      </c>
      <c r="I438" s="24" t="e">
        <f t="shared" si="12"/>
        <v>#DIV/0!</v>
      </c>
    </row>
    <row r="439" spans="1:9" ht="19.5" customHeight="1" hidden="1">
      <c r="A439" s="229" t="s">
        <v>363</v>
      </c>
      <c r="B439" s="34"/>
      <c r="C439" s="35" t="s">
        <v>1050</v>
      </c>
      <c r="D439" s="35" t="s">
        <v>665</v>
      </c>
      <c r="E439" s="35" t="s">
        <v>889</v>
      </c>
      <c r="F439" s="26"/>
      <c r="G439" s="24">
        <f>SUM(G440+G442+G444)</f>
        <v>0</v>
      </c>
      <c r="H439" s="24">
        <f>SUM(H440+H442+H444)</f>
        <v>15047</v>
      </c>
      <c r="I439" s="24" t="e">
        <f t="shared" si="12"/>
        <v>#DIV/0!</v>
      </c>
    </row>
    <row r="440" spans="1:9" ht="42.75" hidden="1">
      <c r="A440" s="257" t="s">
        <v>364</v>
      </c>
      <c r="B440" s="34"/>
      <c r="C440" s="35" t="s">
        <v>1050</v>
      </c>
      <c r="D440" s="35" t="s">
        <v>665</v>
      </c>
      <c r="E440" s="35" t="s">
        <v>365</v>
      </c>
      <c r="F440" s="26"/>
      <c r="G440" s="24">
        <f>SUM(G441)</f>
        <v>0</v>
      </c>
      <c r="H440" s="24">
        <f>SUM(H441)</f>
        <v>0</v>
      </c>
      <c r="I440" s="24" t="e">
        <f t="shared" si="12"/>
        <v>#DIV/0!</v>
      </c>
    </row>
    <row r="441" spans="1:9" s="70" customFormat="1" ht="15" hidden="1">
      <c r="A441" s="222" t="s">
        <v>796</v>
      </c>
      <c r="B441" s="21"/>
      <c r="C441" s="22" t="s">
        <v>1050</v>
      </c>
      <c r="D441" s="35" t="s">
        <v>665</v>
      </c>
      <c r="E441" s="35" t="s">
        <v>365</v>
      </c>
      <c r="F441" s="23" t="s">
        <v>797</v>
      </c>
      <c r="G441" s="24"/>
      <c r="H441" s="24"/>
      <c r="I441" s="24" t="e">
        <f t="shared" si="12"/>
        <v>#DIV/0!</v>
      </c>
    </row>
    <row r="442" spans="1:9" ht="42.75" hidden="1">
      <c r="A442" s="257" t="s">
        <v>858</v>
      </c>
      <c r="B442" s="21"/>
      <c r="C442" s="35" t="s">
        <v>1050</v>
      </c>
      <c r="D442" s="35" t="s">
        <v>665</v>
      </c>
      <c r="E442" s="35" t="s">
        <v>859</v>
      </c>
      <c r="F442" s="23"/>
      <c r="G442" s="24">
        <f>SUM(G443)</f>
        <v>0</v>
      </c>
      <c r="H442" s="24">
        <f>SUM(H443)</f>
        <v>0</v>
      </c>
      <c r="I442" s="24" t="e">
        <f t="shared" si="12"/>
        <v>#DIV/0!</v>
      </c>
    </row>
    <row r="443" spans="1:9" s="70" customFormat="1" ht="19.5" customHeight="1" hidden="1">
      <c r="A443" s="222" t="s">
        <v>796</v>
      </c>
      <c r="B443" s="21"/>
      <c r="C443" s="35" t="s">
        <v>1050</v>
      </c>
      <c r="D443" s="35" t="s">
        <v>665</v>
      </c>
      <c r="E443" s="35" t="s">
        <v>859</v>
      </c>
      <c r="F443" s="23" t="s">
        <v>797</v>
      </c>
      <c r="G443" s="24"/>
      <c r="H443" s="24"/>
      <c r="I443" s="24" t="e">
        <f t="shared" si="12"/>
        <v>#DIV/0!</v>
      </c>
    </row>
    <row r="444" spans="1:9" ht="19.5" customHeight="1" hidden="1">
      <c r="A444" s="224" t="s">
        <v>860</v>
      </c>
      <c r="B444" s="34"/>
      <c r="C444" s="35" t="s">
        <v>1050</v>
      </c>
      <c r="D444" s="35" t="s">
        <v>665</v>
      </c>
      <c r="E444" s="35" t="s">
        <v>861</v>
      </c>
      <c r="F444" s="26"/>
      <c r="G444" s="24">
        <f>SUM(G445:G446)</f>
        <v>0</v>
      </c>
      <c r="H444" s="24">
        <f>SUM(H445:H446)</f>
        <v>15047</v>
      </c>
      <c r="I444" s="24" t="e">
        <f t="shared" si="12"/>
        <v>#DIV/0!</v>
      </c>
    </row>
    <row r="445" spans="1:9" ht="19.5" customHeight="1" hidden="1">
      <c r="A445" s="222" t="s">
        <v>796</v>
      </c>
      <c r="B445" s="34"/>
      <c r="C445" s="35" t="s">
        <v>1050</v>
      </c>
      <c r="D445" s="35" t="s">
        <v>665</v>
      </c>
      <c r="E445" s="35" t="s">
        <v>861</v>
      </c>
      <c r="F445" s="23" t="s">
        <v>797</v>
      </c>
      <c r="G445" s="49"/>
      <c r="H445" s="49">
        <f>878+4272.1+2990.6</f>
        <v>8140.700000000001</v>
      </c>
      <c r="I445" s="24" t="e">
        <f t="shared" si="12"/>
        <v>#DIV/0!</v>
      </c>
    </row>
    <row r="446" spans="1:9" ht="19.5" customHeight="1" hidden="1">
      <c r="A446" s="222" t="s">
        <v>1010</v>
      </c>
      <c r="B446" s="34"/>
      <c r="C446" s="35" t="s">
        <v>1050</v>
      </c>
      <c r="D446" s="35" t="s">
        <v>665</v>
      </c>
      <c r="E446" s="35" t="s">
        <v>861</v>
      </c>
      <c r="F446" s="23" t="s">
        <v>1011</v>
      </c>
      <c r="G446" s="49"/>
      <c r="H446" s="49">
        <v>6906.3</v>
      </c>
      <c r="I446" s="24" t="e">
        <f t="shared" si="12"/>
        <v>#DIV/0!</v>
      </c>
    </row>
    <row r="447" spans="1:9" ht="19.5" customHeight="1" hidden="1">
      <c r="A447" s="224" t="s">
        <v>785</v>
      </c>
      <c r="B447" s="45"/>
      <c r="C447" s="35" t="s">
        <v>1050</v>
      </c>
      <c r="D447" s="35" t="s">
        <v>665</v>
      </c>
      <c r="E447" s="46" t="s">
        <v>786</v>
      </c>
      <c r="F447" s="26"/>
      <c r="G447" s="49">
        <f aca="true" t="shared" si="13" ref="G447:H449">SUM(G448)</f>
        <v>0</v>
      </c>
      <c r="H447" s="49">
        <f t="shared" si="13"/>
        <v>0</v>
      </c>
      <c r="I447" s="24" t="e">
        <f t="shared" si="12"/>
        <v>#DIV/0!</v>
      </c>
    </row>
    <row r="448" spans="1:9" ht="19.5" customHeight="1" hidden="1">
      <c r="A448" s="222" t="s">
        <v>651</v>
      </c>
      <c r="B448" s="45"/>
      <c r="C448" s="35" t="s">
        <v>1050</v>
      </c>
      <c r="D448" s="35" t="s">
        <v>665</v>
      </c>
      <c r="E448" s="46" t="s">
        <v>652</v>
      </c>
      <c r="F448" s="26"/>
      <c r="G448" s="49">
        <f t="shared" si="13"/>
        <v>0</v>
      </c>
      <c r="H448" s="49">
        <f t="shared" si="13"/>
        <v>0</v>
      </c>
      <c r="I448" s="24" t="e">
        <f t="shared" si="12"/>
        <v>#DIV/0!</v>
      </c>
    </row>
    <row r="449" spans="1:9" ht="19.5" customHeight="1" hidden="1">
      <c r="A449" s="224" t="s">
        <v>862</v>
      </c>
      <c r="B449" s="21"/>
      <c r="C449" s="35" t="s">
        <v>1050</v>
      </c>
      <c r="D449" s="35" t="s">
        <v>665</v>
      </c>
      <c r="E449" s="46" t="s">
        <v>863</v>
      </c>
      <c r="F449" s="26"/>
      <c r="G449" s="49">
        <f t="shared" si="13"/>
        <v>0</v>
      </c>
      <c r="H449" s="49">
        <f t="shared" si="13"/>
        <v>0</v>
      </c>
      <c r="I449" s="24" t="e">
        <f t="shared" si="12"/>
        <v>#DIV/0!</v>
      </c>
    </row>
    <row r="450" spans="1:9" ht="19.5" customHeight="1" hidden="1">
      <c r="A450" s="222" t="s">
        <v>1010</v>
      </c>
      <c r="B450" s="34"/>
      <c r="C450" s="35" t="s">
        <v>1050</v>
      </c>
      <c r="D450" s="35" t="s">
        <v>665</v>
      </c>
      <c r="E450" s="46" t="s">
        <v>863</v>
      </c>
      <c r="F450" s="23" t="s">
        <v>1011</v>
      </c>
      <c r="G450" s="49"/>
      <c r="H450" s="49"/>
      <c r="I450" s="24" t="e">
        <f t="shared" si="12"/>
        <v>#DIV/0!</v>
      </c>
    </row>
    <row r="451" spans="1:9" ht="15" hidden="1">
      <c r="A451" s="257" t="s">
        <v>1046</v>
      </c>
      <c r="B451" s="66"/>
      <c r="C451" s="45" t="s">
        <v>1050</v>
      </c>
      <c r="D451" s="45" t="s">
        <v>665</v>
      </c>
      <c r="E451" s="45" t="s">
        <v>1047</v>
      </c>
      <c r="F451" s="50"/>
      <c r="G451" s="49">
        <f>SUM(G452)</f>
        <v>0</v>
      </c>
      <c r="H451" s="49">
        <f>SUM(H452)</f>
        <v>0</v>
      </c>
      <c r="I451" s="24" t="e">
        <f t="shared" si="12"/>
        <v>#DIV/0!</v>
      </c>
    </row>
    <row r="452" spans="1:9" s="73" customFormat="1" ht="42.75" hidden="1">
      <c r="A452" s="234" t="s">
        <v>382</v>
      </c>
      <c r="B452" s="66"/>
      <c r="C452" s="46" t="s">
        <v>1050</v>
      </c>
      <c r="D452" s="46" t="s">
        <v>665</v>
      </c>
      <c r="E452" s="46" t="s">
        <v>383</v>
      </c>
      <c r="F452" s="23"/>
      <c r="G452" s="49">
        <f>SUM(G453)+G454+G456+G455</f>
        <v>0</v>
      </c>
      <c r="H452" s="49">
        <f>SUM(H453)+H454+H456</f>
        <v>0</v>
      </c>
      <c r="I452" s="24" t="e">
        <f t="shared" si="12"/>
        <v>#DIV/0!</v>
      </c>
    </row>
    <row r="453" spans="1:9" ht="28.5" hidden="1">
      <c r="A453" s="222" t="s">
        <v>864</v>
      </c>
      <c r="B453" s="66"/>
      <c r="C453" s="46" t="s">
        <v>1050</v>
      </c>
      <c r="D453" s="46" t="s">
        <v>665</v>
      </c>
      <c r="E453" s="46" t="s">
        <v>865</v>
      </c>
      <c r="F453" s="23" t="s">
        <v>1011</v>
      </c>
      <c r="G453" s="49">
        <f>600-600</f>
        <v>0</v>
      </c>
      <c r="H453" s="49">
        <f>600-600</f>
        <v>0</v>
      </c>
      <c r="I453" s="24" t="e">
        <f t="shared" si="12"/>
        <v>#DIV/0!</v>
      </c>
    </row>
    <row r="454" spans="1:9" ht="28.5" hidden="1">
      <c r="A454" s="257" t="s">
        <v>866</v>
      </c>
      <c r="B454" s="66"/>
      <c r="C454" s="46" t="s">
        <v>1050</v>
      </c>
      <c r="D454" s="46" t="s">
        <v>665</v>
      </c>
      <c r="E454" s="46" t="s">
        <v>867</v>
      </c>
      <c r="F454" s="23" t="s">
        <v>1011</v>
      </c>
      <c r="G454" s="49">
        <f>900-900</f>
        <v>0</v>
      </c>
      <c r="H454" s="49">
        <f>900-900</f>
        <v>0</v>
      </c>
      <c r="I454" s="24" t="e">
        <f t="shared" si="12"/>
        <v>#DIV/0!</v>
      </c>
    </row>
    <row r="455" spans="1:9" ht="15" hidden="1">
      <c r="A455" s="222" t="s">
        <v>1010</v>
      </c>
      <c r="B455" s="66"/>
      <c r="C455" s="46" t="s">
        <v>1050</v>
      </c>
      <c r="D455" s="46" t="s">
        <v>665</v>
      </c>
      <c r="E455" s="46" t="s">
        <v>383</v>
      </c>
      <c r="F455" s="23" t="s">
        <v>1011</v>
      </c>
      <c r="G455" s="49">
        <f>5825.2-5825.2</f>
        <v>0</v>
      </c>
      <c r="H455" s="49"/>
      <c r="I455" s="24" t="e">
        <f t="shared" si="12"/>
        <v>#DIV/0!</v>
      </c>
    </row>
    <row r="456" spans="1:9" ht="28.5" hidden="1">
      <c r="A456" s="233" t="s">
        <v>870</v>
      </c>
      <c r="B456" s="66"/>
      <c r="C456" s="46" t="s">
        <v>1050</v>
      </c>
      <c r="D456" s="46" t="s">
        <v>665</v>
      </c>
      <c r="E456" s="46" t="s">
        <v>871</v>
      </c>
      <c r="F456" s="23"/>
      <c r="G456" s="49">
        <f>SUM(G457)</f>
        <v>0</v>
      </c>
      <c r="H456" s="49">
        <f>SUM(H457)</f>
        <v>0</v>
      </c>
      <c r="I456" s="24" t="e">
        <f t="shared" si="12"/>
        <v>#DIV/0!</v>
      </c>
    </row>
    <row r="457" spans="1:9" ht="15" hidden="1">
      <c r="A457" s="257" t="s">
        <v>862</v>
      </c>
      <c r="B457" s="66"/>
      <c r="C457" s="46" t="s">
        <v>1050</v>
      </c>
      <c r="D457" s="46" t="s">
        <v>665</v>
      </c>
      <c r="E457" s="46" t="s">
        <v>872</v>
      </c>
      <c r="F457" s="23"/>
      <c r="G457" s="49">
        <f>SUM(G458)</f>
        <v>0</v>
      </c>
      <c r="H457" s="49">
        <f>SUM(H458)</f>
        <v>0</v>
      </c>
      <c r="I457" s="24" t="e">
        <f t="shared" si="12"/>
        <v>#DIV/0!</v>
      </c>
    </row>
    <row r="458" spans="1:9" ht="15" hidden="1">
      <c r="A458" s="222" t="s">
        <v>1010</v>
      </c>
      <c r="B458" s="66"/>
      <c r="C458" s="46" t="s">
        <v>1050</v>
      </c>
      <c r="D458" s="46" t="s">
        <v>665</v>
      </c>
      <c r="E458" s="46" t="s">
        <v>872</v>
      </c>
      <c r="F458" s="23" t="s">
        <v>1011</v>
      </c>
      <c r="G458" s="49">
        <f>4200.9-4200.9</f>
        <v>0</v>
      </c>
      <c r="H458" s="49">
        <f>4200.9-4200.9</f>
        <v>0</v>
      </c>
      <c r="I458" s="24" t="e">
        <f t="shared" si="12"/>
        <v>#DIV/0!</v>
      </c>
    </row>
    <row r="459" spans="1:9" s="145" customFormat="1" ht="19.5" customHeight="1" hidden="1">
      <c r="A459" s="228" t="s">
        <v>873</v>
      </c>
      <c r="B459" s="34"/>
      <c r="C459" s="35" t="s">
        <v>1050</v>
      </c>
      <c r="D459" s="35" t="s">
        <v>1013</v>
      </c>
      <c r="E459" s="35"/>
      <c r="F459" s="26"/>
      <c r="G459" s="24">
        <f>SUM(G462+G479)+G460</f>
        <v>0</v>
      </c>
      <c r="H459" s="24">
        <f>SUM(H462+H479)+H460</f>
        <v>71482.59999999999</v>
      </c>
      <c r="I459" s="24" t="e">
        <f t="shared" si="12"/>
        <v>#DIV/0!</v>
      </c>
    </row>
    <row r="460" spans="1:9" s="83" customFormat="1" ht="19.5" customHeight="1" hidden="1">
      <c r="A460" s="228" t="s">
        <v>950</v>
      </c>
      <c r="B460" s="34"/>
      <c r="C460" s="35" t="s">
        <v>1050</v>
      </c>
      <c r="D460" s="35" t="s">
        <v>1013</v>
      </c>
      <c r="E460" s="35" t="s">
        <v>951</v>
      </c>
      <c r="F460" s="26"/>
      <c r="G460" s="24">
        <f>SUM(G461)</f>
        <v>0</v>
      </c>
      <c r="H460" s="24">
        <f>SUM(H461)</f>
        <v>0</v>
      </c>
      <c r="I460" s="24" t="e">
        <f t="shared" si="12"/>
        <v>#DIV/0!</v>
      </c>
    </row>
    <row r="461" spans="1:9" s="83" customFormat="1" ht="19.5" customHeight="1" hidden="1">
      <c r="A461" s="228" t="s">
        <v>952</v>
      </c>
      <c r="B461" s="34"/>
      <c r="C461" s="35" t="s">
        <v>1050</v>
      </c>
      <c r="D461" s="35" t="s">
        <v>1013</v>
      </c>
      <c r="E461" s="35" t="s">
        <v>951</v>
      </c>
      <c r="F461" s="26" t="s">
        <v>953</v>
      </c>
      <c r="G461" s="24"/>
      <c r="H461" s="24"/>
      <c r="I461" s="24" t="e">
        <f t="shared" si="12"/>
        <v>#DIV/0!</v>
      </c>
    </row>
    <row r="462" spans="1:9" s="83" customFormat="1" ht="19.5" customHeight="1" hidden="1">
      <c r="A462" s="228" t="s">
        <v>873</v>
      </c>
      <c r="B462" s="45"/>
      <c r="C462" s="35" t="s">
        <v>1050</v>
      </c>
      <c r="D462" s="35" t="s">
        <v>1013</v>
      </c>
      <c r="E462" s="46" t="s">
        <v>954</v>
      </c>
      <c r="F462" s="47"/>
      <c r="G462" s="24">
        <f>SUM(G463+G468+G473+G476)+G471</f>
        <v>0</v>
      </c>
      <c r="H462" s="24">
        <f>SUM(H463+H468+H473+H476)+H471</f>
        <v>71087.2</v>
      </c>
      <c r="I462" s="24" t="e">
        <f t="shared" si="12"/>
        <v>#DIV/0!</v>
      </c>
    </row>
    <row r="463" spans="1:9" s="83" customFormat="1" ht="19.5" customHeight="1" hidden="1">
      <c r="A463" s="257" t="s">
        <v>955</v>
      </c>
      <c r="B463" s="66"/>
      <c r="C463" s="35" t="s">
        <v>1050</v>
      </c>
      <c r="D463" s="35" t="s">
        <v>1013</v>
      </c>
      <c r="E463" s="46" t="s">
        <v>956</v>
      </c>
      <c r="F463" s="47"/>
      <c r="G463" s="24">
        <f>SUM(G464:G466)</f>
        <v>0</v>
      </c>
      <c r="H463" s="24">
        <f>SUM(H465:H466)</f>
        <v>20816.7</v>
      </c>
      <c r="I463" s="24" t="e">
        <f t="shared" si="12"/>
        <v>#DIV/0!</v>
      </c>
    </row>
    <row r="464" spans="1:9" s="83" customFormat="1" ht="19.5" customHeight="1" hidden="1">
      <c r="A464" s="222" t="s">
        <v>796</v>
      </c>
      <c r="B464" s="66"/>
      <c r="C464" s="35" t="s">
        <v>1050</v>
      </c>
      <c r="D464" s="35" t="s">
        <v>1013</v>
      </c>
      <c r="E464" s="46" t="s">
        <v>956</v>
      </c>
      <c r="F464" s="47" t="s">
        <v>797</v>
      </c>
      <c r="G464" s="24"/>
      <c r="H464" s="24"/>
      <c r="I464" s="24"/>
    </row>
    <row r="465" spans="1:9" s="83" customFormat="1" ht="15" hidden="1">
      <c r="A465" s="222" t="s">
        <v>1010</v>
      </c>
      <c r="B465" s="66"/>
      <c r="C465" s="35" t="s">
        <v>1050</v>
      </c>
      <c r="D465" s="35" t="s">
        <v>1013</v>
      </c>
      <c r="E465" s="46" t="s">
        <v>956</v>
      </c>
      <c r="F465" s="47" t="s">
        <v>1011</v>
      </c>
      <c r="G465" s="24"/>
      <c r="H465" s="24">
        <v>20816.7</v>
      </c>
      <c r="I465" s="24" t="e">
        <f t="shared" si="12"/>
        <v>#DIV/0!</v>
      </c>
    </row>
    <row r="466" spans="1:9" s="83" customFormat="1" ht="19.5" customHeight="1" hidden="1">
      <c r="A466" s="222" t="s">
        <v>272</v>
      </c>
      <c r="B466" s="66"/>
      <c r="C466" s="35" t="s">
        <v>1050</v>
      </c>
      <c r="D466" s="35" t="s">
        <v>1013</v>
      </c>
      <c r="E466" s="46" t="s">
        <v>957</v>
      </c>
      <c r="F466" s="47"/>
      <c r="G466" s="24">
        <f>SUM(G467)</f>
        <v>0</v>
      </c>
      <c r="H466" s="24">
        <f>SUM(H467)</f>
        <v>0</v>
      </c>
      <c r="I466" s="24" t="e">
        <f t="shared" si="12"/>
        <v>#DIV/0!</v>
      </c>
    </row>
    <row r="467" spans="1:9" s="83" customFormat="1" ht="15" hidden="1">
      <c r="A467" s="222" t="s">
        <v>1010</v>
      </c>
      <c r="B467" s="66"/>
      <c r="C467" s="35" t="s">
        <v>1050</v>
      </c>
      <c r="D467" s="35" t="s">
        <v>1013</v>
      </c>
      <c r="E467" s="46" t="s">
        <v>957</v>
      </c>
      <c r="F467" s="47" t="s">
        <v>1011</v>
      </c>
      <c r="G467" s="24"/>
      <c r="H467" s="24"/>
      <c r="I467" s="24" t="e">
        <f t="shared" si="12"/>
        <v>#DIV/0!</v>
      </c>
    </row>
    <row r="468" spans="1:9" s="83" customFormat="1" ht="19.5" customHeight="1" hidden="1">
      <c r="A468" s="257" t="s">
        <v>847</v>
      </c>
      <c r="B468" s="66"/>
      <c r="C468" s="35" t="s">
        <v>1050</v>
      </c>
      <c r="D468" s="35" t="s">
        <v>1013</v>
      </c>
      <c r="E468" s="46" t="s">
        <v>848</v>
      </c>
      <c r="F468" s="47"/>
      <c r="G468" s="24">
        <f>SUM(G470+G469)</f>
        <v>0</v>
      </c>
      <c r="H468" s="24">
        <f>SUM(H470)</f>
        <v>43097.5</v>
      </c>
      <c r="I468" s="24" t="e">
        <f t="shared" si="12"/>
        <v>#DIV/0!</v>
      </c>
    </row>
    <row r="469" spans="1:9" s="36" customFormat="1" ht="15" hidden="1">
      <c r="A469" s="222" t="s">
        <v>796</v>
      </c>
      <c r="B469" s="66"/>
      <c r="C469" s="35" t="s">
        <v>1050</v>
      </c>
      <c r="D469" s="35" t="s">
        <v>1013</v>
      </c>
      <c r="E469" s="46" t="s">
        <v>848</v>
      </c>
      <c r="F469" s="47" t="s">
        <v>797</v>
      </c>
      <c r="G469" s="24"/>
      <c r="H469" s="24"/>
      <c r="I469" s="24"/>
    </row>
    <row r="470" spans="1:9" s="83" customFormat="1" ht="19.5" customHeight="1" hidden="1">
      <c r="A470" s="222" t="s">
        <v>1010</v>
      </c>
      <c r="B470" s="66"/>
      <c r="C470" s="35" t="s">
        <v>1050</v>
      </c>
      <c r="D470" s="35" t="s">
        <v>1013</v>
      </c>
      <c r="E470" s="46" t="s">
        <v>848</v>
      </c>
      <c r="F470" s="47" t="s">
        <v>1011</v>
      </c>
      <c r="G470" s="24"/>
      <c r="H470" s="24">
        <v>43097.5</v>
      </c>
      <c r="I470" s="24" t="e">
        <f t="shared" si="12"/>
        <v>#DIV/0!</v>
      </c>
    </row>
    <row r="471" spans="1:9" ht="57" hidden="1">
      <c r="A471" s="222" t="s">
        <v>849</v>
      </c>
      <c r="B471" s="66"/>
      <c r="C471" s="35" t="s">
        <v>1050</v>
      </c>
      <c r="D471" s="35" t="s">
        <v>1013</v>
      </c>
      <c r="E471" s="46" t="s">
        <v>850</v>
      </c>
      <c r="F471" s="47"/>
      <c r="G471" s="24">
        <f>SUM(G472)</f>
        <v>0</v>
      </c>
      <c r="H471" s="24">
        <f>SUM(H472)</f>
        <v>482.9</v>
      </c>
      <c r="I471" s="24" t="e">
        <f t="shared" si="12"/>
        <v>#DIV/0!</v>
      </c>
    </row>
    <row r="472" spans="1:9" ht="19.5" customHeight="1" hidden="1">
      <c r="A472" s="222" t="s">
        <v>1010</v>
      </c>
      <c r="B472" s="66"/>
      <c r="C472" s="35" t="s">
        <v>1050</v>
      </c>
      <c r="D472" s="35" t="s">
        <v>1013</v>
      </c>
      <c r="E472" s="46" t="s">
        <v>850</v>
      </c>
      <c r="F472" s="47" t="s">
        <v>1011</v>
      </c>
      <c r="G472" s="24"/>
      <c r="H472" s="24">
        <v>482.9</v>
      </c>
      <c r="I472" s="24" t="e">
        <f t="shared" si="12"/>
        <v>#DIV/0!</v>
      </c>
    </row>
    <row r="473" spans="1:9" ht="19.5" customHeight="1" hidden="1">
      <c r="A473" s="257" t="s">
        <v>851</v>
      </c>
      <c r="B473" s="66"/>
      <c r="C473" s="35" t="s">
        <v>1050</v>
      </c>
      <c r="D473" s="35" t="s">
        <v>1013</v>
      </c>
      <c r="E473" s="46" t="s">
        <v>852</v>
      </c>
      <c r="F473" s="50"/>
      <c r="G473" s="24">
        <f>SUM(G475+G474)</f>
        <v>0</v>
      </c>
      <c r="H473" s="24">
        <f>SUM(H475)</f>
        <v>489.8</v>
      </c>
      <c r="I473" s="24" t="e">
        <f t="shared" si="12"/>
        <v>#DIV/0!</v>
      </c>
    </row>
    <row r="474" spans="1:9" ht="19.5" customHeight="1" hidden="1">
      <c r="A474" s="222" t="s">
        <v>796</v>
      </c>
      <c r="B474" s="66"/>
      <c r="C474" s="35" t="s">
        <v>1050</v>
      </c>
      <c r="D474" s="35" t="s">
        <v>1013</v>
      </c>
      <c r="E474" s="46" t="s">
        <v>852</v>
      </c>
      <c r="F474" s="50" t="s">
        <v>797</v>
      </c>
      <c r="G474" s="24"/>
      <c r="H474" s="24"/>
      <c r="I474" s="24"/>
    </row>
    <row r="475" spans="1:9" s="145" customFormat="1" ht="19.5" customHeight="1" hidden="1">
      <c r="A475" s="222" t="s">
        <v>1010</v>
      </c>
      <c r="B475" s="66"/>
      <c r="C475" s="35" t="s">
        <v>1050</v>
      </c>
      <c r="D475" s="35" t="s">
        <v>1013</v>
      </c>
      <c r="E475" s="46" t="s">
        <v>852</v>
      </c>
      <c r="F475" s="47" t="s">
        <v>1011</v>
      </c>
      <c r="G475" s="24"/>
      <c r="H475" s="24">
        <v>489.8</v>
      </c>
      <c r="I475" s="24" t="e">
        <f t="shared" si="12"/>
        <v>#DIV/0!</v>
      </c>
    </row>
    <row r="476" spans="1:9" s="145" customFormat="1" ht="15" hidden="1">
      <c r="A476" s="257" t="s">
        <v>853</v>
      </c>
      <c r="B476" s="66"/>
      <c r="C476" s="35" t="s">
        <v>1050</v>
      </c>
      <c r="D476" s="35" t="s">
        <v>1013</v>
      </c>
      <c r="E476" s="46" t="s">
        <v>854</v>
      </c>
      <c r="F476" s="47"/>
      <c r="G476" s="24">
        <f>SUM(G478+G477)</f>
        <v>0</v>
      </c>
      <c r="H476" s="24">
        <f>SUM(H478)</f>
        <v>6200.3</v>
      </c>
      <c r="I476" s="24" t="e">
        <f t="shared" si="12"/>
        <v>#DIV/0!</v>
      </c>
    </row>
    <row r="477" spans="1:9" s="145" customFormat="1" ht="15" hidden="1">
      <c r="A477" s="222" t="s">
        <v>796</v>
      </c>
      <c r="B477" s="66"/>
      <c r="C477" s="35" t="s">
        <v>1050</v>
      </c>
      <c r="D477" s="35" t="s">
        <v>1013</v>
      </c>
      <c r="E477" s="46" t="s">
        <v>854</v>
      </c>
      <c r="F477" s="47" t="s">
        <v>797</v>
      </c>
      <c r="G477" s="24"/>
      <c r="H477" s="24"/>
      <c r="I477" s="24"/>
    </row>
    <row r="478" spans="1:9" s="145" customFormat="1" ht="19.5" customHeight="1" hidden="1">
      <c r="A478" s="222" t="s">
        <v>1010</v>
      </c>
      <c r="B478" s="66"/>
      <c r="C478" s="35" t="s">
        <v>1050</v>
      </c>
      <c r="D478" s="35" t="s">
        <v>1013</v>
      </c>
      <c r="E478" s="46" t="s">
        <v>854</v>
      </c>
      <c r="F478" s="47" t="s">
        <v>1011</v>
      </c>
      <c r="G478" s="24"/>
      <c r="H478" s="24">
        <v>6200.3</v>
      </c>
      <c r="I478" s="24" t="e">
        <f t="shared" si="12"/>
        <v>#DIV/0!</v>
      </c>
    </row>
    <row r="479" spans="1:9" s="145" customFormat="1" ht="15" hidden="1">
      <c r="A479" s="257" t="s">
        <v>1046</v>
      </c>
      <c r="B479" s="66"/>
      <c r="C479" s="35" t="s">
        <v>1050</v>
      </c>
      <c r="D479" s="35" t="s">
        <v>1013</v>
      </c>
      <c r="E479" s="46" t="s">
        <v>1047</v>
      </c>
      <c r="F479" s="47"/>
      <c r="G479" s="24">
        <f>SUM(G480,G484)</f>
        <v>0</v>
      </c>
      <c r="H479" s="24">
        <f>SUM(H480)</f>
        <v>395.4</v>
      </c>
      <c r="I479" s="24" t="e">
        <f t="shared" si="12"/>
        <v>#DIV/0!</v>
      </c>
    </row>
    <row r="480" spans="1:9" s="145" customFormat="1" ht="28.5" hidden="1">
      <c r="A480" s="222" t="s">
        <v>857</v>
      </c>
      <c r="B480" s="66"/>
      <c r="C480" s="35" t="s">
        <v>1050</v>
      </c>
      <c r="D480" s="35" t="s">
        <v>1013</v>
      </c>
      <c r="E480" s="46" t="s">
        <v>865</v>
      </c>
      <c r="F480" s="47"/>
      <c r="G480" s="24">
        <f>SUM(G482)+G481</f>
        <v>0</v>
      </c>
      <c r="H480" s="24">
        <f>SUM(H482)+H481</f>
        <v>395.4</v>
      </c>
      <c r="I480" s="24" t="e">
        <f t="shared" si="12"/>
        <v>#DIV/0!</v>
      </c>
    </row>
    <row r="481" spans="1:9" s="145" customFormat="1" ht="19.5" customHeight="1" hidden="1">
      <c r="A481" s="222" t="s">
        <v>1010</v>
      </c>
      <c r="B481" s="66"/>
      <c r="C481" s="35" t="s">
        <v>1050</v>
      </c>
      <c r="D481" s="35" t="s">
        <v>1013</v>
      </c>
      <c r="E481" s="46" t="s">
        <v>865</v>
      </c>
      <c r="F481" s="23" t="s">
        <v>1011</v>
      </c>
      <c r="G481" s="49"/>
      <c r="H481" s="49">
        <v>395.4</v>
      </c>
      <c r="I481" s="24" t="e">
        <f t="shared" si="12"/>
        <v>#DIV/0!</v>
      </c>
    </row>
    <row r="482" spans="1:9" s="145" customFormat="1" ht="19.5" customHeight="1" hidden="1">
      <c r="A482" s="257" t="s">
        <v>855</v>
      </c>
      <c r="B482" s="67"/>
      <c r="C482" s="35" t="s">
        <v>1050</v>
      </c>
      <c r="D482" s="35" t="s">
        <v>1013</v>
      </c>
      <c r="E482" s="46" t="s">
        <v>856</v>
      </c>
      <c r="F482" s="47" t="s">
        <v>1011</v>
      </c>
      <c r="G482" s="49"/>
      <c r="H482" s="49"/>
      <c r="I482" s="24" t="e">
        <f t="shared" si="12"/>
        <v>#DIV/0!</v>
      </c>
    </row>
    <row r="483" spans="1:9" s="145" customFormat="1" ht="19.5" customHeight="1" hidden="1">
      <c r="A483" s="233" t="s">
        <v>911</v>
      </c>
      <c r="B483" s="67"/>
      <c r="C483" s="35" t="s">
        <v>1050</v>
      </c>
      <c r="D483" s="35" t="s">
        <v>1013</v>
      </c>
      <c r="E483" s="46" t="s">
        <v>912</v>
      </c>
      <c r="F483" s="47" t="s">
        <v>1011</v>
      </c>
      <c r="G483" s="49"/>
      <c r="H483" s="49"/>
      <c r="I483" s="24" t="e">
        <f t="shared" si="12"/>
        <v>#DIV/0!</v>
      </c>
    </row>
    <row r="484" spans="1:9" ht="15" hidden="1">
      <c r="A484" s="228" t="s">
        <v>840</v>
      </c>
      <c r="B484" s="21"/>
      <c r="C484" s="31" t="s">
        <v>1050</v>
      </c>
      <c r="D484" s="31" t="s">
        <v>1013</v>
      </c>
      <c r="E484" s="31" t="s">
        <v>596</v>
      </c>
      <c r="F484" s="26"/>
      <c r="G484" s="49">
        <f>SUM(G485)</f>
        <v>0</v>
      </c>
      <c r="H484" s="49"/>
      <c r="I484" s="24"/>
    </row>
    <row r="485" spans="1:9" ht="15" hidden="1">
      <c r="A485" s="228" t="s">
        <v>796</v>
      </c>
      <c r="B485" s="21"/>
      <c r="C485" s="31" t="s">
        <v>1050</v>
      </c>
      <c r="D485" s="31" t="s">
        <v>1013</v>
      </c>
      <c r="E485" s="31" t="s">
        <v>943</v>
      </c>
      <c r="F485" s="26" t="s">
        <v>797</v>
      </c>
      <c r="G485" s="49"/>
      <c r="H485" s="49"/>
      <c r="I485" s="24"/>
    </row>
    <row r="486" spans="1:9" ht="21" customHeight="1">
      <c r="A486" s="228" t="s">
        <v>887</v>
      </c>
      <c r="B486" s="34"/>
      <c r="C486" s="35" t="s">
        <v>1050</v>
      </c>
      <c r="D486" s="35" t="s">
        <v>665</v>
      </c>
      <c r="E486" s="35"/>
      <c r="F486" s="26"/>
      <c r="G486" s="24">
        <f>SUM(G487)+G492</f>
        <v>96547.8</v>
      </c>
      <c r="H486" s="24" t="e">
        <v>#REF!</v>
      </c>
      <c r="I486" s="24" t="e">
        <v>#REF!</v>
      </c>
    </row>
    <row r="487" spans="1:9" ht="21" customHeight="1">
      <c r="A487" s="229" t="s">
        <v>363</v>
      </c>
      <c r="B487" s="34"/>
      <c r="C487" s="35" t="s">
        <v>1050</v>
      </c>
      <c r="D487" s="35" t="s">
        <v>665</v>
      </c>
      <c r="E487" s="35" t="s">
        <v>889</v>
      </c>
      <c r="F487" s="26"/>
      <c r="G487" s="24">
        <f>SUM(G488)</f>
        <v>47.8</v>
      </c>
      <c r="H487" s="24" t="e">
        <v>#REF!</v>
      </c>
      <c r="I487" s="24" t="e">
        <v>#REF!</v>
      </c>
    </row>
    <row r="488" spans="1:9" s="36" customFormat="1" ht="31.5" customHeight="1">
      <c r="A488" s="222" t="s">
        <v>811</v>
      </c>
      <c r="B488" s="34"/>
      <c r="C488" s="35" t="s">
        <v>1050</v>
      </c>
      <c r="D488" s="35" t="s">
        <v>665</v>
      </c>
      <c r="E488" s="35" t="s">
        <v>1086</v>
      </c>
      <c r="F488" s="26"/>
      <c r="G488" s="24">
        <f>SUM(G489)</f>
        <v>47.8</v>
      </c>
      <c r="H488" s="24" t="e">
        <f>SUM(#REF!)</f>
        <v>#REF!</v>
      </c>
      <c r="I488" s="24" t="e">
        <f>SUM(H488/G488*100)</f>
        <v>#REF!</v>
      </c>
    </row>
    <row r="489" spans="1:9" s="36" customFormat="1" ht="31.5" customHeight="1">
      <c r="A489" s="222" t="s">
        <v>1112</v>
      </c>
      <c r="B489" s="34"/>
      <c r="C489" s="35" t="s">
        <v>1050</v>
      </c>
      <c r="D489" s="35" t="s">
        <v>665</v>
      </c>
      <c r="E489" s="35" t="s">
        <v>1118</v>
      </c>
      <c r="F489" s="26"/>
      <c r="G489" s="24">
        <f>SUM(G490)</f>
        <v>47.8</v>
      </c>
      <c r="H489" s="24"/>
      <c r="I489" s="24"/>
    </row>
    <row r="490" spans="1:9" s="36" customFormat="1" ht="33" customHeight="1">
      <c r="A490" s="228" t="s">
        <v>1113</v>
      </c>
      <c r="B490" s="34"/>
      <c r="C490" s="35" t="s">
        <v>1050</v>
      </c>
      <c r="D490" s="35" t="s">
        <v>665</v>
      </c>
      <c r="E490" s="35" t="s">
        <v>1114</v>
      </c>
      <c r="F490" s="26"/>
      <c r="G490" s="24">
        <f>SUM(G491)</f>
        <v>47.8</v>
      </c>
      <c r="H490" s="24"/>
      <c r="I490" s="24"/>
    </row>
    <row r="491" spans="1:9" s="36" customFormat="1" ht="15">
      <c r="A491" s="228" t="s">
        <v>1126</v>
      </c>
      <c r="B491" s="34"/>
      <c r="C491" s="35" t="s">
        <v>1050</v>
      </c>
      <c r="D491" s="35" t="s">
        <v>665</v>
      </c>
      <c r="E491" s="35" t="s">
        <v>1114</v>
      </c>
      <c r="F491" s="26" t="s">
        <v>978</v>
      </c>
      <c r="G491" s="24">
        <v>47.8</v>
      </c>
      <c r="H491" s="24"/>
      <c r="I491" s="24"/>
    </row>
    <row r="492" spans="1:9" s="36" customFormat="1" ht="15">
      <c r="A492" s="239" t="s">
        <v>785</v>
      </c>
      <c r="B492" s="34"/>
      <c r="C492" s="35" t="s">
        <v>1050</v>
      </c>
      <c r="D492" s="35" t="s">
        <v>665</v>
      </c>
      <c r="E492" s="35" t="s">
        <v>786</v>
      </c>
      <c r="F492" s="26"/>
      <c r="G492" s="24">
        <f>SUM(G493)</f>
        <v>96500</v>
      </c>
      <c r="H492" s="24"/>
      <c r="I492" s="24"/>
    </row>
    <row r="493" spans="1:9" s="36" customFormat="1" ht="42.75">
      <c r="A493" s="228" t="s">
        <v>716</v>
      </c>
      <c r="B493" s="34"/>
      <c r="C493" s="35" t="s">
        <v>1050</v>
      </c>
      <c r="D493" s="35" t="s">
        <v>665</v>
      </c>
      <c r="E493" s="35" t="s">
        <v>717</v>
      </c>
      <c r="F493" s="26"/>
      <c r="G493" s="24">
        <f>SUM(G494)</f>
        <v>96500</v>
      </c>
      <c r="H493" s="24"/>
      <c r="I493" s="24"/>
    </row>
    <row r="494" spans="1:9" s="36" customFormat="1" ht="15">
      <c r="A494" s="228" t="s">
        <v>917</v>
      </c>
      <c r="B494" s="34"/>
      <c r="C494" s="35" t="s">
        <v>1050</v>
      </c>
      <c r="D494" s="35" t="s">
        <v>665</v>
      </c>
      <c r="E494" s="35" t="s">
        <v>717</v>
      </c>
      <c r="F494" s="26" t="s">
        <v>1054</v>
      </c>
      <c r="G494" s="24">
        <v>96500</v>
      </c>
      <c r="H494" s="24"/>
      <c r="I494" s="24"/>
    </row>
    <row r="495" spans="1:9" s="36" customFormat="1" ht="14.25" customHeight="1">
      <c r="A495" s="247" t="s">
        <v>913</v>
      </c>
      <c r="B495" s="34"/>
      <c r="C495" s="35" t="s">
        <v>1050</v>
      </c>
      <c r="D495" s="35" t="s">
        <v>1050</v>
      </c>
      <c r="E495" s="35"/>
      <c r="F495" s="26"/>
      <c r="G495" s="24">
        <f>SUM(G496+G499+G515+G503)+G511</f>
        <v>39920</v>
      </c>
      <c r="H495" s="24">
        <f>SUM(H496+H499+H515+H503)+H511</f>
        <v>7261.6</v>
      </c>
      <c r="I495" s="24">
        <f t="shared" si="12"/>
        <v>18.19038076152305</v>
      </c>
    </row>
    <row r="496" spans="1:9" s="36" customFormat="1" ht="28.5" hidden="1">
      <c r="A496" s="228" t="s">
        <v>242</v>
      </c>
      <c r="B496" s="34"/>
      <c r="C496" s="35" t="s">
        <v>1050</v>
      </c>
      <c r="D496" s="35" t="s">
        <v>1050</v>
      </c>
      <c r="E496" s="35" t="s">
        <v>605</v>
      </c>
      <c r="F496" s="26"/>
      <c r="G496" s="24">
        <f>SUM(G497+G500)</f>
        <v>0</v>
      </c>
      <c r="H496" s="24">
        <f>SUM(H497+H500)</f>
        <v>0</v>
      </c>
      <c r="I496" s="24" t="e">
        <f t="shared" si="12"/>
        <v>#DIV/0!</v>
      </c>
    </row>
    <row r="497" spans="1:9" s="36" customFormat="1" ht="28.5" hidden="1">
      <c r="A497" s="228" t="s">
        <v>1319</v>
      </c>
      <c r="B497" s="34"/>
      <c r="C497" s="35" t="s">
        <v>1050</v>
      </c>
      <c r="D497" s="35" t="s">
        <v>1050</v>
      </c>
      <c r="E497" s="35" t="s">
        <v>1052</v>
      </c>
      <c r="F497" s="26"/>
      <c r="G497" s="24">
        <f>SUM(G498)</f>
        <v>0</v>
      </c>
      <c r="H497" s="24">
        <f>SUM(H498)</f>
        <v>0</v>
      </c>
      <c r="I497" s="24" t="e">
        <f t="shared" si="12"/>
        <v>#DIV/0!</v>
      </c>
    </row>
    <row r="498" spans="1:9" s="36" customFormat="1" ht="15" hidden="1">
      <c r="A498" s="228" t="s">
        <v>917</v>
      </c>
      <c r="B498" s="34"/>
      <c r="C498" s="35" t="s">
        <v>1050</v>
      </c>
      <c r="D498" s="35" t="s">
        <v>1050</v>
      </c>
      <c r="E498" s="35" t="s">
        <v>1052</v>
      </c>
      <c r="F498" s="26" t="s">
        <v>1054</v>
      </c>
      <c r="G498" s="24"/>
      <c r="H498" s="24"/>
      <c r="I498" s="24" t="e">
        <f aca="true" t="shared" si="14" ref="I498:I578">SUM(H498/G498*100)</f>
        <v>#DIV/0!</v>
      </c>
    </row>
    <row r="499" spans="1:9" s="36" customFormat="1" ht="15" hidden="1">
      <c r="A499" s="239" t="s">
        <v>918</v>
      </c>
      <c r="B499" s="34"/>
      <c r="C499" s="35" t="s">
        <v>1050</v>
      </c>
      <c r="D499" s="35" t="s">
        <v>1050</v>
      </c>
      <c r="E499" s="35" t="s">
        <v>919</v>
      </c>
      <c r="F499" s="26"/>
      <c r="G499" s="24"/>
      <c r="H499" s="24"/>
      <c r="I499" s="24" t="e">
        <f t="shared" si="14"/>
        <v>#DIV/0!</v>
      </c>
    </row>
    <row r="500" spans="1:9" s="36" customFormat="1" ht="15" hidden="1">
      <c r="A500" s="239" t="s">
        <v>606</v>
      </c>
      <c r="B500" s="34"/>
      <c r="C500" s="35" t="s">
        <v>1050</v>
      </c>
      <c r="D500" s="35" t="s">
        <v>1050</v>
      </c>
      <c r="E500" s="35" t="s">
        <v>914</v>
      </c>
      <c r="F500" s="26"/>
      <c r="G500" s="24">
        <f>SUM(G502)</f>
        <v>0</v>
      </c>
      <c r="H500" s="24">
        <f>SUM(H502)</f>
        <v>0</v>
      </c>
      <c r="I500" s="24" t="e">
        <f t="shared" si="14"/>
        <v>#DIV/0!</v>
      </c>
    </row>
    <row r="501" spans="1:9" s="36" customFormat="1" ht="28.5" hidden="1">
      <c r="A501" s="239" t="s">
        <v>915</v>
      </c>
      <c r="B501" s="34"/>
      <c r="C501" s="35" t="s">
        <v>1050</v>
      </c>
      <c r="D501" s="35" t="s">
        <v>1050</v>
      </c>
      <c r="E501" s="35" t="s">
        <v>916</v>
      </c>
      <c r="F501" s="26"/>
      <c r="G501" s="24">
        <f>SUM(G502)</f>
        <v>0</v>
      </c>
      <c r="H501" s="24">
        <f>SUM(H502)</f>
        <v>0</v>
      </c>
      <c r="I501" s="24" t="e">
        <f t="shared" si="14"/>
        <v>#DIV/0!</v>
      </c>
    </row>
    <row r="502" spans="1:9" s="36" customFormat="1" ht="15" hidden="1">
      <c r="A502" s="228" t="s">
        <v>917</v>
      </c>
      <c r="B502" s="34"/>
      <c r="C502" s="35" t="s">
        <v>1050</v>
      </c>
      <c r="D502" s="35" t="s">
        <v>1050</v>
      </c>
      <c r="E502" s="35" t="s">
        <v>916</v>
      </c>
      <c r="F502" s="26" t="s">
        <v>1054</v>
      </c>
      <c r="G502" s="49"/>
      <c r="H502" s="49"/>
      <c r="I502" s="24" t="e">
        <f t="shared" si="14"/>
        <v>#DIV/0!</v>
      </c>
    </row>
    <row r="503" spans="1:9" s="36" customFormat="1" ht="15">
      <c r="A503" s="239" t="s">
        <v>785</v>
      </c>
      <c r="B503" s="248"/>
      <c r="C503" s="35" t="s">
        <v>1050</v>
      </c>
      <c r="D503" s="35" t="s">
        <v>1050</v>
      </c>
      <c r="E503" s="249" t="s">
        <v>786</v>
      </c>
      <c r="F503" s="26"/>
      <c r="G503" s="49">
        <f>SUM(G504+G509)</f>
        <v>9308.9</v>
      </c>
      <c r="H503" s="49">
        <f>SUM(H504+H509)</f>
        <v>4731.200000000001</v>
      </c>
      <c r="I503" s="24">
        <f t="shared" si="14"/>
        <v>50.82447979890213</v>
      </c>
    </row>
    <row r="504" spans="1:9" s="36" customFormat="1" ht="33" customHeight="1">
      <c r="A504" s="228" t="s">
        <v>651</v>
      </c>
      <c r="B504" s="248"/>
      <c r="C504" s="35" t="s">
        <v>1050</v>
      </c>
      <c r="D504" s="35" t="s">
        <v>1050</v>
      </c>
      <c r="E504" s="249" t="s">
        <v>652</v>
      </c>
      <c r="F504" s="26"/>
      <c r="G504" s="49">
        <f>SUM(G505+G507)</f>
        <v>9308.9</v>
      </c>
      <c r="H504" s="49">
        <f>SUM(H505+H507)</f>
        <v>4731.200000000001</v>
      </c>
      <c r="I504" s="24">
        <f t="shared" si="14"/>
        <v>50.82447979890213</v>
      </c>
    </row>
    <row r="505" spans="1:9" s="36" customFormat="1" ht="23.25" customHeight="1">
      <c r="A505" s="239" t="s">
        <v>862</v>
      </c>
      <c r="B505" s="34"/>
      <c r="C505" s="35" t="s">
        <v>1050</v>
      </c>
      <c r="D505" s="35" t="s">
        <v>1050</v>
      </c>
      <c r="E505" s="249" t="s">
        <v>863</v>
      </c>
      <c r="F505" s="26"/>
      <c r="G505" s="49">
        <f>SUM(G506,G514)</f>
        <v>9308.9</v>
      </c>
      <c r="H505" s="49">
        <f>SUM(H506,H514)</f>
        <v>4731.200000000001</v>
      </c>
      <c r="I505" s="24">
        <f t="shared" si="14"/>
        <v>50.82447979890213</v>
      </c>
    </row>
    <row r="506" spans="1:9" s="36" customFormat="1" ht="15">
      <c r="A506" s="228" t="s">
        <v>917</v>
      </c>
      <c r="B506" s="34"/>
      <c r="C506" s="35" t="s">
        <v>1050</v>
      </c>
      <c r="D506" s="35" t="s">
        <v>1050</v>
      </c>
      <c r="E506" s="249" t="s">
        <v>863</v>
      </c>
      <c r="F506" s="26" t="s">
        <v>1054</v>
      </c>
      <c r="G506" s="49">
        <v>9308.9</v>
      </c>
      <c r="H506" s="49">
        <v>2740.8</v>
      </c>
      <c r="I506" s="24">
        <f t="shared" si="14"/>
        <v>29.44279130724361</v>
      </c>
    </row>
    <row r="507" spans="1:9" s="36" customFormat="1" ht="28.5" hidden="1">
      <c r="A507" s="228" t="s">
        <v>921</v>
      </c>
      <c r="B507" s="34"/>
      <c r="C507" s="35" t="s">
        <v>1050</v>
      </c>
      <c r="D507" s="35" t="s">
        <v>1050</v>
      </c>
      <c r="E507" s="249" t="s">
        <v>922</v>
      </c>
      <c r="F507" s="26"/>
      <c r="G507" s="49">
        <f>SUM(G508)</f>
        <v>0</v>
      </c>
      <c r="H507" s="49">
        <f>SUM(H508)</f>
        <v>0</v>
      </c>
      <c r="I507" s="24" t="e">
        <f t="shared" si="14"/>
        <v>#DIV/0!</v>
      </c>
    </row>
    <row r="508" spans="1:9" s="36" customFormat="1" ht="15" hidden="1">
      <c r="A508" s="228" t="s">
        <v>917</v>
      </c>
      <c r="B508" s="34"/>
      <c r="C508" s="35" t="s">
        <v>1050</v>
      </c>
      <c r="D508" s="35" t="s">
        <v>1050</v>
      </c>
      <c r="E508" s="249" t="s">
        <v>922</v>
      </c>
      <c r="F508" s="26" t="s">
        <v>1054</v>
      </c>
      <c r="G508" s="49"/>
      <c r="H508" s="49"/>
      <c r="I508" s="24" t="e">
        <f t="shared" si="14"/>
        <v>#DIV/0!</v>
      </c>
    </row>
    <row r="509" spans="1:9" s="36" customFormat="1" ht="28.5" hidden="1">
      <c r="A509" s="228" t="s">
        <v>923</v>
      </c>
      <c r="B509" s="34"/>
      <c r="C509" s="35" t="s">
        <v>1050</v>
      </c>
      <c r="D509" s="35" t="s">
        <v>1050</v>
      </c>
      <c r="E509" s="249" t="s">
        <v>924</v>
      </c>
      <c r="F509" s="26"/>
      <c r="G509" s="49">
        <f>SUM(G510)</f>
        <v>0</v>
      </c>
      <c r="H509" s="49">
        <f>SUM(H510)</f>
        <v>0</v>
      </c>
      <c r="I509" s="24" t="e">
        <f t="shared" si="14"/>
        <v>#DIV/0!</v>
      </c>
    </row>
    <row r="510" spans="1:9" s="36" customFormat="1" ht="15" hidden="1">
      <c r="A510" s="228" t="s">
        <v>917</v>
      </c>
      <c r="B510" s="34"/>
      <c r="C510" s="35" t="s">
        <v>1050</v>
      </c>
      <c r="D510" s="35" t="s">
        <v>1050</v>
      </c>
      <c r="E510" s="249" t="s">
        <v>924</v>
      </c>
      <c r="F510" s="26" t="s">
        <v>1054</v>
      </c>
      <c r="G510" s="49"/>
      <c r="H510" s="49"/>
      <c r="I510" s="24" t="e">
        <f t="shared" si="14"/>
        <v>#DIV/0!</v>
      </c>
    </row>
    <row r="511" spans="1:9" s="36" customFormat="1" ht="28.5" hidden="1">
      <c r="A511" s="228" t="s">
        <v>925</v>
      </c>
      <c r="B511" s="34"/>
      <c r="C511" s="35" t="s">
        <v>1050</v>
      </c>
      <c r="D511" s="35" t="s">
        <v>1050</v>
      </c>
      <c r="E511" s="249" t="s">
        <v>926</v>
      </c>
      <c r="F511" s="26"/>
      <c r="G511" s="49">
        <f>SUM(G512)</f>
        <v>0</v>
      </c>
      <c r="H511" s="49">
        <f>SUM(H512)</f>
        <v>0</v>
      </c>
      <c r="I511" s="24" t="e">
        <f t="shared" si="14"/>
        <v>#DIV/0!</v>
      </c>
    </row>
    <row r="512" spans="1:9" s="36" customFormat="1" ht="15" hidden="1">
      <c r="A512" s="228" t="s">
        <v>927</v>
      </c>
      <c r="B512" s="34"/>
      <c r="C512" s="35" t="s">
        <v>1050</v>
      </c>
      <c r="D512" s="35" t="s">
        <v>1050</v>
      </c>
      <c r="E512" s="249" t="s">
        <v>928</v>
      </c>
      <c r="F512" s="26"/>
      <c r="G512" s="49">
        <f>SUM(G513)</f>
        <v>0</v>
      </c>
      <c r="H512" s="49">
        <f>SUM(H513)</f>
        <v>0</v>
      </c>
      <c r="I512" s="24" t="e">
        <f t="shared" si="14"/>
        <v>#DIV/0!</v>
      </c>
    </row>
    <row r="513" spans="1:9" s="36" customFormat="1" ht="15" hidden="1">
      <c r="A513" s="228" t="s">
        <v>917</v>
      </c>
      <c r="B513" s="34"/>
      <c r="C513" s="35" t="s">
        <v>1050</v>
      </c>
      <c r="D513" s="35" t="s">
        <v>1050</v>
      </c>
      <c r="E513" s="249" t="s">
        <v>928</v>
      </c>
      <c r="F513" s="26" t="s">
        <v>1054</v>
      </c>
      <c r="G513" s="49"/>
      <c r="H513" s="49"/>
      <c r="I513" s="24" t="e">
        <f t="shared" si="14"/>
        <v>#DIV/0!</v>
      </c>
    </row>
    <row r="514" spans="1:9" s="36" customFormat="1" ht="15" hidden="1">
      <c r="A514" s="228" t="s">
        <v>1010</v>
      </c>
      <c r="B514" s="34"/>
      <c r="C514" s="35" t="s">
        <v>1050</v>
      </c>
      <c r="D514" s="35" t="s">
        <v>1050</v>
      </c>
      <c r="E514" s="249" t="s">
        <v>863</v>
      </c>
      <c r="F514" s="26" t="s">
        <v>1011</v>
      </c>
      <c r="G514" s="49"/>
      <c r="H514" s="49">
        <v>1990.4</v>
      </c>
      <c r="I514" s="24" t="e">
        <f t="shared" si="14"/>
        <v>#DIV/0!</v>
      </c>
    </row>
    <row r="515" spans="1:9" s="36" customFormat="1" ht="20.25" customHeight="1">
      <c r="A515" s="228" t="s">
        <v>1046</v>
      </c>
      <c r="B515" s="34"/>
      <c r="C515" s="35" t="s">
        <v>1050</v>
      </c>
      <c r="D515" s="35" t="s">
        <v>1050</v>
      </c>
      <c r="E515" s="35" t="s">
        <v>1047</v>
      </c>
      <c r="F515" s="26"/>
      <c r="G515" s="24">
        <f>SUM(G516+G519+G525+G531+G522)</f>
        <v>30611.100000000002</v>
      </c>
      <c r="H515" s="24">
        <f>SUM(H516+H519+H525+H531)</f>
        <v>2530.4</v>
      </c>
      <c r="I515" s="24">
        <f t="shared" si="14"/>
        <v>8.266282492298545</v>
      </c>
    </row>
    <row r="516" spans="1:9" s="36" customFormat="1" ht="19.5" customHeight="1">
      <c r="A516" s="232" t="s">
        <v>929</v>
      </c>
      <c r="B516" s="250"/>
      <c r="C516" s="69" t="s">
        <v>1050</v>
      </c>
      <c r="D516" s="69" t="s">
        <v>1050</v>
      </c>
      <c r="E516" s="69" t="s">
        <v>930</v>
      </c>
      <c r="F516" s="26"/>
      <c r="G516" s="65">
        <f>SUM(G517)</f>
        <v>3145.5</v>
      </c>
      <c r="H516" s="65">
        <v>492.1</v>
      </c>
      <c r="I516" s="24">
        <f t="shared" si="14"/>
        <v>15.644571610236845</v>
      </c>
    </row>
    <row r="517" spans="1:9" s="36" customFormat="1" ht="19.5" customHeight="1">
      <c r="A517" s="257" t="s">
        <v>1053</v>
      </c>
      <c r="B517" s="250"/>
      <c r="C517" s="69" t="s">
        <v>1050</v>
      </c>
      <c r="D517" s="69" t="s">
        <v>1050</v>
      </c>
      <c r="E517" s="69" t="s">
        <v>930</v>
      </c>
      <c r="F517" s="26" t="s">
        <v>1054</v>
      </c>
      <c r="G517" s="65">
        <v>3145.5</v>
      </c>
      <c r="H517" s="65"/>
      <c r="I517" s="24"/>
    </row>
    <row r="518" spans="1:9" s="36" customFormat="1" ht="42.75" hidden="1">
      <c r="A518" s="222" t="s">
        <v>812</v>
      </c>
      <c r="B518" s="251"/>
      <c r="C518" s="69" t="s">
        <v>1050</v>
      </c>
      <c r="D518" s="69" t="s">
        <v>1050</v>
      </c>
      <c r="E518" s="249" t="s">
        <v>930</v>
      </c>
      <c r="F518" s="252" t="s">
        <v>897</v>
      </c>
      <c r="G518" s="24"/>
      <c r="H518" s="24">
        <f>SUM(H519)</f>
        <v>0</v>
      </c>
      <c r="I518" s="24" t="e">
        <f t="shared" si="14"/>
        <v>#DIV/0!</v>
      </c>
    </row>
    <row r="519" spans="1:9" s="36" customFormat="1" ht="28.5">
      <c r="A519" s="258" t="s">
        <v>718</v>
      </c>
      <c r="B519" s="251"/>
      <c r="C519" s="69" t="s">
        <v>1050</v>
      </c>
      <c r="D519" s="69" t="s">
        <v>1050</v>
      </c>
      <c r="E519" s="249" t="s">
        <v>805</v>
      </c>
      <c r="F519" s="26"/>
      <c r="G519" s="49">
        <f>SUM(G520)+G521</f>
        <v>8266.1</v>
      </c>
      <c r="H519" s="49"/>
      <c r="I519" s="24">
        <f t="shared" si="14"/>
        <v>0</v>
      </c>
    </row>
    <row r="520" spans="1:9" s="70" customFormat="1" ht="21.75" customHeight="1">
      <c r="A520" s="257" t="s">
        <v>1053</v>
      </c>
      <c r="B520" s="66"/>
      <c r="C520" s="46" t="s">
        <v>1050</v>
      </c>
      <c r="D520" s="46" t="s">
        <v>1050</v>
      </c>
      <c r="E520" s="46" t="s">
        <v>805</v>
      </c>
      <c r="F520" s="23" t="s">
        <v>1054</v>
      </c>
      <c r="G520" s="24">
        <v>7193.6</v>
      </c>
      <c r="H520" s="24"/>
      <c r="I520" s="24"/>
    </row>
    <row r="521" spans="1:9" s="36" customFormat="1" ht="18" customHeight="1">
      <c r="A521" s="228" t="s">
        <v>1126</v>
      </c>
      <c r="B521" s="34"/>
      <c r="C521" s="35" t="s">
        <v>1050</v>
      </c>
      <c r="D521" s="35" t="s">
        <v>1050</v>
      </c>
      <c r="E521" s="35" t="s">
        <v>805</v>
      </c>
      <c r="F521" s="26" t="s">
        <v>978</v>
      </c>
      <c r="G521" s="24">
        <v>1072.5</v>
      </c>
      <c r="H521" s="24">
        <f>SUM(H516)</f>
        <v>492.1</v>
      </c>
      <c r="I521" s="24">
        <f>SUM(H521/G521*100)</f>
        <v>45.883449883449885</v>
      </c>
    </row>
    <row r="522" spans="1:9" s="36" customFormat="1" ht="52.5" customHeight="1">
      <c r="A522" s="258" t="s">
        <v>808</v>
      </c>
      <c r="B522" s="251"/>
      <c r="C522" s="69" t="s">
        <v>1050</v>
      </c>
      <c r="D522" s="69" t="s">
        <v>1050</v>
      </c>
      <c r="E522" s="249" t="s">
        <v>807</v>
      </c>
      <c r="F522" s="26"/>
      <c r="G522" s="49">
        <f>SUM(G523)</f>
        <v>3131.6</v>
      </c>
      <c r="H522" s="49"/>
      <c r="I522" s="24">
        <f>SUM(H522/G522*100)</f>
        <v>0</v>
      </c>
    </row>
    <row r="523" spans="1:9" s="70" customFormat="1" ht="24" customHeight="1">
      <c r="A523" s="257" t="s">
        <v>1053</v>
      </c>
      <c r="B523" s="66"/>
      <c r="C523" s="46" t="s">
        <v>1050</v>
      </c>
      <c r="D523" s="46" t="s">
        <v>1050</v>
      </c>
      <c r="E523" s="46" t="s">
        <v>807</v>
      </c>
      <c r="F523" s="23" t="s">
        <v>1054</v>
      </c>
      <c r="G523" s="24">
        <v>3131.6</v>
      </c>
      <c r="H523" s="24"/>
      <c r="I523" s="24"/>
    </row>
    <row r="524" spans="1:9" s="36" customFormat="1" ht="42.75" hidden="1">
      <c r="A524" s="222" t="s">
        <v>812</v>
      </c>
      <c r="B524" s="34"/>
      <c r="C524" s="35" t="s">
        <v>1050</v>
      </c>
      <c r="D524" s="35" t="s">
        <v>1050</v>
      </c>
      <c r="E524" s="35" t="s">
        <v>807</v>
      </c>
      <c r="F524" s="26" t="s">
        <v>897</v>
      </c>
      <c r="G524" s="24"/>
      <c r="H524" s="24">
        <f>SUM(H519)</f>
        <v>0</v>
      </c>
      <c r="I524" s="24" t="e">
        <f>SUM(H524/G524*100)</f>
        <v>#DIV/0!</v>
      </c>
    </row>
    <row r="525" spans="1:9" s="36" customFormat="1" ht="28.5">
      <c r="A525" s="228" t="s">
        <v>638</v>
      </c>
      <c r="B525" s="34"/>
      <c r="C525" s="35" t="s">
        <v>1050</v>
      </c>
      <c r="D525" s="35" t="s">
        <v>1050</v>
      </c>
      <c r="E525" s="35" t="s">
        <v>871</v>
      </c>
      <c r="F525" s="26"/>
      <c r="G525" s="24">
        <f>SUM(G526+G529)</f>
        <v>11220.2</v>
      </c>
      <c r="H525" s="24">
        <f>SUM(H526+H529)</f>
        <v>2038.3</v>
      </c>
      <c r="I525" s="24">
        <f t="shared" si="14"/>
        <v>18.166342845938573</v>
      </c>
    </row>
    <row r="526" spans="1:9" s="36" customFormat="1" ht="15">
      <c r="A526" s="232" t="s">
        <v>862</v>
      </c>
      <c r="B526" s="250"/>
      <c r="C526" s="35" t="s">
        <v>1050</v>
      </c>
      <c r="D526" s="35" t="s">
        <v>1050</v>
      </c>
      <c r="E526" s="35" t="s">
        <v>872</v>
      </c>
      <c r="F526" s="26"/>
      <c r="G526" s="65">
        <f>SUM(G527)</f>
        <v>8550.2</v>
      </c>
      <c r="H526" s="65">
        <f>SUM(H527:H528)</f>
        <v>1157.5</v>
      </c>
      <c r="I526" s="24">
        <f t="shared" si="14"/>
        <v>13.537695024677785</v>
      </c>
    </row>
    <row r="527" spans="1:9" s="36" customFormat="1" ht="15">
      <c r="A527" s="257" t="s">
        <v>1053</v>
      </c>
      <c r="B527" s="34"/>
      <c r="C527" s="35" t="s">
        <v>1050</v>
      </c>
      <c r="D527" s="35" t="s">
        <v>1050</v>
      </c>
      <c r="E527" s="35" t="s">
        <v>872</v>
      </c>
      <c r="F527" s="26" t="s">
        <v>1054</v>
      </c>
      <c r="G527" s="49">
        <v>8550.2</v>
      </c>
      <c r="H527" s="49">
        <v>1157.5</v>
      </c>
      <c r="I527" s="24">
        <f t="shared" si="14"/>
        <v>13.537695024677785</v>
      </c>
    </row>
    <row r="528" spans="1:9" ht="15" hidden="1">
      <c r="A528" s="222" t="s">
        <v>1010</v>
      </c>
      <c r="B528" s="66"/>
      <c r="C528" s="35" t="s">
        <v>1050</v>
      </c>
      <c r="D528" s="35" t="s">
        <v>1050</v>
      </c>
      <c r="E528" s="22" t="s">
        <v>872</v>
      </c>
      <c r="F528" s="47" t="s">
        <v>1011</v>
      </c>
      <c r="G528" s="24"/>
      <c r="H528" s="24"/>
      <c r="I528" s="24" t="e">
        <f t="shared" si="14"/>
        <v>#DIV/0!</v>
      </c>
    </row>
    <row r="529" spans="1:9" ht="28.5">
      <c r="A529" s="257" t="s">
        <v>921</v>
      </c>
      <c r="B529" s="21"/>
      <c r="C529" s="35" t="s">
        <v>1050</v>
      </c>
      <c r="D529" s="35" t="s">
        <v>1050</v>
      </c>
      <c r="E529" s="22" t="s">
        <v>618</v>
      </c>
      <c r="F529" s="27"/>
      <c r="G529" s="24">
        <f>SUM(G530)</f>
        <v>2670</v>
      </c>
      <c r="H529" s="24">
        <f>SUM(H530)</f>
        <v>880.8</v>
      </c>
      <c r="I529" s="24">
        <f t="shared" si="14"/>
        <v>32.98876404494382</v>
      </c>
    </row>
    <row r="530" spans="1:9" ht="15">
      <c r="A530" s="257" t="s">
        <v>1053</v>
      </c>
      <c r="B530" s="21"/>
      <c r="C530" s="35" t="s">
        <v>1050</v>
      </c>
      <c r="D530" s="35" t="s">
        <v>1050</v>
      </c>
      <c r="E530" s="22" t="s">
        <v>618</v>
      </c>
      <c r="F530" s="26" t="s">
        <v>1054</v>
      </c>
      <c r="G530" s="49">
        <v>2670</v>
      </c>
      <c r="H530" s="49">
        <v>880.8</v>
      </c>
      <c r="I530" s="24">
        <f t="shared" si="14"/>
        <v>32.98876404494382</v>
      </c>
    </row>
    <row r="531" spans="1:9" ht="28.5">
      <c r="A531" s="257" t="s">
        <v>1083</v>
      </c>
      <c r="B531" s="21"/>
      <c r="C531" s="35" t="s">
        <v>1050</v>
      </c>
      <c r="D531" s="35" t="s">
        <v>1050</v>
      </c>
      <c r="E531" s="46" t="s">
        <v>886</v>
      </c>
      <c r="F531" s="26"/>
      <c r="G531" s="49">
        <f>SUM(G532)</f>
        <v>4847.7</v>
      </c>
      <c r="H531" s="49">
        <f>SUM(H532)</f>
        <v>0</v>
      </c>
      <c r="I531" s="24">
        <f t="shared" si="14"/>
        <v>0</v>
      </c>
    </row>
    <row r="532" spans="1:9" ht="15">
      <c r="A532" s="257" t="s">
        <v>1053</v>
      </c>
      <c r="B532" s="21"/>
      <c r="C532" s="35" t="s">
        <v>1050</v>
      </c>
      <c r="D532" s="35" t="s">
        <v>1050</v>
      </c>
      <c r="E532" s="46" t="s">
        <v>886</v>
      </c>
      <c r="F532" s="26" t="s">
        <v>1054</v>
      </c>
      <c r="G532" s="49">
        <v>4847.7</v>
      </c>
      <c r="H532" s="49"/>
      <c r="I532" s="24">
        <f t="shared" si="14"/>
        <v>0</v>
      </c>
    </row>
    <row r="533" spans="1:11" ht="26.25" customHeight="1">
      <c r="A533" s="222" t="s">
        <v>932</v>
      </c>
      <c r="B533" s="21"/>
      <c r="C533" s="22" t="s">
        <v>549</v>
      </c>
      <c r="D533" s="22"/>
      <c r="E533" s="22"/>
      <c r="F533" s="23"/>
      <c r="G533" s="24">
        <f>SUM(G534)+G538</f>
        <v>6702.2</v>
      </c>
      <c r="H533" s="24">
        <f>SUM(H534)+H538</f>
        <v>2547</v>
      </c>
      <c r="I533" s="24">
        <f t="shared" si="14"/>
        <v>38.00244695771538</v>
      </c>
      <c r="K533">
        <f>420+6782.2</f>
        <v>7202.2</v>
      </c>
    </row>
    <row r="534" spans="1:9" ht="31.5" customHeight="1">
      <c r="A534" s="222" t="s">
        <v>933</v>
      </c>
      <c r="B534" s="21"/>
      <c r="C534" s="22" t="s">
        <v>549</v>
      </c>
      <c r="D534" s="22" t="s">
        <v>1013</v>
      </c>
      <c r="E534" s="22"/>
      <c r="F534" s="23"/>
      <c r="G534" s="24">
        <f>SUM(G537)</f>
        <v>4682.2</v>
      </c>
      <c r="H534" s="24">
        <f>SUM(H537)</f>
        <v>2199.7</v>
      </c>
      <c r="I534" s="24">
        <f t="shared" si="14"/>
        <v>46.980052112254924</v>
      </c>
    </row>
    <row r="535" spans="1:9" ht="15.75" customHeight="1">
      <c r="A535" s="222" t="s">
        <v>934</v>
      </c>
      <c r="B535" s="21"/>
      <c r="C535" s="22" t="s">
        <v>549</v>
      </c>
      <c r="D535" s="22" t="s">
        <v>1013</v>
      </c>
      <c r="E535" s="22" t="s">
        <v>935</v>
      </c>
      <c r="F535" s="23"/>
      <c r="G535" s="24">
        <f>SUM(G536)</f>
        <v>4682.2</v>
      </c>
      <c r="H535" s="24">
        <f>SUM(H536)</f>
        <v>2199.7</v>
      </c>
      <c r="I535" s="24">
        <f t="shared" si="14"/>
        <v>46.980052112254924</v>
      </c>
    </row>
    <row r="536" spans="1:9" ht="28.5">
      <c r="A536" s="222" t="s">
        <v>894</v>
      </c>
      <c r="B536" s="71"/>
      <c r="C536" s="52" t="s">
        <v>549</v>
      </c>
      <c r="D536" s="52" t="s">
        <v>1013</v>
      </c>
      <c r="E536" s="52" t="s">
        <v>936</v>
      </c>
      <c r="F536" s="27"/>
      <c r="G536" s="24">
        <f>SUM(G537)</f>
        <v>4682.2</v>
      </c>
      <c r="H536" s="24">
        <f>SUM(H537)</f>
        <v>2199.7</v>
      </c>
      <c r="I536" s="24">
        <f t="shared" si="14"/>
        <v>46.980052112254924</v>
      </c>
    </row>
    <row r="537" spans="1:9" ht="21.75" customHeight="1">
      <c r="A537" s="234" t="s">
        <v>895</v>
      </c>
      <c r="B537" s="21"/>
      <c r="C537" s="22" t="s">
        <v>549</v>
      </c>
      <c r="D537" s="22" t="s">
        <v>1013</v>
      </c>
      <c r="E537" s="52" t="s">
        <v>936</v>
      </c>
      <c r="F537" s="27" t="s">
        <v>238</v>
      </c>
      <c r="G537" s="24">
        <v>4682.2</v>
      </c>
      <c r="H537" s="24">
        <v>2199.7</v>
      </c>
      <c r="I537" s="24">
        <f t="shared" si="14"/>
        <v>46.980052112254924</v>
      </c>
    </row>
    <row r="538" spans="1:9" ht="27.75" customHeight="1">
      <c r="A538" s="236" t="s">
        <v>937</v>
      </c>
      <c r="B538" s="21"/>
      <c r="C538" s="72" t="s">
        <v>549</v>
      </c>
      <c r="D538" s="72" t="s">
        <v>1050</v>
      </c>
      <c r="E538" s="72"/>
      <c r="F538" s="44"/>
      <c r="G538" s="49">
        <f>SUM(G539+G542)</f>
        <v>2020</v>
      </c>
      <c r="H538" s="49">
        <f>SUM(H539+H542)</f>
        <v>347.3</v>
      </c>
      <c r="I538" s="24">
        <f t="shared" si="14"/>
        <v>17.193069306930695</v>
      </c>
    </row>
    <row r="539" spans="1:9" ht="19.5" customHeight="1" hidden="1">
      <c r="A539" s="224" t="s">
        <v>785</v>
      </c>
      <c r="B539" s="21"/>
      <c r="C539" s="72" t="s">
        <v>549</v>
      </c>
      <c r="D539" s="72" t="s">
        <v>1050</v>
      </c>
      <c r="E539" s="22" t="s">
        <v>786</v>
      </c>
      <c r="F539" s="44"/>
      <c r="G539" s="49">
        <f>SUM(G540)</f>
        <v>0</v>
      </c>
      <c r="H539" s="49">
        <f>SUM(H540)</f>
        <v>0</v>
      </c>
      <c r="I539" s="24" t="e">
        <f t="shared" si="14"/>
        <v>#DIV/0!</v>
      </c>
    </row>
    <row r="540" spans="1:9" ht="19.5" customHeight="1" hidden="1">
      <c r="A540" s="224" t="s">
        <v>938</v>
      </c>
      <c r="B540" s="21"/>
      <c r="C540" s="72" t="s">
        <v>549</v>
      </c>
      <c r="D540" s="72" t="s">
        <v>1050</v>
      </c>
      <c r="E540" s="22" t="s">
        <v>939</v>
      </c>
      <c r="F540" s="27"/>
      <c r="G540" s="49">
        <f>SUM(G541)</f>
        <v>0</v>
      </c>
      <c r="H540" s="49">
        <f>SUM(H541)</f>
        <v>0</v>
      </c>
      <c r="I540" s="24" t="e">
        <f t="shared" si="14"/>
        <v>#DIV/0!</v>
      </c>
    </row>
    <row r="541" spans="1:9" ht="19.5" customHeight="1" hidden="1">
      <c r="A541" s="228" t="s">
        <v>917</v>
      </c>
      <c r="B541" s="21"/>
      <c r="C541" s="72" t="s">
        <v>549</v>
      </c>
      <c r="D541" s="72" t="s">
        <v>1050</v>
      </c>
      <c r="E541" s="22" t="s">
        <v>939</v>
      </c>
      <c r="F541" s="27" t="s">
        <v>1054</v>
      </c>
      <c r="G541" s="49"/>
      <c r="H541" s="49"/>
      <c r="I541" s="24" t="e">
        <f t="shared" si="14"/>
        <v>#DIV/0!</v>
      </c>
    </row>
    <row r="542" spans="1:9" ht="20.25" customHeight="1">
      <c r="A542" s="222" t="s">
        <v>1046</v>
      </c>
      <c r="B542" s="21"/>
      <c r="C542" s="72" t="s">
        <v>549</v>
      </c>
      <c r="D542" s="72" t="s">
        <v>1050</v>
      </c>
      <c r="E542" s="22" t="s">
        <v>1047</v>
      </c>
      <c r="F542" s="44"/>
      <c r="G542" s="49">
        <f>SUM(G546+G550)</f>
        <v>2020</v>
      </c>
      <c r="H542" s="49">
        <f>SUM(H546+H550)</f>
        <v>347.3</v>
      </c>
      <c r="I542" s="24">
        <f t="shared" si="14"/>
        <v>17.193069306930695</v>
      </c>
    </row>
    <row r="543" spans="1:9" ht="19.5" customHeight="1" hidden="1">
      <c r="A543" s="224" t="s">
        <v>940</v>
      </c>
      <c r="B543" s="21"/>
      <c r="C543" s="72" t="s">
        <v>549</v>
      </c>
      <c r="D543" s="72" t="s">
        <v>1050</v>
      </c>
      <c r="E543" s="22" t="s">
        <v>1047</v>
      </c>
      <c r="F543" s="44" t="s">
        <v>941</v>
      </c>
      <c r="G543" s="49"/>
      <c r="H543" s="49"/>
      <c r="I543" s="24" t="e">
        <f t="shared" si="14"/>
        <v>#DIV/0!</v>
      </c>
    </row>
    <row r="544" spans="1:9" ht="19.5" customHeight="1" hidden="1">
      <c r="A544" s="237" t="s">
        <v>942</v>
      </c>
      <c r="B544" s="21"/>
      <c r="C544" s="72" t="s">
        <v>549</v>
      </c>
      <c r="D544" s="72" t="s">
        <v>1050</v>
      </c>
      <c r="E544" s="74" t="s">
        <v>1047</v>
      </c>
      <c r="F544" s="75" t="s">
        <v>941</v>
      </c>
      <c r="G544" s="76"/>
      <c r="H544" s="76"/>
      <c r="I544" s="24" t="e">
        <f t="shared" si="14"/>
        <v>#DIV/0!</v>
      </c>
    </row>
    <row r="545" spans="1:9" ht="19.5" customHeight="1" hidden="1">
      <c r="A545" s="234" t="s">
        <v>237</v>
      </c>
      <c r="B545" s="21"/>
      <c r="C545" s="72" t="s">
        <v>549</v>
      </c>
      <c r="D545" s="72" t="s">
        <v>1050</v>
      </c>
      <c r="E545" s="72" t="s">
        <v>1047</v>
      </c>
      <c r="F545" s="44" t="s">
        <v>238</v>
      </c>
      <c r="G545" s="49"/>
      <c r="H545" s="49"/>
      <c r="I545" s="24" t="e">
        <f t="shared" si="14"/>
        <v>#DIV/0!</v>
      </c>
    </row>
    <row r="546" spans="1:9" ht="27.75" customHeight="1">
      <c r="A546" s="236" t="s">
        <v>840</v>
      </c>
      <c r="B546" s="21"/>
      <c r="C546" s="72" t="s">
        <v>549</v>
      </c>
      <c r="D546" s="72" t="s">
        <v>1050</v>
      </c>
      <c r="E546" s="72" t="s">
        <v>943</v>
      </c>
      <c r="F546" s="44"/>
      <c r="G546" s="49">
        <f>SUM(G547:G549)</f>
        <v>2020</v>
      </c>
      <c r="H546" s="49">
        <f>SUM(H547:H549)</f>
        <v>347.3</v>
      </c>
      <c r="I546" s="24">
        <f t="shared" si="14"/>
        <v>17.193069306930695</v>
      </c>
    </row>
    <row r="547" spans="1:9" ht="15">
      <c r="A547" s="257" t="s">
        <v>1053</v>
      </c>
      <c r="B547" s="21"/>
      <c r="C547" s="72" t="s">
        <v>549</v>
      </c>
      <c r="D547" s="72" t="s">
        <v>1050</v>
      </c>
      <c r="E547" s="72" t="s">
        <v>943</v>
      </c>
      <c r="F547" s="27" t="s">
        <v>1054</v>
      </c>
      <c r="G547" s="49">
        <v>420</v>
      </c>
      <c r="H547" s="49"/>
      <c r="I547" s="24">
        <f t="shared" si="14"/>
        <v>0</v>
      </c>
    </row>
    <row r="548" spans="1:9" ht="15" hidden="1">
      <c r="A548" s="228" t="s">
        <v>796</v>
      </c>
      <c r="B548" s="21"/>
      <c r="C548" s="31" t="s">
        <v>549</v>
      </c>
      <c r="D548" s="31" t="s">
        <v>1050</v>
      </c>
      <c r="E548" s="31" t="s">
        <v>596</v>
      </c>
      <c r="F548" s="26" t="s">
        <v>797</v>
      </c>
      <c r="G548" s="49">
        <f>1300-1300</f>
        <v>0</v>
      </c>
      <c r="H548" s="49"/>
      <c r="I548" s="24"/>
    </row>
    <row r="549" spans="1:9" ht="15">
      <c r="A549" s="234" t="s">
        <v>944</v>
      </c>
      <c r="B549" s="21"/>
      <c r="C549" s="72" t="s">
        <v>549</v>
      </c>
      <c r="D549" s="72" t="s">
        <v>1050</v>
      </c>
      <c r="E549" s="72" t="s">
        <v>943</v>
      </c>
      <c r="F549" s="44" t="s">
        <v>945</v>
      </c>
      <c r="G549" s="49">
        <f>2100-500</f>
        <v>1600</v>
      </c>
      <c r="H549" s="49">
        <v>347.3</v>
      </c>
      <c r="I549" s="24">
        <f t="shared" si="14"/>
        <v>21.70625</v>
      </c>
    </row>
    <row r="550" spans="1:9" ht="19.5" customHeight="1" hidden="1">
      <c r="A550" s="236" t="s">
        <v>946</v>
      </c>
      <c r="B550" s="21"/>
      <c r="C550" s="72" t="s">
        <v>549</v>
      </c>
      <c r="D550" s="72" t="s">
        <v>1050</v>
      </c>
      <c r="E550" s="72" t="s">
        <v>947</v>
      </c>
      <c r="F550" s="44"/>
      <c r="G550" s="49">
        <f>SUM(G551:G552)</f>
        <v>0</v>
      </c>
      <c r="H550" s="49">
        <f>SUM(H551:H552)</f>
        <v>0</v>
      </c>
      <c r="I550" s="24" t="e">
        <f t="shared" si="14"/>
        <v>#DIV/0!</v>
      </c>
    </row>
    <row r="551" spans="1:9" ht="19.5" customHeight="1" hidden="1">
      <c r="A551" s="228" t="s">
        <v>917</v>
      </c>
      <c r="B551" s="21"/>
      <c r="C551" s="72" t="s">
        <v>549</v>
      </c>
      <c r="D551" s="72" t="s">
        <v>1050</v>
      </c>
      <c r="E551" s="72" t="s">
        <v>947</v>
      </c>
      <c r="F551" s="27" t="s">
        <v>1054</v>
      </c>
      <c r="G551" s="49"/>
      <c r="H551" s="49"/>
      <c r="I551" s="24" t="e">
        <f t="shared" si="14"/>
        <v>#DIV/0!</v>
      </c>
    </row>
    <row r="552" spans="1:9" ht="19.5" customHeight="1" hidden="1">
      <c r="A552" s="234" t="s">
        <v>944</v>
      </c>
      <c r="B552" s="21"/>
      <c r="C552" s="72" t="s">
        <v>549</v>
      </c>
      <c r="D552" s="72" t="s">
        <v>1050</v>
      </c>
      <c r="E552" s="72" t="s">
        <v>947</v>
      </c>
      <c r="F552" s="44" t="s">
        <v>948</v>
      </c>
      <c r="G552" s="49"/>
      <c r="H552" s="49"/>
      <c r="I552" s="24" t="e">
        <f t="shared" si="14"/>
        <v>#DIV/0!</v>
      </c>
    </row>
    <row r="553" spans="1:9" ht="14.25" customHeight="1">
      <c r="A553" s="222" t="s">
        <v>1025</v>
      </c>
      <c r="B553" s="28"/>
      <c r="C553" s="72" t="s">
        <v>1026</v>
      </c>
      <c r="D553" s="72"/>
      <c r="E553" s="72"/>
      <c r="F553" s="44"/>
      <c r="G553" s="49">
        <f>SUM(G554)+G567+G561</f>
        <v>468.4</v>
      </c>
      <c r="H553" s="49" t="e">
        <f>SUM(H554+#REF!+#REF!+#REF!)</f>
        <v>#REF!</v>
      </c>
      <c r="I553" s="24" t="e">
        <f t="shared" si="14"/>
        <v>#REF!</v>
      </c>
    </row>
    <row r="554" spans="1:9" ht="15.75">
      <c r="A554" s="222" t="s">
        <v>461</v>
      </c>
      <c r="B554" s="82"/>
      <c r="C554" s="31" t="s">
        <v>1026</v>
      </c>
      <c r="D554" s="31" t="s">
        <v>663</v>
      </c>
      <c r="E554" s="31"/>
      <c r="F554" s="88"/>
      <c r="G554" s="24">
        <f>SUM(G558)+G555</f>
        <v>368.4</v>
      </c>
      <c r="H554" s="24">
        <f>SUM(H558)</f>
        <v>0</v>
      </c>
      <c r="I554" s="24">
        <f t="shared" si="14"/>
        <v>0</v>
      </c>
    </row>
    <row r="555" spans="1:9" s="83" customFormat="1" ht="15.75" customHeight="1" hidden="1">
      <c r="A555" s="222" t="s">
        <v>785</v>
      </c>
      <c r="B555" s="51"/>
      <c r="C555" s="52" t="s">
        <v>1026</v>
      </c>
      <c r="D555" s="52" t="s">
        <v>663</v>
      </c>
      <c r="E555" s="35" t="s">
        <v>786</v>
      </c>
      <c r="F555" s="27"/>
      <c r="G555" s="24">
        <f>SUM(G556)</f>
        <v>0</v>
      </c>
      <c r="H555" s="24">
        <f>SUM(H556)</f>
        <v>9549.8</v>
      </c>
      <c r="I555" s="24" t="e">
        <f>SUM(H555/G555*100)</f>
        <v>#DIV/0!</v>
      </c>
    </row>
    <row r="556" spans="1:9" s="83" customFormat="1" ht="57" customHeight="1" hidden="1">
      <c r="A556" s="222" t="s">
        <v>1072</v>
      </c>
      <c r="B556" s="51"/>
      <c r="C556" s="52" t="s">
        <v>1026</v>
      </c>
      <c r="D556" s="52" t="s">
        <v>663</v>
      </c>
      <c r="E556" s="35" t="s">
        <v>477</v>
      </c>
      <c r="F556" s="27"/>
      <c r="G556" s="24">
        <f>SUM(G557)</f>
        <v>0</v>
      </c>
      <c r="H556" s="24">
        <f>SUM(H557)</f>
        <v>9549.8</v>
      </c>
      <c r="I556" s="24" t="e">
        <f>SUM(H556/G556*100)</f>
        <v>#DIV/0!</v>
      </c>
    </row>
    <row r="557" spans="1:9" ht="18.75" customHeight="1" hidden="1">
      <c r="A557" s="257" t="s">
        <v>1053</v>
      </c>
      <c r="B557" s="51"/>
      <c r="C557" s="52" t="s">
        <v>1026</v>
      </c>
      <c r="D557" s="52" t="s">
        <v>663</v>
      </c>
      <c r="E557" s="35" t="s">
        <v>477</v>
      </c>
      <c r="F557" s="27" t="s">
        <v>1054</v>
      </c>
      <c r="G557" s="24"/>
      <c r="H557" s="24">
        <v>9549.8</v>
      </c>
      <c r="I557" s="24" t="e">
        <f>SUM(H557/G557*100)</f>
        <v>#DIV/0!</v>
      </c>
    </row>
    <row r="558" spans="1:9" ht="15.75">
      <c r="A558" s="222" t="s">
        <v>1046</v>
      </c>
      <c r="B558" s="82"/>
      <c r="C558" s="31" t="s">
        <v>1026</v>
      </c>
      <c r="D558" s="31" t="s">
        <v>663</v>
      </c>
      <c r="E558" s="31" t="s">
        <v>1047</v>
      </c>
      <c r="F558" s="88"/>
      <c r="G558" s="24">
        <f>SUM(G559)</f>
        <v>368.4</v>
      </c>
      <c r="H558" s="24">
        <f>SUM(H559)</f>
        <v>0</v>
      </c>
      <c r="I558" s="24">
        <f t="shared" si="14"/>
        <v>0</v>
      </c>
    </row>
    <row r="559" spans="1:9" ht="28.5">
      <c r="A559" s="222" t="s">
        <v>898</v>
      </c>
      <c r="B559" s="82"/>
      <c r="C559" s="31" t="s">
        <v>1026</v>
      </c>
      <c r="D559" s="31" t="s">
        <v>663</v>
      </c>
      <c r="E559" s="31" t="s">
        <v>899</v>
      </c>
      <c r="F559" s="88"/>
      <c r="G559" s="24">
        <f>SUM(G560)</f>
        <v>368.4</v>
      </c>
      <c r="H559" s="24">
        <f>SUM(H560)</f>
        <v>0</v>
      </c>
      <c r="I559" s="24">
        <f t="shared" si="14"/>
        <v>0</v>
      </c>
    </row>
    <row r="560" spans="1:9" ht="15.75">
      <c r="A560" s="257" t="s">
        <v>1053</v>
      </c>
      <c r="B560" s="51"/>
      <c r="C560" s="146" t="s">
        <v>1026</v>
      </c>
      <c r="D560" s="146" t="s">
        <v>663</v>
      </c>
      <c r="E560" s="31" t="s">
        <v>899</v>
      </c>
      <c r="F560" s="147" t="s">
        <v>1054</v>
      </c>
      <c r="G560" s="24">
        <v>368.4</v>
      </c>
      <c r="H560" s="24"/>
      <c r="I560" s="24">
        <f t="shared" si="14"/>
        <v>0</v>
      </c>
    </row>
    <row r="561" spans="1:9" s="36" customFormat="1" ht="21" customHeight="1" hidden="1">
      <c r="A561" s="228" t="s">
        <v>478</v>
      </c>
      <c r="B561" s="34"/>
      <c r="C561" s="35" t="s">
        <v>1026</v>
      </c>
      <c r="D561" s="35" t="s">
        <v>665</v>
      </c>
      <c r="E561" s="35"/>
      <c r="F561" s="26"/>
      <c r="G561" s="24">
        <f>SUM(G562)</f>
        <v>0</v>
      </c>
      <c r="H561" s="24" t="e">
        <v>#REF!</v>
      </c>
      <c r="I561" s="24" t="e">
        <v>#REF!</v>
      </c>
    </row>
    <row r="562" spans="1:9" s="36" customFormat="1" ht="21" customHeight="1" hidden="1">
      <c r="A562" s="247" t="s">
        <v>1115</v>
      </c>
      <c r="B562" s="34"/>
      <c r="C562" s="35" t="s">
        <v>1026</v>
      </c>
      <c r="D562" s="35" t="s">
        <v>665</v>
      </c>
      <c r="E562" s="35" t="s">
        <v>480</v>
      </c>
      <c r="F562" s="26"/>
      <c r="G562" s="24">
        <f>SUM(G563)</f>
        <v>0</v>
      </c>
      <c r="H562" s="24" t="e">
        <v>#REF!</v>
      </c>
      <c r="I562" s="24" t="e">
        <v>#REF!</v>
      </c>
    </row>
    <row r="563" spans="1:9" s="36" customFormat="1" ht="31.5" customHeight="1" hidden="1">
      <c r="A563" s="228" t="s">
        <v>811</v>
      </c>
      <c r="B563" s="34"/>
      <c r="C563" s="35" t="s">
        <v>1026</v>
      </c>
      <c r="D563" s="35" t="s">
        <v>665</v>
      </c>
      <c r="E563" s="35" t="s">
        <v>987</v>
      </c>
      <c r="F563" s="26"/>
      <c r="G563" s="24">
        <f>SUM(G565)</f>
        <v>0</v>
      </c>
      <c r="H563" s="24" t="e">
        <f>SUM(#REF!)</f>
        <v>#REF!</v>
      </c>
      <c r="I563" s="24" t="e">
        <f>SUM(H563/G563*100)</f>
        <v>#REF!</v>
      </c>
    </row>
    <row r="564" spans="1:9" s="36" customFormat="1" ht="20.25" customHeight="1" hidden="1">
      <c r="A564" s="234" t="s">
        <v>1126</v>
      </c>
      <c r="B564" s="34"/>
      <c r="C564" s="35" t="s">
        <v>1026</v>
      </c>
      <c r="D564" s="35" t="s">
        <v>665</v>
      </c>
      <c r="E564" s="35" t="s">
        <v>1099</v>
      </c>
      <c r="F564" s="26"/>
      <c r="G564" s="24">
        <f>SUM(G565)</f>
        <v>0</v>
      </c>
      <c r="H564" s="24"/>
      <c r="I564" s="24"/>
    </row>
    <row r="565" spans="1:9" s="36" customFormat="1" ht="33" customHeight="1" hidden="1">
      <c r="A565" s="228" t="s">
        <v>1117</v>
      </c>
      <c r="B565" s="34"/>
      <c r="C565" s="35" t="s">
        <v>1026</v>
      </c>
      <c r="D565" s="35" t="s">
        <v>665</v>
      </c>
      <c r="E565" s="35" t="s">
        <v>1116</v>
      </c>
      <c r="F565" s="26"/>
      <c r="G565" s="24">
        <f>SUM(G566)</f>
        <v>0</v>
      </c>
      <c r="H565" s="24"/>
      <c r="I565" s="24"/>
    </row>
    <row r="566" spans="1:9" s="36" customFormat="1" ht="15" hidden="1">
      <c r="A566" s="228" t="s">
        <v>1126</v>
      </c>
      <c r="B566" s="34"/>
      <c r="C566" s="35" t="s">
        <v>1026</v>
      </c>
      <c r="D566" s="35" t="s">
        <v>665</v>
      </c>
      <c r="E566" s="35" t="s">
        <v>1116</v>
      </c>
      <c r="F566" s="26" t="s">
        <v>978</v>
      </c>
      <c r="G566" s="24"/>
      <c r="H566" s="24"/>
      <c r="I566" s="24"/>
    </row>
    <row r="567" spans="1:9" ht="15">
      <c r="A567" s="33" t="s">
        <v>1318</v>
      </c>
      <c r="B567" s="21"/>
      <c r="C567" s="35" t="s">
        <v>1026</v>
      </c>
      <c r="D567" s="35" t="s">
        <v>389</v>
      </c>
      <c r="E567" s="35"/>
      <c r="F567" s="26"/>
      <c r="G567" s="24">
        <f>SUM(G568)</f>
        <v>100</v>
      </c>
      <c r="H567" s="24"/>
      <c r="I567" s="24"/>
    </row>
    <row r="568" spans="1:9" ht="15">
      <c r="A568" s="213" t="s">
        <v>1046</v>
      </c>
      <c r="B568" s="86"/>
      <c r="C568" s="35" t="s">
        <v>1026</v>
      </c>
      <c r="D568" s="35" t="s">
        <v>389</v>
      </c>
      <c r="E568" s="35" t="s">
        <v>1047</v>
      </c>
      <c r="F568" s="27"/>
      <c r="G568" s="24">
        <f>SUM(G569)</f>
        <v>100</v>
      </c>
      <c r="H568" s="24"/>
      <c r="I568" s="24"/>
    </row>
    <row r="569" spans="1:9" ht="28.5">
      <c r="A569" s="257" t="s">
        <v>1083</v>
      </c>
      <c r="B569" s="51"/>
      <c r="C569" s="35" t="s">
        <v>1026</v>
      </c>
      <c r="D569" s="35" t="s">
        <v>389</v>
      </c>
      <c r="E569" s="35" t="s">
        <v>886</v>
      </c>
      <c r="F569" s="147"/>
      <c r="G569" s="24">
        <f>SUM(G570)</f>
        <v>100</v>
      </c>
      <c r="H569" s="24"/>
      <c r="I569" s="24"/>
    </row>
    <row r="570" spans="1:9" ht="15.75">
      <c r="A570" s="257" t="s">
        <v>1053</v>
      </c>
      <c r="B570" s="51"/>
      <c r="C570" s="35" t="s">
        <v>1026</v>
      </c>
      <c r="D570" s="35" t="s">
        <v>389</v>
      </c>
      <c r="E570" s="35" t="s">
        <v>886</v>
      </c>
      <c r="F570" s="147" t="s">
        <v>1054</v>
      </c>
      <c r="G570" s="24">
        <v>100</v>
      </c>
      <c r="H570" s="24"/>
      <c r="I570" s="24"/>
    </row>
    <row r="571" spans="1:9" ht="15.75" hidden="1">
      <c r="A571" s="257"/>
      <c r="B571" s="51"/>
      <c r="C571" s="146"/>
      <c r="D571" s="146"/>
      <c r="E571" s="31"/>
      <c r="F571" s="147"/>
      <c r="G571" s="24"/>
      <c r="H571" s="24"/>
      <c r="I571" s="24"/>
    </row>
    <row r="572" spans="1:9" s="36" customFormat="1" ht="19.5" customHeight="1" hidden="1">
      <c r="A572" s="222" t="s">
        <v>444</v>
      </c>
      <c r="B572" s="21"/>
      <c r="C572" s="22" t="s">
        <v>389</v>
      </c>
      <c r="D572" s="22"/>
      <c r="E572" s="22"/>
      <c r="F572" s="23"/>
      <c r="G572" s="24">
        <f>SUM(G573+G596+G587+G583+G579)</f>
        <v>0</v>
      </c>
      <c r="H572" s="24">
        <f>SUM(H573+H596+H587+H583+H579)</f>
        <v>5636.900000000001</v>
      </c>
      <c r="I572" s="24" t="e">
        <f t="shared" si="14"/>
        <v>#DIV/0!</v>
      </c>
    </row>
    <row r="573" spans="1:9" s="36" customFormat="1" ht="19.5" customHeight="1" hidden="1">
      <c r="A573" s="222" t="s">
        <v>1174</v>
      </c>
      <c r="B573" s="21"/>
      <c r="C573" s="35" t="s">
        <v>389</v>
      </c>
      <c r="D573" s="35" t="s">
        <v>663</v>
      </c>
      <c r="E573" s="35"/>
      <c r="F573" s="26"/>
      <c r="G573" s="24">
        <f>SUM(G576)+G574</f>
        <v>0</v>
      </c>
      <c r="H573" s="24">
        <f>SUM(H576)+H574</f>
        <v>3221.3</v>
      </c>
      <c r="I573" s="24" t="e">
        <f t="shared" si="14"/>
        <v>#DIV/0!</v>
      </c>
    </row>
    <row r="574" spans="1:9" s="377" customFormat="1" ht="19.5" customHeight="1" hidden="1">
      <c r="A574" s="222" t="s">
        <v>545</v>
      </c>
      <c r="B574" s="21"/>
      <c r="C574" s="35" t="s">
        <v>389</v>
      </c>
      <c r="D574" s="35" t="s">
        <v>663</v>
      </c>
      <c r="E574" s="35" t="s">
        <v>546</v>
      </c>
      <c r="F574" s="26"/>
      <c r="G574" s="24">
        <f>SUM(G575)</f>
        <v>0</v>
      </c>
      <c r="H574" s="24">
        <f>SUM(H575)</f>
        <v>0</v>
      </c>
      <c r="I574" s="24" t="e">
        <f t="shared" si="14"/>
        <v>#DIV/0!</v>
      </c>
    </row>
    <row r="575" spans="1:9" s="377" customFormat="1" ht="19.5" customHeight="1" hidden="1">
      <c r="A575" s="234" t="s">
        <v>237</v>
      </c>
      <c r="B575" s="21"/>
      <c r="C575" s="35" t="s">
        <v>389</v>
      </c>
      <c r="D575" s="35" t="s">
        <v>663</v>
      </c>
      <c r="E575" s="35" t="s">
        <v>546</v>
      </c>
      <c r="F575" s="26" t="s">
        <v>238</v>
      </c>
      <c r="G575" s="24"/>
      <c r="H575" s="24"/>
      <c r="I575" s="24" t="e">
        <f t="shared" si="14"/>
        <v>#DIV/0!</v>
      </c>
    </row>
    <row r="576" spans="1:9" s="377" customFormat="1" ht="15" hidden="1">
      <c r="A576" s="222" t="s">
        <v>1212</v>
      </c>
      <c r="B576" s="21"/>
      <c r="C576" s="35" t="s">
        <v>389</v>
      </c>
      <c r="D576" s="35" t="s">
        <v>663</v>
      </c>
      <c r="E576" s="35" t="s">
        <v>1178</v>
      </c>
      <c r="F576" s="26"/>
      <c r="G576" s="24">
        <f>SUM(G577)</f>
        <v>0</v>
      </c>
      <c r="H576" s="24">
        <f>SUM(H577)</f>
        <v>3221.3</v>
      </c>
      <c r="I576" s="24" t="e">
        <f t="shared" si="14"/>
        <v>#DIV/0!</v>
      </c>
    </row>
    <row r="577" spans="1:9" s="377" customFormat="1" ht="19.5" customHeight="1" hidden="1">
      <c r="A577" s="222" t="s">
        <v>235</v>
      </c>
      <c r="B577" s="21"/>
      <c r="C577" s="35" t="s">
        <v>389</v>
      </c>
      <c r="D577" s="35" t="s">
        <v>663</v>
      </c>
      <c r="E577" s="35" t="s">
        <v>1179</v>
      </c>
      <c r="F577" s="26"/>
      <c r="G577" s="24">
        <f>SUM(G578)</f>
        <v>0</v>
      </c>
      <c r="H577" s="24">
        <f>SUM(H578)</f>
        <v>3221.3</v>
      </c>
      <c r="I577" s="24" t="e">
        <f t="shared" si="14"/>
        <v>#DIV/0!</v>
      </c>
    </row>
    <row r="578" spans="1:9" s="377" customFormat="1" ht="19.5" customHeight="1" hidden="1">
      <c r="A578" s="234" t="s">
        <v>237</v>
      </c>
      <c r="B578" s="71"/>
      <c r="C578" s="52" t="s">
        <v>389</v>
      </c>
      <c r="D578" s="52" t="s">
        <v>663</v>
      </c>
      <c r="E578" s="52" t="s">
        <v>1179</v>
      </c>
      <c r="F578" s="27" t="s">
        <v>238</v>
      </c>
      <c r="G578" s="24"/>
      <c r="H578" s="24">
        <v>3221.3</v>
      </c>
      <c r="I578" s="24" t="e">
        <f t="shared" si="14"/>
        <v>#DIV/0!</v>
      </c>
    </row>
    <row r="579" spans="1:9" s="377" customFormat="1" ht="15" hidden="1">
      <c r="A579" s="222" t="s">
        <v>1338</v>
      </c>
      <c r="B579" s="21"/>
      <c r="C579" s="35" t="s">
        <v>389</v>
      </c>
      <c r="D579" s="35" t="s">
        <v>665</v>
      </c>
      <c r="E579" s="35"/>
      <c r="F579" s="26"/>
      <c r="G579" s="24">
        <f>SUM(G580)</f>
        <v>0</v>
      </c>
      <c r="H579" s="24">
        <f>SUM(H580)</f>
        <v>23.80000000000001</v>
      </c>
      <c r="I579" s="24" t="e">
        <f aca="true" t="shared" si="15" ref="I579:I641">SUM(H579/G579*100)</f>
        <v>#DIV/0!</v>
      </c>
    </row>
    <row r="580" spans="1:9" s="377" customFormat="1" ht="15" hidden="1">
      <c r="A580" s="222" t="s">
        <v>1212</v>
      </c>
      <c r="B580" s="21"/>
      <c r="C580" s="35" t="s">
        <v>389</v>
      </c>
      <c r="D580" s="35" t="s">
        <v>665</v>
      </c>
      <c r="E580" s="35" t="s">
        <v>1178</v>
      </c>
      <c r="F580" s="26"/>
      <c r="G580" s="24">
        <f>SUM(G581)</f>
        <v>0</v>
      </c>
      <c r="H580" s="24">
        <f>SUM(H581)</f>
        <v>23.80000000000001</v>
      </c>
      <c r="I580" s="24" t="e">
        <f t="shared" si="15"/>
        <v>#DIV/0!</v>
      </c>
    </row>
    <row r="581" spans="1:9" s="377" customFormat="1" ht="15" hidden="1">
      <c r="A581" s="222" t="s">
        <v>235</v>
      </c>
      <c r="B581" s="21"/>
      <c r="C581" s="35" t="s">
        <v>389</v>
      </c>
      <c r="D581" s="35" t="s">
        <v>665</v>
      </c>
      <c r="E581" s="35" t="s">
        <v>1179</v>
      </c>
      <c r="F581" s="26"/>
      <c r="G581" s="24">
        <f>SUM(G582:G585)</f>
        <v>0</v>
      </c>
      <c r="H581" s="24">
        <f>SUM(H582:H585)</f>
        <v>23.80000000000001</v>
      </c>
      <c r="I581" s="24" t="e">
        <f t="shared" si="15"/>
        <v>#DIV/0!</v>
      </c>
    </row>
    <row r="582" spans="1:9" s="377" customFormat="1" ht="15" hidden="1">
      <c r="A582" s="234" t="s">
        <v>237</v>
      </c>
      <c r="B582" s="21"/>
      <c r="C582" s="35" t="s">
        <v>389</v>
      </c>
      <c r="D582" s="35" t="s">
        <v>665</v>
      </c>
      <c r="E582" s="35" t="s">
        <v>1179</v>
      </c>
      <c r="F582" s="26" t="s">
        <v>238</v>
      </c>
      <c r="G582" s="24"/>
      <c r="H582" s="24">
        <f>500-476.2</f>
        <v>23.80000000000001</v>
      </c>
      <c r="I582" s="24" t="e">
        <f t="shared" si="15"/>
        <v>#DIV/0!</v>
      </c>
    </row>
    <row r="583" spans="1:9" s="377" customFormat="1" ht="19.5" customHeight="1" hidden="1">
      <c r="A583" s="234" t="s">
        <v>226</v>
      </c>
      <c r="B583" s="21"/>
      <c r="C583" s="35" t="s">
        <v>389</v>
      </c>
      <c r="D583" s="35" t="s">
        <v>1037</v>
      </c>
      <c r="E583" s="35"/>
      <c r="F583" s="26"/>
      <c r="G583" s="24">
        <f aca="true" t="shared" si="16" ref="G583:H585">SUM(G584)</f>
        <v>0</v>
      </c>
      <c r="H583" s="24">
        <f t="shared" si="16"/>
        <v>0</v>
      </c>
      <c r="I583" s="24" t="e">
        <f t="shared" si="15"/>
        <v>#DIV/0!</v>
      </c>
    </row>
    <row r="584" spans="1:9" s="377" customFormat="1" ht="15" hidden="1">
      <c r="A584" s="234" t="s">
        <v>227</v>
      </c>
      <c r="B584" s="71"/>
      <c r="C584" s="35" t="s">
        <v>389</v>
      </c>
      <c r="D584" s="35" t="s">
        <v>1037</v>
      </c>
      <c r="E584" s="52" t="s">
        <v>228</v>
      </c>
      <c r="F584" s="27"/>
      <c r="G584" s="24">
        <f t="shared" si="16"/>
        <v>0</v>
      </c>
      <c r="H584" s="24">
        <f t="shared" si="16"/>
        <v>0</v>
      </c>
      <c r="I584" s="24" t="e">
        <f t="shared" si="15"/>
        <v>#DIV/0!</v>
      </c>
    </row>
    <row r="585" spans="1:9" s="36" customFormat="1" ht="19.5" customHeight="1" hidden="1">
      <c r="A585" s="234" t="s">
        <v>235</v>
      </c>
      <c r="B585" s="71"/>
      <c r="C585" s="35" t="s">
        <v>389</v>
      </c>
      <c r="D585" s="35" t="s">
        <v>1037</v>
      </c>
      <c r="E585" s="52" t="s">
        <v>229</v>
      </c>
      <c r="F585" s="27"/>
      <c r="G585" s="24">
        <f t="shared" si="16"/>
        <v>0</v>
      </c>
      <c r="H585" s="24">
        <f t="shared" si="16"/>
        <v>0</v>
      </c>
      <c r="I585" s="24" t="e">
        <f t="shared" si="15"/>
        <v>#DIV/0!</v>
      </c>
    </row>
    <row r="586" spans="1:9" s="36" customFormat="1" ht="19.5" customHeight="1" hidden="1">
      <c r="A586" s="234" t="s">
        <v>237</v>
      </c>
      <c r="B586" s="71"/>
      <c r="C586" s="35" t="s">
        <v>389</v>
      </c>
      <c r="D586" s="35" t="s">
        <v>1037</v>
      </c>
      <c r="E586" s="52" t="s">
        <v>229</v>
      </c>
      <c r="F586" s="27" t="s">
        <v>238</v>
      </c>
      <c r="G586" s="24"/>
      <c r="H586" s="24"/>
      <c r="I586" s="24" t="e">
        <f t="shared" si="15"/>
        <v>#DIV/0!</v>
      </c>
    </row>
    <row r="587" spans="1:9" s="36" customFormat="1" ht="15" hidden="1">
      <c r="A587" s="222" t="s">
        <v>230</v>
      </c>
      <c r="B587" s="21"/>
      <c r="C587" s="22" t="s">
        <v>389</v>
      </c>
      <c r="D587" s="22" t="s">
        <v>1039</v>
      </c>
      <c r="E587" s="22"/>
      <c r="F587" s="23"/>
      <c r="G587" s="24">
        <f>SUM(G590+G593+G588)</f>
        <v>0</v>
      </c>
      <c r="H587" s="24">
        <f>SUM(H590+H593+H588)</f>
        <v>1344.5</v>
      </c>
      <c r="I587" s="24" t="e">
        <f t="shared" si="15"/>
        <v>#DIV/0!</v>
      </c>
    </row>
    <row r="588" spans="1:9" ht="15" hidden="1">
      <c r="A588" s="234" t="s">
        <v>545</v>
      </c>
      <c r="B588" s="21"/>
      <c r="C588" s="22" t="s">
        <v>389</v>
      </c>
      <c r="D588" s="22" t="s">
        <v>1039</v>
      </c>
      <c r="E588" s="35" t="s">
        <v>546</v>
      </c>
      <c r="F588" s="26"/>
      <c r="G588" s="24">
        <f>SUM(G589)</f>
        <v>0</v>
      </c>
      <c r="H588" s="24">
        <f>SUM(H589)</f>
        <v>79.5</v>
      </c>
      <c r="I588" s="24"/>
    </row>
    <row r="589" spans="1:9" ht="15" hidden="1">
      <c r="A589" s="222" t="s">
        <v>1010</v>
      </c>
      <c r="B589" s="21"/>
      <c r="C589" s="22" t="s">
        <v>389</v>
      </c>
      <c r="D589" s="22" t="s">
        <v>1039</v>
      </c>
      <c r="E589" s="35" t="s">
        <v>546</v>
      </c>
      <c r="F589" s="26" t="s">
        <v>1011</v>
      </c>
      <c r="G589" s="24"/>
      <c r="H589" s="24">
        <v>79.5</v>
      </c>
      <c r="I589" s="24"/>
    </row>
    <row r="590" spans="1:9" s="36" customFormat="1" ht="15" hidden="1">
      <c r="A590" s="222" t="s">
        <v>1324</v>
      </c>
      <c r="B590" s="21"/>
      <c r="C590" s="22" t="s">
        <v>389</v>
      </c>
      <c r="D590" s="22" t="s">
        <v>1039</v>
      </c>
      <c r="E590" s="41" t="s">
        <v>1292</v>
      </c>
      <c r="F590" s="23"/>
      <c r="G590" s="24">
        <f>SUM(G591)</f>
        <v>0</v>
      </c>
      <c r="H590" s="24">
        <f>SUM(H591)</f>
        <v>1265</v>
      </c>
      <c r="I590" s="24" t="e">
        <f t="shared" si="15"/>
        <v>#DIV/0!</v>
      </c>
    </row>
    <row r="591" spans="1:9" s="36" customFormat="1" ht="28.5" hidden="1">
      <c r="A591" s="222" t="s">
        <v>485</v>
      </c>
      <c r="B591" s="21"/>
      <c r="C591" s="22" t="s">
        <v>389</v>
      </c>
      <c r="D591" s="22" t="s">
        <v>1039</v>
      </c>
      <c r="E591" s="41" t="s">
        <v>1293</v>
      </c>
      <c r="F591" s="23"/>
      <c r="G591" s="24">
        <f>SUM(G592)</f>
        <v>0</v>
      </c>
      <c r="H591" s="24">
        <f>SUM(H592)</f>
        <v>1265</v>
      </c>
      <c r="I591" s="24" t="e">
        <f t="shared" si="15"/>
        <v>#DIV/0!</v>
      </c>
    </row>
    <row r="592" spans="1:9" s="36" customFormat="1" ht="19.5" customHeight="1" hidden="1">
      <c r="A592" s="222" t="s">
        <v>1010</v>
      </c>
      <c r="B592" s="21"/>
      <c r="C592" s="22" t="s">
        <v>389</v>
      </c>
      <c r="D592" s="22" t="s">
        <v>1039</v>
      </c>
      <c r="E592" s="41" t="s">
        <v>1293</v>
      </c>
      <c r="F592" s="23" t="s">
        <v>1011</v>
      </c>
      <c r="G592" s="24"/>
      <c r="H592" s="24">
        <v>1265</v>
      </c>
      <c r="I592" s="24" t="e">
        <f t="shared" si="15"/>
        <v>#DIV/0!</v>
      </c>
    </row>
    <row r="593" spans="1:9" s="36" customFormat="1" ht="19.5" customHeight="1" hidden="1">
      <c r="A593" s="234" t="s">
        <v>1046</v>
      </c>
      <c r="B593" s="34"/>
      <c r="C593" s="22" t="s">
        <v>389</v>
      </c>
      <c r="D593" s="22" t="s">
        <v>1039</v>
      </c>
      <c r="E593" s="35" t="s">
        <v>1047</v>
      </c>
      <c r="F593" s="26"/>
      <c r="G593" s="24">
        <f>SUM(G594)</f>
        <v>0</v>
      </c>
      <c r="H593" s="24">
        <f>SUM(H594)</f>
        <v>0</v>
      </c>
      <c r="I593" s="24" t="e">
        <f t="shared" si="15"/>
        <v>#DIV/0!</v>
      </c>
    </row>
    <row r="594" spans="1:9" s="36" customFormat="1" ht="28.5" hidden="1">
      <c r="A594" s="222" t="s">
        <v>485</v>
      </c>
      <c r="B594" s="71"/>
      <c r="C594" s="22" t="s">
        <v>389</v>
      </c>
      <c r="D594" s="22" t="s">
        <v>1039</v>
      </c>
      <c r="E594" s="52" t="s">
        <v>1047</v>
      </c>
      <c r="F594" s="27" t="s">
        <v>354</v>
      </c>
      <c r="G594" s="24">
        <f>SUM(G595)</f>
        <v>0</v>
      </c>
      <c r="H594" s="24">
        <f>SUM(H595)</f>
        <v>0</v>
      </c>
      <c r="I594" s="24" t="e">
        <f t="shared" si="15"/>
        <v>#DIV/0!</v>
      </c>
    </row>
    <row r="595" spans="1:9" s="36" customFormat="1" ht="19.5" customHeight="1" hidden="1">
      <c r="A595" s="222" t="s">
        <v>1325</v>
      </c>
      <c r="B595" s="21"/>
      <c r="C595" s="22" t="s">
        <v>389</v>
      </c>
      <c r="D595" s="22" t="s">
        <v>1039</v>
      </c>
      <c r="E595" s="52" t="s">
        <v>1326</v>
      </c>
      <c r="F595" s="27" t="s">
        <v>354</v>
      </c>
      <c r="G595" s="24">
        <f>1738.6-1738.6</f>
        <v>0</v>
      </c>
      <c r="H595" s="24">
        <f>1738.6-1738.6</f>
        <v>0</v>
      </c>
      <c r="I595" s="24" t="e">
        <f t="shared" si="15"/>
        <v>#DIV/0!</v>
      </c>
    </row>
    <row r="596" spans="1:9" s="36" customFormat="1" ht="15" hidden="1">
      <c r="A596" s="222" t="s">
        <v>1335</v>
      </c>
      <c r="B596" s="21"/>
      <c r="C596" s="35" t="s">
        <v>389</v>
      </c>
      <c r="D596" s="35" t="s">
        <v>389</v>
      </c>
      <c r="E596" s="35"/>
      <c r="F596" s="26"/>
      <c r="G596" s="24">
        <f>SUM(G600+G597)</f>
        <v>0</v>
      </c>
      <c r="H596" s="24">
        <f>SUM(H600+H597)</f>
        <v>1047.3</v>
      </c>
      <c r="I596" s="24" t="e">
        <f t="shared" si="15"/>
        <v>#DIV/0!</v>
      </c>
    </row>
    <row r="597" spans="1:9" s="83" customFormat="1" ht="28.5" hidden="1">
      <c r="A597" s="228" t="s">
        <v>242</v>
      </c>
      <c r="B597" s="34"/>
      <c r="C597" s="35" t="s">
        <v>389</v>
      </c>
      <c r="D597" s="35" t="s">
        <v>389</v>
      </c>
      <c r="E597" s="35" t="s">
        <v>605</v>
      </c>
      <c r="F597" s="26"/>
      <c r="G597" s="24">
        <f>SUM(G598)</f>
        <v>0</v>
      </c>
      <c r="H597" s="24">
        <f>SUM(H598)</f>
        <v>0</v>
      </c>
      <c r="I597" s="24" t="e">
        <f t="shared" si="15"/>
        <v>#DIV/0!</v>
      </c>
    </row>
    <row r="598" spans="1:9" ht="28.5" hidden="1">
      <c r="A598" s="228" t="s">
        <v>1319</v>
      </c>
      <c r="B598" s="34"/>
      <c r="C598" s="35" t="s">
        <v>389</v>
      </c>
      <c r="D598" s="35" t="s">
        <v>389</v>
      </c>
      <c r="E598" s="35" t="s">
        <v>1052</v>
      </c>
      <c r="F598" s="26"/>
      <c r="G598" s="24">
        <f>SUM(G599)</f>
        <v>0</v>
      </c>
      <c r="H598" s="24">
        <f>SUM(H599)</f>
        <v>0</v>
      </c>
      <c r="I598" s="24" t="e">
        <f t="shared" si="15"/>
        <v>#DIV/0!</v>
      </c>
    </row>
    <row r="599" spans="1:9" ht="15" hidden="1">
      <c r="A599" s="228" t="s">
        <v>917</v>
      </c>
      <c r="B599" s="34"/>
      <c r="C599" s="35" t="s">
        <v>389</v>
      </c>
      <c r="D599" s="35" t="s">
        <v>389</v>
      </c>
      <c r="E599" s="35" t="s">
        <v>1052</v>
      </c>
      <c r="F599" s="26" t="s">
        <v>1054</v>
      </c>
      <c r="G599" s="24"/>
      <c r="H599" s="24"/>
      <c r="I599" s="24" t="e">
        <f t="shared" si="15"/>
        <v>#DIV/0!</v>
      </c>
    </row>
    <row r="600" spans="1:9" ht="15" hidden="1">
      <c r="A600" s="234" t="s">
        <v>1046</v>
      </c>
      <c r="B600" s="34"/>
      <c r="C600" s="35" t="s">
        <v>389</v>
      </c>
      <c r="D600" s="35" t="s">
        <v>389</v>
      </c>
      <c r="E600" s="35" t="s">
        <v>1047</v>
      </c>
      <c r="F600" s="26"/>
      <c r="G600" s="24">
        <f>SUM(G603)+G607+G609+G601</f>
        <v>0</v>
      </c>
      <c r="H600" s="24">
        <f>SUM(H603)+H607+H609</f>
        <v>1047.3</v>
      </c>
      <c r="I600" s="24" t="e">
        <f t="shared" si="15"/>
        <v>#DIV/0!</v>
      </c>
    </row>
    <row r="601" spans="1:9" ht="42.75" hidden="1">
      <c r="A601" s="236" t="s">
        <v>382</v>
      </c>
      <c r="B601" s="34"/>
      <c r="C601" s="35" t="s">
        <v>389</v>
      </c>
      <c r="D601" s="35" t="s">
        <v>389</v>
      </c>
      <c r="E601" s="35" t="s">
        <v>383</v>
      </c>
      <c r="F601" s="26"/>
      <c r="G601" s="24">
        <f>SUM(G602)</f>
        <v>0</v>
      </c>
      <c r="H601" s="24"/>
      <c r="I601" s="24"/>
    </row>
    <row r="602" spans="1:9" ht="15" hidden="1">
      <c r="A602" s="222" t="s">
        <v>796</v>
      </c>
      <c r="B602" s="34"/>
      <c r="C602" s="35" t="s">
        <v>389</v>
      </c>
      <c r="D602" s="35" t="s">
        <v>389</v>
      </c>
      <c r="E602" s="35" t="s">
        <v>383</v>
      </c>
      <c r="F602" s="26" t="s">
        <v>797</v>
      </c>
      <c r="G602" s="24"/>
      <c r="H602" s="24"/>
      <c r="I602" s="24"/>
    </row>
    <row r="603" spans="1:9" ht="28.5" hidden="1">
      <c r="A603" s="222" t="s">
        <v>1329</v>
      </c>
      <c r="B603" s="34"/>
      <c r="C603" s="35" t="s">
        <v>389</v>
      </c>
      <c r="D603" s="35" t="s">
        <v>389</v>
      </c>
      <c r="E603" s="35" t="s">
        <v>1330</v>
      </c>
      <c r="F603" s="26"/>
      <c r="G603" s="24">
        <f>SUM(G604:G606)</f>
        <v>0</v>
      </c>
      <c r="H603" s="24">
        <f>SUM(H604:H606)</f>
        <v>5</v>
      </c>
      <c r="I603" s="24" t="e">
        <f t="shared" si="15"/>
        <v>#DIV/0!</v>
      </c>
    </row>
    <row r="604" spans="1:9" ht="19.5" customHeight="1" hidden="1">
      <c r="A604" s="228" t="s">
        <v>917</v>
      </c>
      <c r="B604" s="21"/>
      <c r="C604" s="35" t="s">
        <v>389</v>
      </c>
      <c r="D604" s="35" t="s">
        <v>389</v>
      </c>
      <c r="E604" s="35" t="s">
        <v>1330</v>
      </c>
      <c r="F604" s="26" t="s">
        <v>1054</v>
      </c>
      <c r="G604" s="24"/>
      <c r="H604" s="24"/>
      <c r="I604" s="24" t="e">
        <f t="shared" si="15"/>
        <v>#DIV/0!</v>
      </c>
    </row>
    <row r="605" spans="1:9" ht="15" hidden="1">
      <c r="A605" s="222" t="s">
        <v>1010</v>
      </c>
      <c r="B605" s="71"/>
      <c r="C605" s="52" t="s">
        <v>389</v>
      </c>
      <c r="D605" s="52" t="s">
        <v>389</v>
      </c>
      <c r="E605" s="35" t="s">
        <v>1330</v>
      </c>
      <c r="F605" s="27" t="s">
        <v>1011</v>
      </c>
      <c r="G605" s="24"/>
      <c r="H605" s="24"/>
      <c r="I605" s="24" t="e">
        <f t="shared" si="15"/>
        <v>#DIV/0!</v>
      </c>
    </row>
    <row r="606" spans="1:9" s="29" customFormat="1" ht="19.5" customHeight="1" hidden="1">
      <c r="A606" s="222" t="s">
        <v>485</v>
      </c>
      <c r="B606" s="21"/>
      <c r="C606" s="35" t="s">
        <v>389</v>
      </c>
      <c r="D606" s="35" t="s">
        <v>389</v>
      </c>
      <c r="E606" s="35" t="s">
        <v>1330</v>
      </c>
      <c r="F606" s="88" t="s">
        <v>354</v>
      </c>
      <c r="G606" s="49"/>
      <c r="H606" s="49">
        <v>5</v>
      </c>
      <c r="I606" s="24" t="e">
        <f t="shared" si="15"/>
        <v>#DIV/0!</v>
      </c>
    </row>
    <row r="607" spans="1:9" ht="28.5" hidden="1">
      <c r="A607" s="257" t="s">
        <v>512</v>
      </c>
      <c r="B607" s="21"/>
      <c r="C607" s="35" t="s">
        <v>389</v>
      </c>
      <c r="D607" s="35" t="s">
        <v>389</v>
      </c>
      <c r="E607" s="35" t="s">
        <v>513</v>
      </c>
      <c r="F607" s="88"/>
      <c r="G607" s="49">
        <f>SUM(G608)</f>
        <v>0</v>
      </c>
      <c r="H607" s="49">
        <f>SUM(H608)</f>
        <v>0</v>
      </c>
      <c r="I607" s="24" t="e">
        <f t="shared" si="15"/>
        <v>#DIV/0!</v>
      </c>
    </row>
    <row r="608" spans="1:9" ht="28.5" hidden="1">
      <c r="A608" s="222" t="s">
        <v>485</v>
      </c>
      <c r="B608" s="21"/>
      <c r="C608" s="35" t="s">
        <v>389</v>
      </c>
      <c r="D608" s="35" t="s">
        <v>389</v>
      </c>
      <c r="E608" s="35" t="s">
        <v>513</v>
      </c>
      <c r="F608" s="88" t="s">
        <v>354</v>
      </c>
      <c r="G608" s="49"/>
      <c r="H608" s="49"/>
      <c r="I608" s="24" t="e">
        <f t="shared" si="15"/>
        <v>#DIV/0!</v>
      </c>
    </row>
    <row r="609" spans="1:9" ht="19.5" customHeight="1" hidden="1">
      <c r="A609" s="222" t="s">
        <v>1196</v>
      </c>
      <c r="B609" s="21"/>
      <c r="C609" s="35" t="s">
        <v>1180</v>
      </c>
      <c r="D609" s="35" t="s">
        <v>1180</v>
      </c>
      <c r="E609" s="35" t="s">
        <v>886</v>
      </c>
      <c r="F609" s="88"/>
      <c r="G609" s="49">
        <f>SUM(G610)</f>
        <v>0</v>
      </c>
      <c r="H609" s="49">
        <f>SUM(H610)</f>
        <v>1042.3</v>
      </c>
      <c r="I609" s="24" t="e">
        <f t="shared" si="15"/>
        <v>#DIV/0!</v>
      </c>
    </row>
    <row r="610" spans="1:9" ht="19.5" customHeight="1" hidden="1">
      <c r="A610" s="228" t="s">
        <v>917</v>
      </c>
      <c r="B610" s="21"/>
      <c r="C610" s="35" t="s">
        <v>389</v>
      </c>
      <c r="D610" s="35" t="s">
        <v>389</v>
      </c>
      <c r="E610" s="35" t="s">
        <v>886</v>
      </c>
      <c r="F610" s="88" t="s">
        <v>1054</v>
      </c>
      <c r="G610" s="49"/>
      <c r="H610" s="49">
        <v>1042.3</v>
      </c>
      <c r="I610" s="24" t="e">
        <f t="shared" si="15"/>
        <v>#DIV/0!</v>
      </c>
    </row>
    <row r="611" spans="1:9" ht="19.5" customHeight="1" hidden="1">
      <c r="A611" s="222" t="s">
        <v>1197</v>
      </c>
      <c r="B611" s="21"/>
      <c r="C611" s="22" t="s">
        <v>793</v>
      </c>
      <c r="D611" s="22"/>
      <c r="E611" s="22"/>
      <c r="F611" s="23"/>
      <c r="G611" s="24">
        <f>SUM(G615)</f>
        <v>0</v>
      </c>
      <c r="H611" s="24">
        <f>SUM(H615)</f>
        <v>8564.300000000001</v>
      </c>
      <c r="I611" s="24" t="e">
        <f t="shared" si="15"/>
        <v>#DIV/0!</v>
      </c>
    </row>
    <row r="612" spans="1:9" ht="15" hidden="1">
      <c r="A612" s="222" t="s">
        <v>1204</v>
      </c>
      <c r="B612" s="21"/>
      <c r="C612" s="22" t="s">
        <v>793</v>
      </c>
      <c r="D612" s="22" t="s">
        <v>665</v>
      </c>
      <c r="E612" s="22"/>
      <c r="F612" s="23"/>
      <c r="G612" s="24">
        <f>SUM(G613)</f>
        <v>0</v>
      </c>
      <c r="H612" s="24">
        <f>SUM(H613)</f>
        <v>0</v>
      </c>
      <c r="I612" s="24" t="e">
        <f t="shared" si="15"/>
        <v>#DIV/0!</v>
      </c>
    </row>
    <row r="613" spans="1:9" ht="19.5" customHeight="1" hidden="1">
      <c r="A613" s="222" t="s">
        <v>962</v>
      </c>
      <c r="B613" s="21"/>
      <c r="C613" s="22" t="s">
        <v>793</v>
      </c>
      <c r="D613" s="22" t="s">
        <v>665</v>
      </c>
      <c r="E613" s="22" t="s">
        <v>1213</v>
      </c>
      <c r="F613" s="23"/>
      <c r="G613" s="24">
        <f>SUM(G614)</f>
        <v>0</v>
      </c>
      <c r="H613" s="24">
        <f>SUM(H614)</f>
        <v>0</v>
      </c>
      <c r="I613" s="24" t="e">
        <f t="shared" si="15"/>
        <v>#DIV/0!</v>
      </c>
    </row>
    <row r="614" spans="1:9" ht="15" hidden="1">
      <c r="A614" s="222" t="s">
        <v>235</v>
      </c>
      <c r="B614" s="21"/>
      <c r="C614" s="22" t="s">
        <v>793</v>
      </c>
      <c r="D614" s="22" t="s">
        <v>665</v>
      </c>
      <c r="E614" s="22" t="s">
        <v>1213</v>
      </c>
      <c r="F614" s="23" t="s">
        <v>1214</v>
      </c>
      <c r="G614" s="24"/>
      <c r="H614" s="24"/>
      <c r="I614" s="24" t="e">
        <f t="shared" si="15"/>
        <v>#DIV/0!</v>
      </c>
    </row>
    <row r="615" spans="1:9" ht="15" hidden="1">
      <c r="A615" s="224" t="s">
        <v>820</v>
      </c>
      <c r="B615" s="21"/>
      <c r="C615" s="22" t="s">
        <v>793</v>
      </c>
      <c r="D615" s="35" t="s">
        <v>1013</v>
      </c>
      <c r="E615" s="22"/>
      <c r="F615" s="23"/>
      <c r="G615" s="24">
        <f>SUM(G616+G619+G628+G637+G635)</f>
        <v>0</v>
      </c>
      <c r="H615" s="24">
        <f>SUM(H616+H619+H628+H637+H635)</f>
        <v>8564.300000000001</v>
      </c>
      <c r="I615" s="24" t="e">
        <f t="shared" si="15"/>
        <v>#DIV/0!</v>
      </c>
    </row>
    <row r="616" spans="1:9" ht="19.5" customHeight="1" hidden="1">
      <c r="A616" s="224" t="s">
        <v>1215</v>
      </c>
      <c r="B616" s="21"/>
      <c r="C616" s="22" t="s">
        <v>793</v>
      </c>
      <c r="D616" s="35" t="s">
        <v>1013</v>
      </c>
      <c r="E616" s="22" t="s">
        <v>919</v>
      </c>
      <c r="F616" s="23"/>
      <c r="G616" s="24">
        <f>SUM(G617)</f>
        <v>0</v>
      </c>
      <c r="H616" s="24">
        <f>SUM(H617)</f>
        <v>0</v>
      </c>
      <c r="I616" s="24" t="e">
        <f t="shared" si="15"/>
        <v>#DIV/0!</v>
      </c>
    </row>
    <row r="617" spans="1:9" ht="19.5" customHeight="1" hidden="1">
      <c r="A617" s="224" t="s">
        <v>1216</v>
      </c>
      <c r="B617" s="21"/>
      <c r="C617" s="22" t="s">
        <v>793</v>
      </c>
      <c r="D617" s="35" t="s">
        <v>1013</v>
      </c>
      <c r="E617" s="22" t="s">
        <v>1217</v>
      </c>
      <c r="F617" s="23"/>
      <c r="G617" s="24">
        <f>SUM(G618)</f>
        <v>0</v>
      </c>
      <c r="H617" s="24">
        <f>SUM(H618)</f>
        <v>0</v>
      </c>
      <c r="I617" s="24" t="e">
        <f t="shared" si="15"/>
        <v>#DIV/0!</v>
      </c>
    </row>
    <row r="618" spans="1:9" ht="19.5" customHeight="1" hidden="1">
      <c r="A618" s="224" t="s">
        <v>243</v>
      </c>
      <c r="B618" s="21"/>
      <c r="C618" s="22" t="s">
        <v>793</v>
      </c>
      <c r="D618" s="35" t="s">
        <v>1013</v>
      </c>
      <c r="E618" s="22" t="s">
        <v>1217</v>
      </c>
      <c r="F618" s="23" t="s">
        <v>245</v>
      </c>
      <c r="G618" s="24"/>
      <c r="H618" s="24"/>
      <c r="I618" s="24" t="e">
        <f t="shared" si="15"/>
        <v>#DIV/0!</v>
      </c>
    </row>
    <row r="619" spans="1:9" s="36" customFormat="1" ht="19.5" customHeight="1" hidden="1">
      <c r="A619" s="222" t="s">
        <v>821</v>
      </c>
      <c r="B619" s="21"/>
      <c r="C619" s="22" t="s">
        <v>793</v>
      </c>
      <c r="D619" s="35" t="s">
        <v>1013</v>
      </c>
      <c r="E619" s="22" t="s">
        <v>822</v>
      </c>
      <c r="F619" s="23"/>
      <c r="G619" s="24">
        <f>SUM(G623+G626+G620)</f>
        <v>0</v>
      </c>
      <c r="H619" s="24">
        <f>SUM(H623+H626+H620)</f>
        <v>5628.5</v>
      </c>
      <c r="I619" s="24" t="e">
        <f t="shared" si="15"/>
        <v>#DIV/0!</v>
      </c>
    </row>
    <row r="620" spans="1:9" s="36" customFormat="1" ht="19.5" customHeight="1" hidden="1">
      <c r="A620" s="224" t="s">
        <v>1188</v>
      </c>
      <c r="B620" s="21"/>
      <c r="C620" s="22" t="s">
        <v>793</v>
      </c>
      <c r="D620" s="22" t="s">
        <v>1013</v>
      </c>
      <c r="E620" s="22" t="s">
        <v>1218</v>
      </c>
      <c r="F620" s="23"/>
      <c r="G620" s="24">
        <f>SUM(G621)</f>
        <v>0</v>
      </c>
      <c r="H620" s="24">
        <f>SUM(H621)</f>
        <v>0</v>
      </c>
      <c r="I620" s="24" t="e">
        <f t="shared" si="15"/>
        <v>#DIV/0!</v>
      </c>
    </row>
    <row r="621" spans="1:9" s="36" customFormat="1" ht="19.5" customHeight="1" hidden="1">
      <c r="A621" s="238" t="s">
        <v>1285</v>
      </c>
      <c r="B621" s="71"/>
      <c r="C621" s="52" t="s">
        <v>793</v>
      </c>
      <c r="D621" s="52" t="s">
        <v>1013</v>
      </c>
      <c r="E621" s="52" t="s">
        <v>1286</v>
      </c>
      <c r="F621" s="27"/>
      <c r="G621" s="24">
        <f>SUM(G622)</f>
        <v>0</v>
      </c>
      <c r="H621" s="24">
        <f>SUM(H622)</f>
        <v>0</v>
      </c>
      <c r="I621" s="24" t="e">
        <f t="shared" si="15"/>
        <v>#DIV/0!</v>
      </c>
    </row>
    <row r="622" spans="1:9" s="36" customFormat="1" ht="19.5" customHeight="1" hidden="1">
      <c r="A622" s="222" t="s">
        <v>378</v>
      </c>
      <c r="B622" s="71"/>
      <c r="C622" s="52" t="s">
        <v>793</v>
      </c>
      <c r="D622" s="52" t="s">
        <v>1013</v>
      </c>
      <c r="E622" s="52" t="s">
        <v>1286</v>
      </c>
      <c r="F622" s="27" t="s">
        <v>379</v>
      </c>
      <c r="G622" s="24"/>
      <c r="H622" s="24"/>
      <c r="I622" s="24" t="e">
        <f t="shared" si="15"/>
        <v>#DIV/0!</v>
      </c>
    </row>
    <row r="623" spans="1:9" ht="19.5" customHeight="1" hidden="1">
      <c r="A623" s="222" t="s">
        <v>274</v>
      </c>
      <c r="B623" s="21"/>
      <c r="C623" s="35" t="s">
        <v>793</v>
      </c>
      <c r="D623" s="35" t="s">
        <v>1013</v>
      </c>
      <c r="E623" s="22" t="s">
        <v>330</v>
      </c>
      <c r="F623" s="23"/>
      <c r="G623" s="24">
        <f>SUM(G624)</f>
        <v>0</v>
      </c>
      <c r="H623" s="24">
        <f>SUM(H624)</f>
        <v>5628.5</v>
      </c>
      <c r="I623" s="24" t="e">
        <f t="shared" si="15"/>
        <v>#DIV/0!</v>
      </c>
    </row>
    <row r="624" spans="1:9" ht="19.5" customHeight="1" hidden="1">
      <c r="A624" s="224" t="s">
        <v>331</v>
      </c>
      <c r="B624" s="21"/>
      <c r="C624" s="35" t="s">
        <v>793</v>
      </c>
      <c r="D624" s="35" t="s">
        <v>1013</v>
      </c>
      <c r="E624" s="22" t="s">
        <v>332</v>
      </c>
      <c r="F624" s="26"/>
      <c r="G624" s="24">
        <f>SUM(G625)</f>
        <v>0</v>
      </c>
      <c r="H624" s="24">
        <f>SUM(H625)</f>
        <v>5628.5</v>
      </c>
      <c r="I624" s="24" t="e">
        <f t="shared" si="15"/>
        <v>#DIV/0!</v>
      </c>
    </row>
    <row r="625" spans="1:9" ht="19.5" customHeight="1" hidden="1">
      <c r="A625" s="222" t="s">
        <v>378</v>
      </c>
      <c r="B625" s="77"/>
      <c r="C625" s="35" t="s">
        <v>793</v>
      </c>
      <c r="D625" s="35" t="s">
        <v>1013</v>
      </c>
      <c r="E625" s="22" t="s">
        <v>332</v>
      </c>
      <c r="F625" s="88" t="s">
        <v>379</v>
      </c>
      <c r="G625" s="49"/>
      <c r="H625" s="49">
        <v>5628.5</v>
      </c>
      <c r="I625" s="24" t="e">
        <f t="shared" si="15"/>
        <v>#DIV/0!</v>
      </c>
    </row>
    <row r="626" spans="1:9" s="36" customFormat="1" ht="15" hidden="1">
      <c r="A626" s="224" t="s">
        <v>1184</v>
      </c>
      <c r="B626" s="21"/>
      <c r="C626" s="35" t="s">
        <v>793</v>
      </c>
      <c r="D626" s="35" t="s">
        <v>1013</v>
      </c>
      <c r="E626" s="22" t="s">
        <v>1219</v>
      </c>
      <c r="F626" s="26"/>
      <c r="G626" s="24">
        <f>SUM(G627)</f>
        <v>0</v>
      </c>
      <c r="H626" s="24">
        <f>SUM(H627)</f>
        <v>0</v>
      </c>
      <c r="I626" s="24" t="e">
        <f t="shared" si="15"/>
        <v>#DIV/0!</v>
      </c>
    </row>
    <row r="627" spans="1:9" ht="19.5" customHeight="1" hidden="1">
      <c r="A627" s="222" t="s">
        <v>378</v>
      </c>
      <c r="B627" s="77"/>
      <c r="C627" s="35" t="s">
        <v>793</v>
      </c>
      <c r="D627" s="35" t="s">
        <v>1013</v>
      </c>
      <c r="E627" s="22" t="s">
        <v>1219</v>
      </c>
      <c r="F627" s="88" t="s">
        <v>379</v>
      </c>
      <c r="G627" s="49"/>
      <c r="H627" s="49"/>
      <c r="I627" s="24" t="e">
        <f t="shared" si="15"/>
        <v>#DIV/0!</v>
      </c>
    </row>
    <row r="628" spans="1:9" ht="15.75" hidden="1">
      <c r="A628" s="222" t="s">
        <v>785</v>
      </c>
      <c r="B628" s="51"/>
      <c r="C628" s="35" t="s">
        <v>793</v>
      </c>
      <c r="D628" s="35" t="s">
        <v>1013</v>
      </c>
      <c r="E628" s="35" t="s">
        <v>786</v>
      </c>
      <c r="F628" s="88"/>
      <c r="G628" s="49">
        <f>SUM(G629)</f>
        <v>0</v>
      </c>
      <c r="H628" s="49">
        <f>SUM(H629)</f>
        <v>0</v>
      </c>
      <c r="I628" s="24" t="e">
        <f t="shared" si="15"/>
        <v>#DIV/0!</v>
      </c>
    </row>
    <row r="629" spans="1:9" ht="42.75" hidden="1">
      <c r="A629" s="222" t="s">
        <v>294</v>
      </c>
      <c r="B629" s="77"/>
      <c r="C629" s="35" t="s">
        <v>793</v>
      </c>
      <c r="D629" s="35" t="s">
        <v>1013</v>
      </c>
      <c r="E629" s="35" t="s">
        <v>652</v>
      </c>
      <c r="F629" s="88"/>
      <c r="G629" s="49">
        <f>SUM(G630)+G633</f>
        <v>0</v>
      </c>
      <c r="H629" s="49">
        <f>SUM(H630)+H633</f>
        <v>0</v>
      </c>
      <c r="I629" s="24" t="e">
        <f t="shared" si="15"/>
        <v>#DIV/0!</v>
      </c>
    </row>
    <row r="630" spans="1:9" s="36" customFormat="1" ht="28.5" hidden="1">
      <c r="A630" s="222" t="s">
        <v>1191</v>
      </c>
      <c r="B630" s="77"/>
      <c r="C630" s="35" t="s">
        <v>793</v>
      </c>
      <c r="D630" s="35" t="s">
        <v>1013</v>
      </c>
      <c r="E630" s="35" t="s">
        <v>1192</v>
      </c>
      <c r="F630" s="88"/>
      <c r="G630" s="49">
        <f>SUM(G631+G632)</f>
        <v>0</v>
      </c>
      <c r="H630" s="49">
        <f>SUM(H631+H632)</f>
        <v>0</v>
      </c>
      <c r="I630" s="24" t="e">
        <f t="shared" si="15"/>
        <v>#DIV/0!</v>
      </c>
    </row>
    <row r="631" spans="1:9" ht="15" hidden="1">
      <c r="A631" s="236" t="s">
        <v>1010</v>
      </c>
      <c r="B631" s="77"/>
      <c r="C631" s="35" t="s">
        <v>793</v>
      </c>
      <c r="D631" s="35" t="s">
        <v>1013</v>
      </c>
      <c r="E631" s="35" t="s">
        <v>1192</v>
      </c>
      <c r="F631" s="88" t="s">
        <v>1011</v>
      </c>
      <c r="G631" s="49"/>
      <c r="H631" s="49"/>
      <c r="I631" s="24" t="e">
        <f t="shared" si="15"/>
        <v>#DIV/0!</v>
      </c>
    </row>
    <row r="632" spans="1:9" ht="15" hidden="1">
      <c r="A632" s="222" t="s">
        <v>243</v>
      </c>
      <c r="B632" s="77"/>
      <c r="C632" s="35" t="s">
        <v>793</v>
      </c>
      <c r="D632" s="35" t="s">
        <v>1013</v>
      </c>
      <c r="E632" s="35" t="s">
        <v>1192</v>
      </c>
      <c r="F632" s="88" t="s">
        <v>245</v>
      </c>
      <c r="G632" s="49"/>
      <c r="H632" s="49"/>
      <c r="I632" s="24" t="e">
        <f t="shared" si="15"/>
        <v>#DIV/0!</v>
      </c>
    </row>
    <row r="633" spans="1:9" ht="19.5" customHeight="1" hidden="1">
      <c r="A633" s="222" t="s">
        <v>246</v>
      </c>
      <c r="B633" s="77"/>
      <c r="C633" s="35" t="s">
        <v>793</v>
      </c>
      <c r="D633" s="35" t="s">
        <v>1013</v>
      </c>
      <c r="E633" s="35" t="s">
        <v>244</v>
      </c>
      <c r="F633" s="88"/>
      <c r="G633" s="49">
        <f>SUM(G634)</f>
        <v>0</v>
      </c>
      <c r="H633" s="49">
        <f>SUM(H634)</f>
        <v>0</v>
      </c>
      <c r="I633" s="24" t="e">
        <f t="shared" si="15"/>
        <v>#DIV/0!</v>
      </c>
    </row>
    <row r="634" spans="1:9" ht="19.5" customHeight="1" hidden="1">
      <c r="A634" s="222" t="s">
        <v>243</v>
      </c>
      <c r="B634" s="77"/>
      <c r="C634" s="35" t="s">
        <v>793</v>
      </c>
      <c r="D634" s="35" t="s">
        <v>1013</v>
      </c>
      <c r="E634" s="35" t="s">
        <v>244</v>
      </c>
      <c r="F634" s="88" t="s">
        <v>245</v>
      </c>
      <c r="G634" s="49"/>
      <c r="H634" s="49"/>
      <c r="I634" s="24" t="e">
        <f t="shared" si="15"/>
        <v>#DIV/0!</v>
      </c>
    </row>
    <row r="635" spans="1:9" ht="19.5" customHeight="1" hidden="1">
      <c r="A635" s="222" t="s">
        <v>1251</v>
      </c>
      <c r="B635" s="77"/>
      <c r="C635" s="35" t="s">
        <v>793</v>
      </c>
      <c r="D635" s="35" t="s">
        <v>1013</v>
      </c>
      <c r="E635" s="35" t="s">
        <v>244</v>
      </c>
      <c r="F635" s="88"/>
      <c r="G635" s="49">
        <f>SUM(G636)</f>
        <v>0</v>
      </c>
      <c r="H635" s="49">
        <f>SUM(H636)</f>
        <v>1957.2</v>
      </c>
      <c r="I635" s="24" t="e">
        <f t="shared" si="15"/>
        <v>#DIV/0!</v>
      </c>
    </row>
    <row r="636" spans="1:9" ht="19.5" customHeight="1" hidden="1">
      <c r="A636" s="222" t="s">
        <v>243</v>
      </c>
      <c r="B636" s="77"/>
      <c r="C636" s="35" t="s">
        <v>793</v>
      </c>
      <c r="D636" s="35" t="s">
        <v>1013</v>
      </c>
      <c r="E636" s="35" t="s">
        <v>244</v>
      </c>
      <c r="F636" s="88" t="s">
        <v>245</v>
      </c>
      <c r="G636" s="49"/>
      <c r="H636" s="49">
        <v>1957.2</v>
      </c>
      <c r="I636" s="24" t="e">
        <f t="shared" si="15"/>
        <v>#DIV/0!</v>
      </c>
    </row>
    <row r="637" spans="1:9" ht="19.5" customHeight="1" hidden="1">
      <c r="A637" s="234" t="s">
        <v>1046</v>
      </c>
      <c r="B637" s="34"/>
      <c r="C637" s="35" t="s">
        <v>793</v>
      </c>
      <c r="D637" s="35" t="s">
        <v>1013</v>
      </c>
      <c r="E637" s="35" t="s">
        <v>1047</v>
      </c>
      <c r="F637" s="26"/>
      <c r="G637" s="24">
        <f>SUM(G638)</f>
        <v>0</v>
      </c>
      <c r="H637" s="24">
        <f>SUM(H638)</f>
        <v>978.6</v>
      </c>
      <c r="I637" s="24" t="e">
        <f t="shared" si="15"/>
        <v>#DIV/0!</v>
      </c>
    </row>
    <row r="638" spans="1:9" ht="15" hidden="1">
      <c r="A638" s="236" t="s">
        <v>1010</v>
      </c>
      <c r="B638" s="21"/>
      <c r="C638" s="35" t="s">
        <v>793</v>
      </c>
      <c r="D638" s="35" t="s">
        <v>1013</v>
      </c>
      <c r="E638" s="35" t="s">
        <v>1047</v>
      </c>
      <c r="F638" s="26" t="s">
        <v>1011</v>
      </c>
      <c r="G638" s="24">
        <f>SUM(G639)</f>
        <v>0</v>
      </c>
      <c r="H638" s="24">
        <f>SUM(H639)</f>
        <v>978.6</v>
      </c>
      <c r="I638" s="24" t="e">
        <f t="shared" si="15"/>
        <v>#DIV/0!</v>
      </c>
    </row>
    <row r="639" spans="1:9" ht="28.5" hidden="1">
      <c r="A639" s="236" t="s">
        <v>870</v>
      </c>
      <c r="B639" s="21"/>
      <c r="C639" s="35" t="s">
        <v>793</v>
      </c>
      <c r="D639" s="35" t="s">
        <v>1013</v>
      </c>
      <c r="E639" s="31" t="s">
        <v>871</v>
      </c>
      <c r="F639" s="23" t="s">
        <v>1011</v>
      </c>
      <c r="G639" s="24">
        <f>SUM(G640:G641)</f>
        <v>0</v>
      </c>
      <c r="H639" s="24">
        <f>SUM(H640:H641)</f>
        <v>978.6</v>
      </c>
      <c r="I639" s="24" t="e">
        <f t="shared" si="15"/>
        <v>#DIV/0!</v>
      </c>
    </row>
    <row r="640" spans="1:9" ht="28.5" hidden="1">
      <c r="A640" s="222" t="s">
        <v>1191</v>
      </c>
      <c r="B640" s="34"/>
      <c r="C640" s="35" t="s">
        <v>793</v>
      </c>
      <c r="D640" s="35" t="s">
        <v>1013</v>
      </c>
      <c r="E640" s="31" t="s">
        <v>249</v>
      </c>
      <c r="F640" s="23" t="s">
        <v>1011</v>
      </c>
      <c r="G640" s="49"/>
      <c r="H640" s="49"/>
      <c r="I640" s="24" t="e">
        <f t="shared" si="15"/>
        <v>#DIV/0!</v>
      </c>
    </row>
    <row r="641" spans="1:9" ht="28.5" hidden="1">
      <c r="A641" s="222" t="s">
        <v>1127</v>
      </c>
      <c r="B641" s="34"/>
      <c r="C641" s="35" t="s">
        <v>793</v>
      </c>
      <c r="D641" s="35" t="s">
        <v>1013</v>
      </c>
      <c r="E641" s="31" t="s">
        <v>1128</v>
      </c>
      <c r="F641" s="23" t="s">
        <v>1011</v>
      </c>
      <c r="G641" s="49"/>
      <c r="H641" s="49">
        <v>978.6</v>
      </c>
      <c r="I641" s="24" t="e">
        <f t="shared" si="15"/>
        <v>#DIV/0!</v>
      </c>
    </row>
    <row r="642" spans="1:9" s="255" customFormat="1" ht="15">
      <c r="A642" s="236" t="s">
        <v>230</v>
      </c>
      <c r="B642" s="30"/>
      <c r="C642" s="31" t="s">
        <v>585</v>
      </c>
      <c r="D642" s="31"/>
      <c r="E642" s="31"/>
      <c r="F642" s="88"/>
      <c r="G642" s="49">
        <f>SUM(G643)</f>
        <v>1504.9</v>
      </c>
      <c r="H642" s="49" t="e">
        <f>SUM(H643+#REF!+H683+H687+H714+H743)</f>
        <v>#REF!</v>
      </c>
      <c r="I642" s="49" t="e">
        <f>SUM(H642/G642*100)</f>
        <v>#REF!</v>
      </c>
    </row>
    <row r="643" spans="1:9" ht="15">
      <c r="A643" s="222" t="s">
        <v>1334</v>
      </c>
      <c r="B643" s="21"/>
      <c r="C643" s="22" t="s">
        <v>585</v>
      </c>
      <c r="D643" s="22" t="s">
        <v>1050</v>
      </c>
      <c r="E643" s="35"/>
      <c r="F643" s="26"/>
      <c r="G643" s="49">
        <f>SUM(G644)</f>
        <v>1504.9</v>
      </c>
      <c r="H643" s="24"/>
      <c r="I643" s="24"/>
    </row>
    <row r="644" spans="1:9" ht="15">
      <c r="A644" s="234" t="s">
        <v>1046</v>
      </c>
      <c r="B644" s="34"/>
      <c r="C644" s="22" t="s">
        <v>585</v>
      </c>
      <c r="D644" s="22" t="s">
        <v>1050</v>
      </c>
      <c r="E644" s="35" t="s">
        <v>1047</v>
      </c>
      <c r="F644" s="26"/>
      <c r="G644" s="49">
        <f>SUM(G645)</f>
        <v>1504.9</v>
      </c>
      <c r="H644" s="24" t="e">
        <f>SUM(H654)+H658+H660</f>
        <v>#REF!</v>
      </c>
      <c r="I644" s="24" t="e">
        <f>SUM(H644/G644*100)</f>
        <v>#REF!</v>
      </c>
    </row>
    <row r="645" spans="1:9" ht="28.5">
      <c r="A645" s="257" t="s">
        <v>1083</v>
      </c>
      <c r="B645" s="21"/>
      <c r="C645" s="22" t="s">
        <v>585</v>
      </c>
      <c r="D645" s="22" t="s">
        <v>1050</v>
      </c>
      <c r="E645" s="35" t="s">
        <v>886</v>
      </c>
      <c r="F645" s="88"/>
      <c r="G645" s="49">
        <f>SUM(G646)</f>
        <v>1504.9</v>
      </c>
      <c r="H645" s="49">
        <f>SUM(H646)</f>
        <v>1042.3</v>
      </c>
      <c r="I645" s="24">
        <f>SUM(H645/G645*100)</f>
        <v>69.26041597448335</v>
      </c>
    </row>
    <row r="646" spans="1:9" ht="15">
      <c r="A646" s="257" t="s">
        <v>1053</v>
      </c>
      <c r="B646" s="21"/>
      <c r="C646" s="22" t="s">
        <v>585</v>
      </c>
      <c r="D646" s="22" t="s">
        <v>1050</v>
      </c>
      <c r="E646" s="35" t="s">
        <v>886</v>
      </c>
      <c r="F646" s="88" t="s">
        <v>1054</v>
      </c>
      <c r="G646" s="49">
        <v>1504.9</v>
      </c>
      <c r="H646" s="49">
        <v>1042.3</v>
      </c>
      <c r="I646" s="24">
        <f>SUM(H646/G646*100)</f>
        <v>69.26041597448335</v>
      </c>
    </row>
    <row r="647" spans="1:9" ht="15">
      <c r="A647" s="257" t="s">
        <v>709</v>
      </c>
      <c r="B647" s="21"/>
      <c r="C647" s="22" t="s">
        <v>568</v>
      </c>
      <c r="D647" s="22"/>
      <c r="E647" s="35"/>
      <c r="F647" s="88"/>
      <c r="G647" s="49">
        <f aca="true" t="shared" si="17" ref="G647:G652">SUM(G648)</f>
        <v>115</v>
      </c>
      <c r="H647" s="49"/>
      <c r="I647" s="24"/>
    </row>
    <row r="648" spans="1:9" ht="15">
      <c r="A648" s="257" t="s">
        <v>710</v>
      </c>
      <c r="B648" s="21"/>
      <c r="C648" s="22" t="s">
        <v>568</v>
      </c>
      <c r="D648" s="22" t="s">
        <v>1037</v>
      </c>
      <c r="E648" s="35"/>
      <c r="F648" s="88"/>
      <c r="G648" s="49">
        <f t="shared" si="17"/>
        <v>115</v>
      </c>
      <c r="H648" s="49"/>
      <c r="I648" s="24"/>
    </row>
    <row r="649" spans="1:9" ht="15">
      <c r="A649" s="257" t="s">
        <v>711</v>
      </c>
      <c r="B649" s="21"/>
      <c r="C649" s="22" t="s">
        <v>568</v>
      </c>
      <c r="D649" s="22" t="s">
        <v>1037</v>
      </c>
      <c r="E649" s="35" t="s">
        <v>712</v>
      </c>
      <c r="F649" s="88"/>
      <c r="G649" s="49">
        <f t="shared" si="17"/>
        <v>115</v>
      </c>
      <c r="H649" s="49"/>
      <c r="I649" s="24"/>
    </row>
    <row r="650" spans="1:9" ht="15">
      <c r="A650" s="257" t="s">
        <v>811</v>
      </c>
      <c r="B650" s="21"/>
      <c r="C650" s="22" t="s">
        <v>568</v>
      </c>
      <c r="D650" s="22" t="s">
        <v>1037</v>
      </c>
      <c r="E650" s="35" t="s">
        <v>713</v>
      </c>
      <c r="F650" s="88"/>
      <c r="G650" s="49">
        <f t="shared" si="17"/>
        <v>115</v>
      </c>
      <c r="H650" s="49"/>
      <c r="I650" s="24"/>
    </row>
    <row r="651" spans="1:9" ht="15">
      <c r="A651" s="234" t="s">
        <v>1126</v>
      </c>
      <c r="B651" s="21"/>
      <c r="C651" s="22" t="s">
        <v>568</v>
      </c>
      <c r="D651" s="22" t="s">
        <v>1037</v>
      </c>
      <c r="E651" s="35" t="s">
        <v>714</v>
      </c>
      <c r="F651" s="88"/>
      <c r="G651" s="49">
        <f t="shared" si="17"/>
        <v>115</v>
      </c>
      <c r="H651" s="49"/>
      <c r="I651" s="24"/>
    </row>
    <row r="652" spans="1:9" ht="15">
      <c r="A652" s="222" t="s">
        <v>1261</v>
      </c>
      <c r="B652" s="21"/>
      <c r="C652" s="22" t="s">
        <v>568</v>
      </c>
      <c r="D652" s="22" t="s">
        <v>1037</v>
      </c>
      <c r="E652" s="35" t="s">
        <v>715</v>
      </c>
      <c r="F652" s="88"/>
      <c r="G652" s="49">
        <f t="shared" si="17"/>
        <v>115</v>
      </c>
      <c r="H652" s="49"/>
      <c r="I652" s="24"/>
    </row>
    <row r="653" spans="1:9" ht="15">
      <c r="A653" s="234" t="s">
        <v>1080</v>
      </c>
      <c r="B653" s="21"/>
      <c r="C653" s="22" t="s">
        <v>568</v>
      </c>
      <c r="D653" s="22" t="s">
        <v>1037</v>
      </c>
      <c r="E653" s="35" t="s">
        <v>715</v>
      </c>
      <c r="F653" s="88" t="s">
        <v>978</v>
      </c>
      <c r="G653" s="49">
        <v>115</v>
      </c>
      <c r="H653" s="49"/>
      <c r="I653" s="24"/>
    </row>
    <row r="654" spans="1:9" ht="30">
      <c r="A654" s="235" t="s">
        <v>295</v>
      </c>
      <c r="B654" s="82" t="s">
        <v>296</v>
      </c>
      <c r="C654" s="41"/>
      <c r="D654" s="80"/>
      <c r="E654" s="80"/>
      <c r="F654" s="81"/>
      <c r="G654" s="141">
        <f>SUM(G655+G669+G673+G677+G681+G685)</f>
        <v>24388.4</v>
      </c>
      <c r="H654" s="141" t="e">
        <f>SUM(H655)+H681+H685</f>
        <v>#REF!</v>
      </c>
      <c r="I654" s="40" t="e">
        <f aca="true" t="shared" si="18" ref="I654:I764">SUM(H654/G654*100)</f>
        <v>#REF!</v>
      </c>
    </row>
    <row r="655" spans="1:9" ht="15">
      <c r="A655" s="222" t="s">
        <v>662</v>
      </c>
      <c r="B655" s="21"/>
      <c r="C655" s="22" t="s">
        <v>663</v>
      </c>
      <c r="D655" s="22"/>
      <c r="E655" s="22"/>
      <c r="F655" s="23"/>
      <c r="G655" s="24">
        <f>SUM(G656+G665+G662)</f>
        <v>20604.5</v>
      </c>
      <c r="H655" s="24" t="e">
        <f>SUM(H656+H665+H677+H662)</f>
        <v>#REF!</v>
      </c>
      <c r="I655" s="24" t="e">
        <f t="shared" si="18"/>
        <v>#REF!</v>
      </c>
    </row>
    <row r="656" spans="1:9" ht="28.5">
      <c r="A656" s="222" t="s">
        <v>548</v>
      </c>
      <c r="B656" s="21"/>
      <c r="C656" s="22" t="s">
        <v>663</v>
      </c>
      <c r="D656" s="22" t="s">
        <v>549</v>
      </c>
      <c r="E656" s="22"/>
      <c r="F656" s="23"/>
      <c r="G656" s="24">
        <f>SUM(G657)</f>
        <v>20604.5</v>
      </c>
      <c r="H656" s="24">
        <f>SUM(H657)</f>
        <v>9708.8</v>
      </c>
      <c r="I656" s="24">
        <f t="shared" si="18"/>
        <v>47.11980392632677</v>
      </c>
    </row>
    <row r="657" spans="1:9" ht="45.75" customHeight="1">
      <c r="A657" s="222" t="s">
        <v>1006</v>
      </c>
      <c r="B657" s="21"/>
      <c r="C657" s="22" t="s">
        <v>663</v>
      </c>
      <c r="D657" s="22" t="s">
        <v>549</v>
      </c>
      <c r="E657" s="22" t="s">
        <v>1007</v>
      </c>
      <c r="F657" s="23"/>
      <c r="G657" s="24">
        <f>SUM(G658)</f>
        <v>20604.5</v>
      </c>
      <c r="H657" s="24">
        <f>SUM(H658)</f>
        <v>9708.8</v>
      </c>
      <c r="I657" s="24">
        <f t="shared" si="18"/>
        <v>47.11980392632677</v>
      </c>
    </row>
    <row r="658" spans="1:9" ht="15">
      <c r="A658" s="222" t="s">
        <v>1014</v>
      </c>
      <c r="B658" s="21"/>
      <c r="C658" s="22" t="s">
        <v>663</v>
      </c>
      <c r="D658" s="22" t="s">
        <v>549</v>
      </c>
      <c r="E658" s="22" t="s">
        <v>1016</v>
      </c>
      <c r="F658" s="23"/>
      <c r="G658" s="24">
        <f>SUM(G659+G660)</f>
        <v>20604.5</v>
      </c>
      <c r="H658" s="24">
        <f>SUM(H659+H660)</f>
        <v>9708.8</v>
      </c>
      <c r="I658" s="24">
        <f t="shared" si="18"/>
        <v>47.11980392632677</v>
      </c>
    </row>
    <row r="659" spans="1:9" s="98" customFormat="1" ht="27" customHeight="1">
      <c r="A659" s="222" t="s">
        <v>1010</v>
      </c>
      <c r="B659" s="21"/>
      <c r="C659" s="22" t="s">
        <v>1015</v>
      </c>
      <c r="D659" s="22" t="s">
        <v>549</v>
      </c>
      <c r="E659" s="22" t="s">
        <v>1016</v>
      </c>
      <c r="F659" s="27" t="s">
        <v>1011</v>
      </c>
      <c r="G659" s="24">
        <v>5265.1</v>
      </c>
      <c r="H659" s="24">
        <v>122.5</v>
      </c>
      <c r="I659" s="24">
        <f t="shared" si="18"/>
        <v>2.326641469297829</v>
      </c>
    </row>
    <row r="660" spans="1:9" s="98" customFormat="1" ht="46.5" customHeight="1">
      <c r="A660" s="222" t="s">
        <v>550</v>
      </c>
      <c r="B660" s="21"/>
      <c r="C660" s="22" t="s">
        <v>1015</v>
      </c>
      <c r="D660" s="22" t="s">
        <v>549</v>
      </c>
      <c r="E660" s="22" t="s">
        <v>551</v>
      </c>
      <c r="F660" s="23"/>
      <c r="G660" s="24">
        <f>SUM(G661)</f>
        <v>15339.4</v>
      </c>
      <c r="H660" s="24">
        <f>SUM(H661)</f>
        <v>9586.3</v>
      </c>
      <c r="I660" s="24">
        <f t="shared" si="18"/>
        <v>62.49462169315618</v>
      </c>
    </row>
    <row r="661" spans="1:9" ht="26.25" customHeight="1">
      <c r="A661" s="222" t="s">
        <v>1010</v>
      </c>
      <c r="B661" s="21"/>
      <c r="C661" s="22" t="s">
        <v>1015</v>
      </c>
      <c r="D661" s="22" t="s">
        <v>549</v>
      </c>
      <c r="E661" s="22" t="s">
        <v>551</v>
      </c>
      <c r="F661" s="27" t="s">
        <v>1011</v>
      </c>
      <c r="G661" s="24">
        <v>15339.4</v>
      </c>
      <c r="H661" s="24">
        <v>9586.3</v>
      </c>
      <c r="I661" s="24">
        <f t="shared" si="18"/>
        <v>62.49462169315618</v>
      </c>
    </row>
    <row r="662" spans="1:9" ht="19.5" customHeight="1" hidden="1">
      <c r="A662" s="222" t="s">
        <v>1019</v>
      </c>
      <c r="B662" s="21"/>
      <c r="C662" s="22" t="s">
        <v>663</v>
      </c>
      <c r="D662" s="22" t="s">
        <v>1331</v>
      </c>
      <c r="E662" s="22"/>
      <c r="F662" s="26"/>
      <c r="G662" s="24">
        <f>SUM(G663)</f>
        <v>0</v>
      </c>
      <c r="H662" s="24" t="e">
        <f>SUM(H663+H681+H684+H687+H690+#REF!+H678)+H667+H665</f>
        <v>#REF!</v>
      </c>
      <c r="I662" s="24" t="e">
        <f t="shared" si="18"/>
        <v>#REF!</v>
      </c>
    </row>
    <row r="663" spans="1:9" ht="19.5" customHeight="1" hidden="1">
      <c r="A663" s="224" t="s">
        <v>1236</v>
      </c>
      <c r="B663" s="21"/>
      <c r="C663" s="22" t="s">
        <v>663</v>
      </c>
      <c r="D663" s="22" t="s">
        <v>1331</v>
      </c>
      <c r="E663" s="22" t="s">
        <v>1237</v>
      </c>
      <c r="F663" s="27"/>
      <c r="G663" s="24">
        <f>SUM(G664)</f>
        <v>0</v>
      </c>
      <c r="H663" s="24">
        <f>SUM(H664)</f>
        <v>5048</v>
      </c>
      <c r="I663" s="24" t="e">
        <f t="shared" si="18"/>
        <v>#DIV/0!</v>
      </c>
    </row>
    <row r="664" spans="1:9" ht="19.5" customHeight="1" hidden="1">
      <c r="A664" s="222" t="s">
        <v>1010</v>
      </c>
      <c r="B664" s="21"/>
      <c r="C664" s="22" t="s">
        <v>663</v>
      </c>
      <c r="D664" s="22" t="s">
        <v>1331</v>
      </c>
      <c r="E664" s="22" t="s">
        <v>1237</v>
      </c>
      <c r="F664" s="27" t="s">
        <v>1011</v>
      </c>
      <c r="G664" s="24"/>
      <c r="H664" s="24">
        <v>5048</v>
      </c>
      <c r="I664" s="24" t="e">
        <f t="shared" si="18"/>
        <v>#DIV/0!</v>
      </c>
    </row>
    <row r="665" spans="1:9" ht="15" hidden="1">
      <c r="A665" s="222" t="s">
        <v>567</v>
      </c>
      <c r="B665" s="21"/>
      <c r="C665" s="22" t="s">
        <v>663</v>
      </c>
      <c r="D665" s="22" t="s">
        <v>585</v>
      </c>
      <c r="E665" s="22"/>
      <c r="F665" s="23"/>
      <c r="G665" s="24">
        <f>SUM(G666)</f>
        <v>0</v>
      </c>
      <c r="H665" s="24">
        <f>SUM(H666)</f>
        <v>0</v>
      </c>
      <c r="I665" s="24" t="e">
        <f t="shared" si="18"/>
        <v>#DIV/0!</v>
      </c>
    </row>
    <row r="666" spans="1:9" ht="15" hidden="1">
      <c r="A666" s="222" t="s">
        <v>567</v>
      </c>
      <c r="B666" s="21"/>
      <c r="C666" s="22" t="s">
        <v>663</v>
      </c>
      <c r="D666" s="22" t="s">
        <v>585</v>
      </c>
      <c r="E666" s="22" t="s">
        <v>569</v>
      </c>
      <c r="F666" s="23"/>
      <c r="G666" s="24">
        <f>SUM(G668)</f>
        <v>0</v>
      </c>
      <c r="H666" s="24">
        <f>SUM(H668)</f>
        <v>0</v>
      </c>
      <c r="I666" s="24" t="e">
        <f t="shared" si="18"/>
        <v>#DIV/0!</v>
      </c>
    </row>
    <row r="667" spans="1:9" ht="15" hidden="1">
      <c r="A667" s="222" t="s">
        <v>545</v>
      </c>
      <c r="B667" s="21"/>
      <c r="C667" s="22" t="s">
        <v>663</v>
      </c>
      <c r="D667" s="22" t="s">
        <v>585</v>
      </c>
      <c r="E667" s="22" t="s">
        <v>546</v>
      </c>
      <c r="F667" s="23"/>
      <c r="G667" s="24">
        <f>SUM(G668)</f>
        <v>0</v>
      </c>
      <c r="H667" s="24">
        <f>SUM(H668)</f>
        <v>0</v>
      </c>
      <c r="I667" s="24" t="e">
        <f t="shared" si="18"/>
        <v>#DIV/0!</v>
      </c>
    </row>
    <row r="668" spans="1:9" ht="16.5" customHeight="1" hidden="1">
      <c r="A668" s="228" t="s">
        <v>570</v>
      </c>
      <c r="B668" s="34"/>
      <c r="C668" s="22" t="s">
        <v>663</v>
      </c>
      <c r="D668" s="22" t="s">
        <v>585</v>
      </c>
      <c r="E668" s="22" t="s">
        <v>546</v>
      </c>
      <c r="F668" s="26" t="s">
        <v>566</v>
      </c>
      <c r="G668" s="24"/>
      <c r="H668" s="24"/>
      <c r="I668" s="24" t="e">
        <f t="shared" si="18"/>
        <v>#DIV/0!</v>
      </c>
    </row>
    <row r="669" spans="1:9" s="53" customFormat="1" ht="19.5" customHeight="1" hidden="1">
      <c r="A669" s="228" t="s">
        <v>619</v>
      </c>
      <c r="B669" s="34"/>
      <c r="C669" s="35" t="s">
        <v>1050</v>
      </c>
      <c r="D669" s="35"/>
      <c r="E669" s="35"/>
      <c r="F669" s="27"/>
      <c r="G669" s="144">
        <f>SUM(G670)</f>
        <v>0</v>
      </c>
      <c r="H669" s="144" t="e">
        <f>SUM(H670+H808+H835+H868)</f>
        <v>#REF!</v>
      </c>
      <c r="I669" s="24" t="e">
        <f t="shared" si="18"/>
        <v>#REF!</v>
      </c>
    </row>
    <row r="670" spans="1:9" s="145" customFormat="1" ht="19.5" customHeight="1" hidden="1">
      <c r="A670" s="228" t="s">
        <v>873</v>
      </c>
      <c r="B670" s="34"/>
      <c r="C670" s="35" t="s">
        <v>1050</v>
      </c>
      <c r="D670" s="35" t="s">
        <v>1013</v>
      </c>
      <c r="E670" s="35"/>
      <c r="F670" s="26"/>
      <c r="G670" s="24">
        <f>SUM(G671)</f>
        <v>0</v>
      </c>
      <c r="H670" s="24" t="e">
        <f>SUM(H673+H690)+H671</f>
        <v>#REF!</v>
      </c>
      <c r="I670" s="24" t="e">
        <f t="shared" si="18"/>
        <v>#REF!</v>
      </c>
    </row>
    <row r="671" spans="1:9" ht="19.5" customHeight="1" hidden="1">
      <c r="A671" s="224" t="s">
        <v>1236</v>
      </c>
      <c r="B671" s="21"/>
      <c r="C671" s="35" t="s">
        <v>1050</v>
      </c>
      <c r="D671" s="35" t="s">
        <v>1013</v>
      </c>
      <c r="E671" s="22" t="s">
        <v>1237</v>
      </c>
      <c r="F671" s="27"/>
      <c r="G671" s="24">
        <f>SUM(G672)</f>
        <v>0</v>
      </c>
      <c r="H671" s="24">
        <f>SUM(H672)</f>
        <v>5048</v>
      </c>
      <c r="I671" s="24" t="e">
        <f>SUM(H671/G671*100)</f>
        <v>#DIV/0!</v>
      </c>
    </row>
    <row r="672" spans="1:9" ht="19.5" customHeight="1" hidden="1">
      <c r="A672" s="222" t="s">
        <v>1010</v>
      </c>
      <c r="B672" s="21"/>
      <c r="C672" s="35" t="s">
        <v>1050</v>
      </c>
      <c r="D672" s="35" t="s">
        <v>1013</v>
      </c>
      <c r="E672" s="22" t="s">
        <v>1237</v>
      </c>
      <c r="F672" s="27" t="s">
        <v>1011</v>
      </c>
      <c r="G672" s="24"/>
      <c r="H672" s="24">
        <v>5048</v>
      </c>
      <c r="I672" s="24" t="e">
        <f>SUM(H672/G672*100)</f>
        <v>#DIV/0!</v>
      </c>
    </row>
    <row r="673" spans="1:9" ht="15" hidden="1">
      <c r="A673" s="236" t="s">
        <v>1025</v>
      </c>
      <c r="B673" s="21"/>
      <c r="C673" s="72" t="s">
        <v>1026</v>
      </c>
      <c r="D673" s="72"/>
      <c r="E673" s="72"/>
      <c r="F673" s="44"/>
      <c r="G673" s="49">
        <f>SUM(G674)</f>
        <v>0</v>
      </c>
      <c r="H673" s="49" t="e">
        <f>SUM(H674)+H682+H689</f>
        <v>#REF!</v>
      </c>
      <c r="I673" s="24" t="e">
        <f>SUM(H673/G673*100)</f>
        <v>#REF!</v>
      </c>
    </row>
    <row r="674" spans="1:9" ht="19.5" customHeight="1" hidden="1">
      <c r="A674" s="234" t="s">
        <v>1318</v>
      </c>
      <c r="B674" s="34"/>
      <c r="C674" s="35" t="s">
        <v>1026</v>
      </c>
      <c r="D674" s="35" t="s">
        <v>389</v>
      </c>
      <c r="E674" s="35"/>
      <c r="F674" s="26"/>
      <c r="G674" s="24">
        <f>SUM(G675)</f>
        <v>0</v>
      </c>
      <c r="H674" s="24"/>
      <c r="I674" s="24"/>
    </row>
    <row r="675" spans="1:9" ht="19.5" customHeight="1" hidden="1">
      <c r="A675" s="224" t="s">
        <v>1236</v>
      </c>
      <c r="B675" s="21"/>
      <c r="C675" s="35" t="s">
        <v>1026</v>
      </c>
      <c r="D675" s="35" t="s">
        <v>389</v>
      </c>
      <c r="E675" s="22" t="s">
        <v>1237</v>
      </c>
      <c r="F675" s="27"/>
      <c r="G675" s="24">
        <f>SUM(G676)</f>
        <v>0</v>
      </c>
      <c r="H675" s="24">
        <f>SUM(H676)</f>
        <v>0</v>
      </c>
      <c r="I675" s="24" t="e">
        <f>SUM(H675/G675*100)</f>
        <v>#DIV/0!</v>
      </c>
    </row>
    <row r="676" spans="1:9" ht="19.5" customHeight="1" hidden="1">
      <c r="A676" s="234" t="s">
        <v>895</v>
      </c>
      <c r="B676" s="28"/>
      <c r="C676" s="72" t="s">
        <v>793</v>
      </c>
      <c r="D676" s="72" t="s">
        <v>549</v>
      </c>
      <c r="E676" s="22" t="s">
        <v>1237</v>
      </c>
      <c r="F676" s="23" t="s">
        <v>238</v>
      </c>
      <c r="G676" s="49"/>
      <c r="H676" s="24"/>
      <c r="I676" s="24"/>
    </row>
    <row r="677" spans="1:9" ht="15" hidden="1">
      <c r="A677" s="222" t="s">
        <v>446</v>
      </c>
      <c r="B677" s="21"/>
      <c r="C677" s="35" t="s">
        <v>1039</v>
      </c>
      <c r="D677" s="35"/>
      <c r="E677" s="35"/>
      <c r="F677" s="26"/>
      <c r="G677" s="24">
        <f>SUM(G678)</f>
        <v>0</v>
      </c>
      <c r="H677" s="24" t="e">
        <f>SUM(H678+H730)</f>
        <v>#REF!</v>
      </c>
      <c r="I677" s="24" t="e">
        <f>SUM(H677/G677*100)</f>
        <v>#REF!</v>
      </c>
    </row>
    <row r="678" spans="1:9" ht="28.5" hidden="1">
      <c r="A678" s="224" t="s">
        <v>540</v>
      </c>
      <c r="B678" s="37"/>
      <c r="C678" s="31" t="s">
        <v>1039</v>
      </c>
      <c r="D678" s="31" t="s">
        <v>1037</v>
      </c>
      <c r="E678" s="31"/>
      <c r="F678" s="88"/>
      <c r="G678" s="24">
        <f>SUM(G679)</f>
        <v>0</v>
      </c>
      <c r="H678" s="24" t="e">
        <f>SUM(H682+H685+H680)</f>
        <v>#REF!</v>
      </c>
      <c r="I678" s="24" t="e">
        <f>SUM(H678/G678*100)</f>
        <v>#REF!</v>
      </c>
    </row>
    <row r="679" spans="1:9" ht="19.5" customHeight="1" hidden="1">
      <c r="A679" s="224" t="s">
        <v>1236</v>
      </c>
      <c r="B679" s="21"/>
      <c r="C679" s="31" t="s">
        <v>1039</v>
      </c>
      <c r="D679" s="31" t="s">
        <v>1037</v>
      </c>
      <c r="E679" s="22" t="s">
        <v>1237</v>
      </c>
      <c r="F679" s="27"/>
      <c r="G679" s="24">
        <f>SUM(G680)</f>
        <v>0</v>
      </c>
      <c r="H679" s="24">
        <f>SUM(H680)</f>
        <v>0</v>
      </c>
      <c r="I679" s="24" t="e">
        <f>SUM(H679/G679*100)</f>
        <v>#DIV/0!</v>
      </c>
    </row>
    <row r="680" spans="1:9" ht="19.5" customHeight="1" hidden="1">
      <c r="A680" s="234" t="s">
        <v>895</v>
      </c>
      <c r="B680" s="28"/>
      <c r="C680" s="31" t="s">
        <v>1039</v>
      </c>
      <c r="D680" s="31" t="s">
        <v>1037</v>
      </c>
      <c r="E680" s="22" t="s">
        <v>1237</v>
      </c>
      <c r="F680" s="23" t="s">
        <v>238</v>
      </c>
      <c r="G680" s="49"/>
      <c r="H680" s="24"/>
      <c r="I680" s="24"/>
    </row>
    <row r="681" spans="1:9" s="73" customFormat="1" ht="15" hidden="1">
      <c r="A681" s="236" t="s">
        <v>1197</v>
      </c>
      <c r="B681" s="21"/>
      <c r="C681" s="72" t="s">
        <v>793</v>
      </c>
      <c r="D681" s="72" t="s">
        <v>1198</v>
      </c>
      <c r="E681" s="72"/>
      <c r="F681" s="44"/>
      <c r="G681" s="49">
        <f>SUM(G682)</f>
        <v>0</v>
      </c>
      <c r="H681" s="49" t="e">
        <f>SUM(H682+H685+#REF!+H862+H879)</f>
        <v>#REF!</v>
      </c>
      <c r="I681" s="24" t="e">
        <f t="shared" si="18"/>
        <v>#REF!</v>
      </c>
    </row>
    <row r="682" spans="1:9" ht="20.25" customHeight="1" hidden="1">
      <c r="A682" s="236" t="s">
        <v>1149</v>
      </c>
      <c r="B682" s="21"/>
      <c r="C682" s="72" t="s">
        <v>793</v>
      </c>
      <c r="D682" s="72" t="s">
        <v>549</v>
      </c>
      <c r="E682" s="72"/>
      <c r="F682" s="44"/>
      <c r="G682" s="49">
        <f>SUM(G683)</f>
        <v>0</v>
      </c>
      <c r="H682" s="49" t="e">
        <f>SUM(H683)</f>
        <v>#REF!</v>
      </c>
      <c r="I682" s="24" t="e">
        <f t="shared" si="18"/>
        <v>#REF!</v>
      </c>
    </row>
    <row r="683" spans="1:9" ht="42.75" hidden="1">
      <c r="A683" s="224" t="s">
        <v>1234</v>
      </c>
      <c r="B683" s="28"/>
      <c r="C683" s="72" t="s">
        <v>793</v>
      </c>
      <c r="D683" s="72" t="s">
        <v>549</v>
      </c>
      <c r="E683" s="22" t="s">
        <v>1235</v>
      </c>
      <c r="F683" s="23"/>
      <c r="G683" s="49">
        <f>SUM(G684)</f>
        <v>0</v>
      </c>
      <c r="H683" s="49" t="e">
        <f>SUM(#REF!)</f>
        <v>#REF!</v>
      </c>
      <c r="I683" s="24" t="e">
        <f t="shared" si="18"/>
        <v>#REF!</v>
      </c>
    </row>
    <row r="684" spans="1:9" ht="18" customHeight="1" hidden="1">
      <c r="A684" s="234" t="s">
        <v>895</v>
      </c>
      <c r="B684" s="28"/>
      <c r="C684" s="72" t="s">
        <v>793</v>
      </c>
      <c r="D684" s="72" t="s">
        <v>549</v>
      </c>
      <c r="E684" s="22" t="s">
        <v>1235</v>
      </c>
      <c r="F684" s="23" t="s">
        <v>238</v>
      </c>
      <c r="G684" s="49"/>
      <c r="H684" s="49"/>
      <c r="I684" s="24" t="e">
        <f t="shared" si="18"/>
        <v>#DIV/0!</v>
      </c>
    </row>
    <row r="685" spans="1:9" ht="15">
      <c r="A685" s="236" t="s">
        <v>560</v>
      </c>
      <c r="B685" s="21"/>
      <c r="C685" s="72" t="s">
        <v>1331</v>
      </c>
      <c r="D685" s="72" t="s">
        <v>1198</v>
      </c>
      <c r="E685" s="72"/>
      <c r="F685" s="44"/>
      <c r="G685" s="49">
        <f>SUM(G686)</f>
        <v>3783.9000000000005</v>
      </c>
      <c r="H685" s="49">
        <f>SUM(H686)</f>
        <v>0</v>
      </c>
      <c r="I685" s="24">
        <f t="shared" si="18"/>
        <v>0</v>
      </c>
    </row>
    <row r="686" spans="1:9" ht="15">
      <c r="A686" s="236" t="s">
        <v>1332</v>
      </c>
      <c r="B686" s="21"/>
      <c r="C686" s="72" t="s">
        <v>1331</v>
      </c>
      <c r="D686" s="72" t="s">
        <v>663</v>
      </c>
      <c r="E686" s="22"/>
      <c r="F686" s="23"/>
      <c r="G686" s="49">
        <f>SUM(G687)</f>
        <v>3783.9000000000005</v>
      </c>
      <c r="H686" s="49">
        <f>SUM(H687)</f>
        <v>0</v>
      </c>
      <c r="I686" s="24">
        <f t="shared" si="18"/>
        <v>0</v>
      </c>
    </row>
    <row r="687" spans="1:9" ht="15">
      <c r="A687" s="222" t="s">
        <v>561</v>
      </c>
      <c r="B687" s="21"/>
      <c r="C687" s="72" t="s">
        <v>1331</v>
      </c>
      <c r="D687" s="72" t="s">
        <v>663</v>
      </c>
      <c r="E687" s="22" t="s">
        <v>562</v>
      </c>
      <c r="F687" s="27"/>
      <c r="G687" s="24">
        <f>SUM(G689)</f>
        <v>3783.9000000000005</v>
      </c>
      <c r="H687" s="49">
        <f>SUM(H688)</f>
        <v>0</v>
      </c>
      <c r="I687" s="24">
        <f t="shared" si="18"/>
        <v>0</v>
      </c>
    </row>
    <row r="688" spans="1:9" ht="15">
      <c r="A688" s="222" t="s">
        <v>563</v>
      </c>
      <c r="B688" s="21"/>
      <c r="C688" s="72" t="s">
        <v>1331</v>
      </c>
      <c r="D688" s="72" t="s">
        <v>663</v>
      </c>
      <c r="E688" s="22" t="s">
        <v>564</v>
      </c>
      <c r="F688" s="27"/>
      <c r="G688" s="24">
        <f>SUM(G689)</f>
        <v>3783.9000000000005</v>
      </c>
      <c r="H688" s="49">
        <f>SUM(H689)</f>
        <v>0</v>
      </c>
      <c r="I688" s="24">
        <f t="shared" si="18"/>
        <v>0</v>
      </c>
    </row>
    <row r="689" spans="1:9" ht="19.5" customHeight="1">
      <c r="A689" s="222" t="s">
        <v>565</v>
      </c>
      <c r="B689" s="21"/>
      <c r="C689" s="72" t="s">
        <v>1331</v>
      </c>
      <c r="D689" s="72" t="s">
        <v>663</v>
      </c>
      <c r="E689" s="22" t="s">
        <v>564</v>
      </c>
      <c r="F689" s="27" t="s">
        <v>566</v>
      </c>
      <c r="G689" s="24">
        <f>10168.5-2210.9-4000-0.1-122.1-51.5</f>
        <v>3783.9000000000005</v>
      </c>
      <c r="H689" s="49">
        <f>SUM(H690)</f>
        <v>0</v>
      </c>
      <c r="I689" s="24">
        <f t="shared" si="18"/>
        <v>0</v>
      </c>
    </row>
    <row r="690" spans="1:9" ht="19.5" customHeight="1" hidden="1">
      <c r="A690" s="234" t="s">
        <v>237</v>
      </c>
      <c r="B690" s="148"/>
      <c r="C690" s="146" t="s">
        <v>793</v>
      </c>
      <c r="D690" s="146" t="s">
        <v>549</v>
      </c>
      <c r="E690" s="52" t="s">
        <v>1157</v>
      </c>
      <c r="F690" s="27" t="s">
        <v>238</v>
      </c>
      <c r="G690" s="49"/>
      <c r="H690" s="49"/>
      <c r="I690" s="24" t="e">
        <f t="shared" si="18"/>
        <v>#DIV/0!</v>
      </c>
    </row>
    <row r="691" spans="1:9" ht="30.75" customHeight="1">
      <c r="A691" s="235" t="s">
        <v>297</v>
      </c>
      <c r="B691" s="82" t="s">
        <v>298</v>
      </c>
      <c r="C691" s="41"/>
      <c r="D691" s="80"/>
      <c r="E691" s="80"/>
      <c r="F691" s="81"/>
      <c r="G691" s="141">
        <f>SUM(G692+G709+G714+G720+G725+G730+G769+G784+G807)</f>
        <v>813647.4</v>
      </c>
      <c r="H691" s="141" t="e">
        <f>SUM(H730+H807)+H692+H714</f>
        <v>#REF!</v>
      </c>
      <c r="I691" s="40" t="e">
        <f t="shared" si="18"/>
        <v>#REF!</v>
      </c>
    </row>
    <row r="692" spans="1:9" ht="15">
      <c r="A692" s="222" t="s">
        <v>662</v>
      </c>
      <c r="B692" s="21"/>
      <c r="C692" s="22" t="s">
        <v>663</v>
      </c>
      <c r="D692" s="22"/>
      <c r="E692" s="22"/>
      <c r="F692" s="23"/>
      <c r="G692" s="24">
        <f>SUM(G693)+G697+G701+G705</f>
        <v>250.3</v>
      </c>
      <c r="H692" s="24" t="e">
        <f>SUM(#REF!)</f>
        <v>#REF!</v>
      </c>
      <c r="I692" s="24" t="e">
        <f t="shared" si="18"/>
        <v>#REF!</v>
      </c>
    </row>
    <row r="693" spans="1:9" ht="44.25" customHeight="1">
      <c r="A693" s="222" t="s">
        <v>1012</v>
      </c>
      <c r="B693" s="21"/>
      <c r="C693" s="22" t="s">
        <v>663</v>
      </c>
      <c r="D693" s="22" t="s">
        <v>1013</v>
      </c>
      <c r="E693" s="22"/>
      <c r="F693" s="23"/>
      <c r="G693" s="24">
        <f>SUM(G694)</f>
        <v>2.3</v>
      </c>
      <c r="H693" s="24" t="e">
        <f>SUM(H694)</f>
        <v>#REF!</v>
      </c>
      <c r="I693" s="24" t="e">
        <f aca="true" t="shared" si="19" ref="I693:I706">SUM(H693/G693*100)</f>
        <v>#REF!</v>
      </c>
    </row>
    <row r="694" spans="1:9" ht="42.75" customHeight="1">
      <c r="A694" s="222" t="s">
        <v>1006</v>
      </c>
      <c r="B694" s="21"/>
      <c r="C694" s="22" t="s">
        <v>663</v>
      </c>
      <c r="D694" s="22" t="s">
        <v>1013</v>
      </c>
      <c r="E694" s="22" t="s">
        <v>1007</v>
      </c>
      <c r="F694" s="26"/>
      <c r="G694" s="24">
        <f>SUM(G695)</f>
        <v>2.3</v>
      </c>
      <c r="H694" s="24" t="e">
        <f>SUM(H695+H697)</f>
        <v>#REF!</v>
      </c>
      <c r="I694" s="24" t="e">
        <f t="shared" si="19"/>
        <v>#REF!</v>
      </c>
    </row>
    <row r="695" spans="1:9" ht="15">
      <c r="A695" s="222" t="s">
        <v>1014</v>
      </c>
      <c r="B695" s="21"/>
      <c r="C695" s="22" t="s">
        <v>1015</v>
      </c>
      <c r="D695" s="22" t="s">
        <v>1013</v>
      </c>
      <c r="E695" s="22" t="s">
        <v>1016</v>
      </c>
      <c r="F695" s="26"/>
      <c r="G695" s="24">
        <f>SUM(G696)</f>
        <v>2.3</v>
      </c>
      <c r="H695" s="24">
        <f>SUM(H696)</f>
        <v>8068.7</v>
      </c>
      <c r="I695" s="24">
        <f t="shared" si="19"/>
        <v>350813.0434782609</v>
      </c>
    </row>
    <row r="696" spans="1:9" ht="30.75" customHeight="1">
      <c r="A696" s="222" t="s">
        <v>1010</v>
      </c>
      <c r="B696" s="21"/>
      <c r="C696" s="22" t="s">
        <v>663</v>
      </c>
      <c r="D696" s="22" t="s">
        <v>1013</v>
      </c>
      <c r="E696" s="22" t="s">
        <v>1016</v>
      </c>
      <c r="F696" s="23" t="s">
        <v>1011</v>
      </c>
      <c r="G696" s="24">
        <v>2.3</v>
      </c>
      <c r="H696" s="24">
        <v>8068.7</v>
      </c>
      <c r="I696" s="24">
        <f t="shared" si="19"/>
        <v>350813.0434782609</v>
      </c>
    </row>
    <row r="697" spans="1:9" ht="36" customHeight="1">
      <c r="A697" s="222" t="s">
        <v>273</v>
      </c>
      <c r="B697" s="21"/>
      <c r="C697" s="22" t="s">
        <v>663</v>
      </c>
      <c r="D697" s="22" t="s">
        <v>1037</v>
      </c>
      <c r="E697" s="22"/>
      <c r="F697" s="23"/>
      <c r="G697" s="24">
        <f>SUM(G698)</f>
        <v>218.1</v>
      </c>
      <c r="H697" s="24" t="e">
        <f>SUM(H698)+H715+#REF!</f>
        <v>#REF!</v>
      </c>
      <c r="I697" s="24" t="e">
        <f t="shared" si="19"/>
        <v>#REF!</v>
      </c>
    </row>
    <row r="698" spans="1:9" ht="36" customHeight="1">
      <c r="A698" s="222" t="s">
        <v>1006</v>
      </c>
      <c r="B698" s="21"/>
      <c r="C698" s="22" t="s">
        <v>663</v>
      </c>
      <c r="D698" s="22" t="s">
        <v>1037</v>
      </c>
      <c r="E698" s="22" t="s">
        <v>1007</v>
      </c>
      <c r="F698" s="26"/>
      <c r="G698" s="24">
        <f>SUM(G699)</f>
        <v>218.1</v>
      </c>
      <c r="H698" s="24" t="e">
        <f>SUM(H699+#REF!)</f>
        <v>#REF!</v>
      </c>
      <c r="I698" s="24" t="e">
        <f t="shared" si="19"/>
        <v>#REF!</v>
      </c>
    </row>
    <row r="699" spans="1:9" ht="15">
      <c r="A699" s="222" t="s">
        <v>1014</v>
      </c>
      <c r="B699" s="21"/>
      <c r="C699" s="22" t="s">
        <v>663</v>
      </c>
      <c r="D699" s="22" t="s">
        <v>1037</v>
      </c>
      <c r="E699" s="22" t="s">
        <v>1016</v>
      </c>
      <c r="F699" s="26"/>
      <c r="G699" s="24">
        <f>SUM(G700)</f>
        <v>218.1</v>
      </c>
      <c r="H699" s="24" t="e">
        <f>SUM(H700:H700+H701+H703+#REF!)+H702</f>
        <v>#REF!</v>
      </c>
      <c r="I699" s="24" t="e">
        <f t="shared" si="19"/>
        <v>#REF!</v>
      </c>
    </row>
    <row r="700" spans="1:9" ht="15">
      <c r="A700" s="222" t="s">
        <v>1010</v>
      </c>
      <c r="B700" s="21"/>
      <c r="C700" s="22" t="s">
        <v>663</v>
      </c>
      <c r="D700" s="22" t="s">
        <v>1037</v>
      </c>
      <c r="E700" s="22" t="s">
        <v>1016</v>
      </c>
      <c r="F700" s="23" t="s">
        <v>1011</v>
      </c>
      <c r="G700" s="24">
        <v>218.1</v>
      </c>
      <c r="H700" s="24">
        <v>50612.1</v>
      </c>
      <c r="I700" s="24">
        <f t="shared" si="19"/>
        <v>23205.91471801926</v>
      </c>
    </row>
    <row r="701" spans="1:9" s="29" customFormat="1" ht="28.5">
      <c r="A701" s="222" t="s">
        <v>548</v>
      </c>
      <c r="B701" s="21"/>
      <c r="C701" s="22" t="s">
        <v>663</v>
      </c>
      <c r="D701" s="22" t="s">
        <v>549</v>
      </c>
      <c r="E701" s="22"/>
      <c r="F701" s="23"/>
      <c r="G701" s="24">
        <f>SUM(G702)</f>
        <v>6.9</v>
      </c>
      <c r="H701" s="24" t="e">
        <f>SUM(H702)</f>
        <v>#REF!</v>
      </c>
      <c r="I701" s="24" t="e">
        <f t="shared" si="19"/>
        <v>#REF!</v>
      </c>
    </row>
    <row r="702" spans="1:9" s="29" customFormat="1" ht="36.75" customHeight="1">
      <c r="A702" s="222" t="s">
        <v>1006</v>
      </c>
      <c r="B702" s="21"/>
      <c r="C702" s="22" t="s">
        <v>663</v>
      </c>
      <c r="D702" s="22" t="s">
        <v>549</v>
      </c>
      <c r="E702" s="22" t="s">
        <v>1007</v>
      </c>
      <c r="F702" s="23"/>
      <c r="G702" s="24">
        <f>SUM(G703)</f>
        <v>6.9</v>
      </c>
      <c r="H702" s="24" t="e">
        <f>SUM(H703+#REF!)</f>
        <v>#REF!</v>
      </c>
      <c r="I702" s="24" t="e">
        <f t="shared" si="19"/>
        <v>#REF!</v>
      </c>
    </row>
    <row r="703" spans="1:9" s="29" customFormat="1" ht="15" customHeight="1">
      <c r="A703" s="222" t="s">
        <v>1014</v>
      </c>
      <c r="B703" s="21"/>
      <c r="C703" s="22" t="s">
        <v>663</v>
      </c>
      <c r="D703" s="22" t="s">
        <v>549</v>
      </c>
      <c r="E703" s="22" t="s">
        <v>1016</v>
      </c>
      <c r="F703" s="23"/>
      <c r="G703" s="24">
        <f>SUM(G704)</f>
        <v>6.9</v>
      </c>
      <c r="H703" s="24" t="e">
        <f>SUM(H704+#REF!)</f>
        <v>#REF!</v>
      </c>
      <c r="I703" s="24" t="e">
        <f t="shared" si="19"/>
        <v>#REF!</v>
      </c>
    </row>
    <row r="704" spans="1:9" s="29" customFormat="1" ht="14.25" customHeight="1">
      <c r="A704" s="222" t="s">
        <v>1010</v>
      </c>
      <c r="B704" s="21"/>
      <c r="C704" s="22" t="s">
        <v>1015</v>
      </c>
      <c r="D704" s="22" t="s">
        <v>549</v>
      </c>
      <c r="E704" s="22" t="s">
        <v>1016</v>
      </c>
      <c r="F704" s="27" t="s">
        <v>1011</v>
      </c>
      <c r="G704" s="24">
        <v>6.9</v>
      </c>
      <c r="H704" s="24">
        <v>2278</v>
      </c>
      <c r="I704" s="24">
        <f t="shared" si="19"/>
        <v>33014.492753623184</v>
      </c>
    </row>
    <row r="705" spans="1:9" ht="16.5" customHeight="1">
      <c r="A705" s="222" t="s">
        <v>1019</v>
      </c>
      <c r="B705" s="21"/>
      <c r="C705" s="22" t="s">
        <v>663</v>
      </c>
      <c r="D705" s="22" t="s">
        <v>1331</v>
      </c>
      <c r="E705" s="22"/>
      <c r="F705" s="26"/>
      <c r="G705" s="24">
        <f>SUM(G706)</f>
        <v>23</v>
      </c>
      <c r="H705" s="24" t="e">
        <f>SUM(H706+H719+H742+H745+H748+H812+#REF!+H716)</f>
        <v>#REF!</v>
      </c>
      <c r="I705" s="24" t="e">
        <f t="shared" si="19"/>
        <v>#REF!</v>
      </c>
    </row>
    <row r="706" spans="1:9" ht="31.5" customHeight="1">
      <c r="A706" s="228" t="s">
        <v>1041</v>
      </c>
      <c r="B706" s="21"/>
      <c r="C706" s="22" t="s">
        <v>663</v>
      </c>
      <c r="D706" s="22" t="s">
        <v>1331</v>
      </c>
      <c r="E706" s="35" t="s">
        <v>1055</v>
      </c>
      <c r="F706" s="26"/>
      <c r="G706" s="24">
        <f>SUM(G707)</f>
        <v>23</v>
      </c>
      <c r="H706" s="24" t="e">
        <f>SUM(#REF!)</f>
        <v>#REF!</v>
      </c>
      <c r="I706" s="24" t="e">
        <f t="shared" si="19"/>
        <v>#REF!</v>
      </c>
    </row>
    <row r="707" spans="1:9" ht="31.5" customHeight="1">
      <c r="A707" s="222" t="s">
        <v>894</v>
      </c>
      <c r="B707" s="21"/>
      <c r="C707" s="22" t="s">
        <v>663</v>
      </c>
      <c r="D707" s="22" t="s">
        <v>1331</v>
      </c>
      <c r="E707" s="35" t="s">
        <v>1056</v>
      </c>
      <c r="F707" s="26"/>
      <c r="G707" s="24">
        <f>SUM(G708)</f>
        <v>23</v>
      </c>
      <c r="H707" s="24"/>
      <c r="I707" s="24"/>
    </row>
    <row r="708" spans="1:9" ht="25.5" customHeight="1">
      <c r="A708" s="228" t="s">
        <v>895</v>
      </c>
      <c r="B708" s="21"/>
      <c r="C708" s="22" t="s">
        <v>663</v>
      </c>
      <c r="D708" s="22" t="s">
        <v>1331</v>
      </c>
      <c r="E708" s="35" t="s">
        <v>1056</v>
      </c>
      <c r="F708" s="26" t="s">
        <v>238</v>
      </c>
      <c r="G708" s="24">
        <v>23</v>
      </c>
      <c r="H708" s="24"/>
      <c r="I708" s="24"/>
    </row>
    <row r="709" spans="1:9" ht="21" customHeight="1">
      <c r="A709" s="222" t="s">
        <v>1061</v>
      </c>
      <c r="B709" s="21"/>
      <c r="C709" s="35" t="s">
        <v>1013</v>
      </c>
      <c r="D709" s="35"/>
      <c r="E709" s="35"/>
      <c r="F709" s="26"/>
      <c r="G709" s="24">
        <f>SUM(G710)</f>
        <v>78.2</v>
      </c>
      <c r="H709" s="24" t="e">
        <f>SUM(#REF!)+H711+H753</f>
        <v>#REF!</v>
      </c>
      <c r="I709" s="24" t="e">
        <f>SUM(H709/G709*100)</f>
        <v>#REF!</v>
      </c>
    </row>
    <row r="710" spans="1:9" ht="36" customHeight="1">
      <c r="A710" s="224" t="s">
        <v>388</v>
      </c>
      <c r="B710" s="21"/>
      <c r="C710" s="35" t="s">
        <v>1013</v>
      </c>
      <c r="D710" s="35" t="s">
        <v>389</v>
      </c>
      <c r="E710" s="35"/>
      <c r="F710" s="26"/>
      <c r="G710" s="24">
        <f>SUM(G711)</f>
        <v>78.2</v>
      </c>
      <c r="H710" s="24" t="e">
        <f>SUM(#REF!+H717+H730+H743)+H712</f>
        <v>#REF!</v>
      </c>
      <c r="I710" s="24" t="e">
        <f>SUM(H710/G710*100)</f>
        <v>#REF!</v>
      </c>
    </row>
    <row r="711" spans="1:9" ht="28.5">
      <c r="A711" s="222" t="s">
        <v>896</v>
      </c>
      <c r="B711" s="21"/>
      <c r="C711" s="35" t="s">
        <v>1013</v>
      </c>
      <c r="D711" s="35" t="s">
        <v>389</v>
      </c>
      <c r="E711" s="35" t="s">
        <v>783</v>
      </c>
      <c r="F711" s="26"/>
      <c r="G711" s="24">
        <f>SUM(G712)</f>
        <v>78.2</v>
      </c>
      <c r="H711" s="24">
        <f>SUM(H712)</f>
        <v>5387.8</v>
      </c>
      <c r="I711" s="24">
        <f>SUM(H711/G711*100)</f>
        <v>6889.769820971867</v>
      </c>
    </row>
    <row r="712" spans="1:9" ht="28.5">
      <c r="A712" s="222" t="s">
        <v>894</v>
      </c>
      <c r="B712" s="21"/>
      <c r="C712" s="35" t="s">
        <v>1013</v>
      </c>
      <c r="D712" s="35" t="s">
        <v>389</v>
      </c>
      <c r="E712" s="35" t="s">
        <v>784</v>
      </c>
      <c r="F712" s="26"/>
      <c r="G712" s="24">
        <f>SUM(G713)</f>
        <v>78.2</v>
      </c>
      <c r="H712" s="24">
        <f>SUM(H713)</f>
        <v>5387.8</v>
      </c>
      <c r="I712" s="24">
        <f>SUM(H712/G712*100)</f>
        <v>6889.769820971867</v>
      </c>
    </row>
    <row r="713" spans="1:9" ht="18" customHeight="1">
      <c r="A713" s="234" t="s">
        <v>895</v>
      </c>
      <c r="B713" s="51"/>
      <c r="C713" s="52" t="s">
        <v>1013</v>
      </c>
      <c r="D713" s="52" t="s">
        <v>389</v>
      </c>
      <c r="E713" s="52" t="s">
        <v>784</v>
      </c>
      <c r="F713" s="27" t="s">
        <v>238</v>
      </c>
      <c r="G713" s="24">
        <v>78.2</v>
      </c>
      <c r="H713" s="24">
        <v>5387.8</v>
      </c>
      <c r="I713" s="24">
        <f>SUM(H713/G713*100)</f>
        <v>6889.769820971867</v>
      </c>
    </row>
    <row r="714" spans="1:9" ht="18.75" customHeight="1">
      <c r="A714" s="236" t="s">
        <v>1036</v>
      </c>
      <c r="B714" s="30"/>
      <c r="C714" s="72" t="s">
        <v>1037</v>
      </c>
      <c r="D714" s="72"/>
      <c r="E714" s="72"/>
      <c r="F714" s="44"/>
      <c r="G714" s="49">
        <f>SUM(G715)</f>
        <v>6057.4</v>
      </c>
      <c r="H714" s="49">
        <f>SUM(H715)</f>
        <v>2581.7</v>
      </c>
      <c r="I714" s="24">
        <f t="shared" si="18"/>
        <v>42.620596295440286</v>
      </c>
    </row>
    <row r="715" spans="1:9" ht="18" customHeight="1">
      <c r="A715" s="222" t="s">
        <v>1038</v>
      </c>
      <c r="B715" s="21"/>
      <c r="C715" s="22" t="s">
        <v>1037</v>
      </c>
      <c r="D715" s="22" t="s">
        <v>1039</v>
      </c>
      <c r="E715" s="22"/>
      <c r="F715" s="23"/>
      <c r="G715" s="24">
        <f>SUM(G716)</f>
        <v>6057.4</v>
      </c>
      <c r="H715" s="24">
        <f>SUM(H716)</f>
        <v>2581.7</v>
      </c>
      <c r="I715" s="24">
        <f t="shared" si="18"/>
        <v>42.620596295440286</v>
      </c>
    </row>
    <row r="716" spans="1:9" ht="28.5" customHeight="1">
      <c r="A716" s="222" t="s">
        <v>794</v>
      </c>
      <c r="B716" s="21"/>
      <c r="C716" s="22" t="s">
        <v>1037</v>
      </c>
      <c r="D716" s="22" t="s">
        <v>1039</v>
      </c>
      <c r="E716" s="35" t="s">
        <v>795</v>
      </c>
      <c r="F716" s="26"/>
      <c r="G716" s="24">
        <f>SUM(G717+G718)</f>
        <v>6057.4</v>
      </c>
      <c r="H716" s="24">
        <f>SUM(H717+H718)</f>
        <v>2581.7</v>
      </c>
      <c r="I716" s="24">
        <f t="shared" si="18"/>
        <v>42.620596295440286</v>
      </c>
    </row>
    <row r="717" spans="1:9" ht="17.25" customHeight="1">
      <c r="A717" s="222" t="s">
        <v>796</v>
      </c>
      <c r="B717" s="21"/>
      <c r="C717" s="22" t="s">
        <v>1037</v>
      </c>
      <c r="D717" s="22" t="s">
        <v>1039</v>
      </c>
      <c r="E717" s="35" t="s">
        <v>795</v>
      </c>
      <c r="F717" s="23" t="s">
        <v>797</v>
      </c>
      <c r="G717" s="24">
        <v>3190.8</v>
      </c>
      <c r="H717" s="24">
        <v>1711.3</v>
      </c>
      <c r="I717" s="24">
        <f t="shared" si="18"/>
        <v>53.632317914002755</v>
      </c>
    </row>
    <row r="718" spans="1:9" ht="64.5" customHeight="1">
      <c r="A718" s="259" t="s">
        <v>608</v>
      </c>
      <c r="B718" s="21"/>
      <c r="C718" s="22" t="s">
        <v>1037</v>
      </c>
      <c r="D718" s="22" t="s">
        <v>1039</v>
      </c>
      <c r="E718" s="35" t="s">
        <v>609</v>
      </c>
      <c r="F718" s="26"/>
      <c r="G718" s="24">
        <f>SUM(G719)</f>
        <v>2866.6</v>
      </c>
      <c r="H718" s="24">
        <f>SUM(H719)</f>
        <v>870.4</v>
      </c>
      <c r="I718" s="24">
        <f t="shared" si="18"/>
        <v>30.363496825507568</v>
      </c>
    </row>
    <row r="719" spans="1:9" ht="19.5" customHeight="1">
      <c r="A719" s="222" t="s">
        <v>796</v>
      </c>
      <c r="B719" s="21"/>
      <c r="C719" s="22" t="s">
        <v>1037</v>
      </c>
      <c r="D719" s="22" t="s">
        <v>1039</v>
      </c>
      <c r="E719" s="35" t="s">
        <v>609</v>
      </c>
      <c r="F719" s="26" t="s">
        <v>797</v>
      </c>
      <c r="G719" s="24">
        <v>2866.6</v>
      </c>
      <c r="H719" s="24">
        <v>870.4</v>
      </c>
      <c r="I719" s="24">
        <f t="shared" si="18"/>
        <v>30.363496825507568</v>
      </c>
    </row>
    <row r="720" spans="1:9" s="53" customFormat="1" ht="18" customHeight="1">
      <c r="A720" s="228" t="s">
        <v>619</v>
      </c>
      <c r="B720" s="34"/>
      <c r="C720" s="35" t="s">
        <v>1050</v>
      </c>
      <c r="D720" s="35"/>
      <c r="E720" s="35"/>
      <c r="F720" s="27"/>
      <c r="G720" s="24">
        <f>SUM(G721)</f>
        <v>6.9</v>
      </c>
      <c r="H720" s="144" t="e">
        <f>SUM(H721+H837+H869+H900)</f>
        <v>#REF!</v>
      </c>
      <c r="I720" s="24" t="e">
        <f t="shared" si="18"/>
        <v>#REF!</v>
      </c>
    </row>
    <row r="721" spans="1:9" ht="15">
      <c r="A721" s="229" t="s">
        <v>913</v>
      </c>
      <c r="B721" s="21"/>
      <c r="C721" s="35" t="s">
        <v>1050</v>
      </c>
      <c r="D721" s="35" t="s">
        <v>1050</v>
      </c>
      <c r="E721" s="35"/>
      <c r="F721" s="27"/>
      <c r="G721" s="24">
        <f>SUM(G722)</f>
        <v>6.9</v>
      </c>
      <c r="H721" s="24" t="e">
        <f>SUM(H722+#REF!+H765+H743)+H754</f>
        <v>#REF!</v>
      </c>
      <c r="I721" s="24" t="e">
        <f t="shared" si="18"/>
        <v>#REF!</v>
      </c>
    </row>
    <row r="722" spans="1:9" s="36" customFormat="1" ht="41.25" customHeight="1">
      <c r="A722" s="222" t="s">
        <v>1006</v>
      </c>
      <c r="B722" s="34"/>
      <c r="C722" s="35" t="s">
        <v>1050</v>
      </c>
      <c r="D722" s="35" t="s">
        <v>1050</v>
      </c>
      <c r="E722" s="22" t="s">
        <v>1007</v>
      </c>
      <c r="F722" s="26"/>
      <c r="G722" s="24">
        <f>SUM(G723)</f>
        <v>6.9</v>
      </c>
      <c r="H722" s="24">
        <f>SUM(H723+H730)</f>
        <v>25782.3</v>
      </c>
      <c r="I722" s="24">
        <f t="shared" si="18"/>
        <v>373656.5217391304</v>
      </c>
    </row>
    <row r="723" spans="1:9" s="36" customFormat="1" ht="21" customHeight="1">
      <c r="A723" s="222" t="s">
        <v>1014</v>
      </c>
      <c r="B723" s="34"/>
      <c r="C723" s="35" t="s">
        <v>1050</v>
      </c>
      <c r="D723" s="35" t="s">
        <v>1050</v>
      </c>
      <c r="E723" s="22" t="s">
        <v>1016</v>
      </c>
      <c r="F723" s="26"/>
      <c r="G723" s="24">
        <f>SUM(G724)</f>
        <v>6.9</v>
      </c>
      <c r="H723" s="24">
        <f>SUM(H724)</f>
        <v>0</v>
      </c>
      <c r="I723" s="24">
        <f t="shared" si="18"/>
        <v>0</v>
      </c>
    </row>
    <row r="724" spans="1:9" s="36" customFormat="1" ht="30" customHeight="1">
      <c r="A724" s="222" t="s">
        <v>1010</v>
      </c>
      <c r="B724" s="34"/>
      <c r="C724" s="35" t="s">
        <v>1050</v>
      </c>
      <c r="D724" s="35" t="s">
        <v>1050</v>
      </c>
      <c r="E724" s="22" t="s">
        <v>1016</v>
      </c>
      <c r="F724" s="26" t="s">
        <v>1011</v>
      </c>
      <c r="G724" s="24">
        <v>6.9</v>
      </c>
      <c r="H724" s="24"/>
      <c r="I724" s="24">
        <f t="shared" si="18"/>
        <v>0</v>
      </c>
    </row>
    <row r="725" spans="1:9" ht="26.25" customHeight="1">
      <c r="A725" s="222" t="s">
        <v>932</v>
      </c>
      <c r="B725" s="21"/>
      <c r="C725" s="22" t="s">
        <v>549</v>
      </c>
      <c r="D725" s="22"/>
      <c r="E725" s="22"/>
      <c r="F725" s="23"/>
      <c r="G725" s="24">
        <f>SUM(G728)</f>
        <v>27.6</v>
      </c>
      <c r="H725" s="24">
        <f>SUM(H726)+H730</f>
        <v>27982</v>
      </c>
      <c r="I725" s="24">
        <f t="shared" si="18"/>
        <v>101384.05797101448</v>
      </c>
    </row>
    <row r="726" spans="1:9" ht="31.5" customHeight="1">
      <c r="A726" s="222" t="s">
        <v>933</v>
      </c>
      <c r="B726" s="21"/>
      <c r="C726" s="22" t="s">
        <v>549</v>
      </c>
      <c r="D726" s="22" t="s">
        <v>1013</v>
      </c>
      <c r="E726" s="22"/>
      <c r="F726" s="23"/>
      <c r="G726" s="24">
        <f>SUM(G729)</f>
        <v>27.6</v>
      </c>
      <c r="H726" s="24">
        <f>SUM(H729)</f>
        <v>2199.7</v>
      </c>
      <c r="I726" s="24">
        <f t="shared" si="18"/>
        <v>7969.927536231883</v>
      </c>
    </row>
    <row r="727" spans="1:9" ht="15.75" customHeight="1">
      <c r="A727" s="222" t="s">
        <v>934</v>
      </c>
      <c r="B727" s="21"/>
      <c r="C727" s="22" t="s">
        <v>549</v>
      </c>
      <c r="D727" s="22" t="s">
        <v>1013</v>
      </c>
      <c r="E727" s="22" t="s">
        <v>935</v>
      </c>
      <c r="F727" s="23"/>
      <c r="G727" s="24">
        <f>SUM(G728)</f>
        <v>27.6</v>
      </c>
      <c r="H727" s="24">
        <f>SUM(H728)</f>
        <v>2199.7</v>
      </c>
      <c r="I727" s="24">
        <f t="shared" si="18"/>
        <v>7969.927536231883</v>
      </c>
    </row>
    <row r="728" spans="1:9" ht="28.5">
      <c r="A728" s="222" t="s">
        <v>894</v>
      </c>
      <c r="B728" s="71"/>
      <c r="C728" s="52" t="s">
        <v>549</v>
      </c>
      <c r="D728" s="52" t="s">
        <v>1013</v>
      </c>
      <c r="E728" s="52" t="s">
        <v>936</v>
      </c>
      <c r="F728" s="27"/>
      <c r="G728" s="24">
        <f>SUM(G729)</f>
        <v>27.6</v>
      </c>
      <c r="H728" s="24">
        <f>SUM(H729)</f>
        <v>2199.7</v>
      </c>
      <c r="I728" s="24">
        <f t="shared" si="18"/>
        <v>7969.927536231883</v>
      </c>
    </row>
    <row r="729" spans="1:9" ht="21.75" customHeight="1">
      <c r="A729" s="234" t="s">
        <v>895</v>
      </c>
      <c r="B729" s="21"/>
      <c r="C729" s="22" t="s">
        <v>549</v>
      </c>
      <c r="D729" s="22" t="s">
        <v>1013</v>
      </c>
      <c r="E729" s="52" t="s">
        <v>936</v>
      </c>
      <c r="F729" s="27" t="s">
        <v>238</v>
      </c>
      <c r="G729" s="24">
        <v>27.6</v>
      </c>
      <c r="H729" s="24">
        <v>2199.7</v>
      </c>
      <c r="I729" s="24">
        <f t="shared" si="18"/>
        <v>7969.927536231883</v>
      </c>
    </row>
    <row r="730" spans="1:9" ht="15">
      <c r="A730" s="236" t="s">
        <v>1025</v>
      </c>
      <c r="B730" s="21"/>
      <c r="C730" s="72" t="s">
        <v>1026</v>
      </c>
      <c r="D730" s="72"/>
      <c r="E730" s="72"/>
      <c r="F730" s="44"/>
      <c r="G730" s="49">
        <f>SUM(G731+G735+G752)+G759</f>
        <v>63217.200000000004</v>
      </c>
      <c r="H730" s="49">
        <f>SUM(H735)+H752+H766</f>
        <v>25782.3</v>
      </c>
      <c r="I730" s="24">
        <f t="shared" si="18"/>
        <v>40.78367912530133</v>
      </c>
    </row>
    <row r="731" spans="1:9" ht="20.25" customHeight="1">
      <c r="A731" s="222" t="s">
        <v>461</v>
      </c>
      <c r="B731" s="82"/>
      <c r="C731" s="35" t="s">
        <v>1026</v>
      </c>
      <c r="D731" s="35" t="s">
        <v>663</v>
      </c>
      <c r="E731" s="35"/>
      <c r="F731" s="26"/>
      <c r="G731" s="24">
        <f>SUM(G732)</f>
        <v>5427.9</v>
      </c>
      <c r="H731" s="24">
        <f>SUM(H742+H810)</f>
        <v>26866</v>
      </c>
      <c r="I731" s="24">
        <f t="shared" si="18"/>
        <v>494.96121888759933</v>
      </c>
    </row>
    <row r="732" spans="1:9" ht="21" customHeight="1">
      <c r="A732" s="222" t="s">
        <v>462</v>
      </c>
      <c r="B732" s="82"/>
      <c r="C732" s="35" t="s">
        <v>1026</v>
      </c>
      <c r="D732" s="35" t="s">
        <v>663</v>
      </c>
      <c r="E732" s="35" t="s">
        <v>463</v>
      </c>
      <c r="F732" s="26"/>
      <c r="G732" s="24">
        <f>SUM(G733)</f>
        <v>5427.9</v>
      </c>
      <c r="H732" s="24">
        <f>SUM(H733)</f>
        <v>213206.5</v>
      </c>
      <c r="I732" s="24">
        <f>SUM(H732/G732*100)</f>
        <v>3927.9739862561955</v>
      </c>
    </row>
    <row r="733" spans="1:9" ht="28.5">
      <c r="A733" s="222" t="s">
        <v>894</v>
      </c>
      <c r="B733" s="82"/>
      <c r="C733" s="35" t="s">
        <v>1026</v>
      </c>
      <c r="D733" s="35" t="s">
        <v>663</v>
      </c>
      <c r="E733" s="35" t="s">
        <v>464</v>
      </c>
      <c r="F733" s="26"/>
      <c r="G733" s="24">
        <f>SUM(G734)</f>
        <v>5427.9</v>
      </c>
      <c r="H733" s="24">
        <f>SUM(H734+H746+H755+H764)+H743</f>
        <v>213206.5</v>
      </c>
      <c r="I733" s="24">
        <f>SUM(H733/G733*100)</f>
        <v>3927.9739862561955</v>
      </c>
    </row>
    <row r="734" spans="1:9" ht="18.75" customHeight="1">
      <c r="A734" s="234" t="s">
        <v>895</v>
      </c>
      <c r="B734" s="51"/>
      <c r="C734" s="52" t="s">
        <v>1026</v>
      </c>
      <c r="D734" s="52" t="s">
        <v>663</v>
      </c>
      <c r="E734" s="52" t="s">
        <v>464</v>
      </c>
      <c r="F734" s="27" t="s">
        <v>238</v>
      </c>
      <c r="G734" s="24">
        <v>5427.9</v>
      </c>
      <c r="H734" s="24">
        <v>187516.5</v>
      </c>
      <c r="I734" s="24">
        <f>SUM(H734/G734*100)</f>
        <v>3454.6786049853536</v>
      </c>
    </row>
    <row r="735" spans="1:9" ht="15">
      <c r="A735" s="222" t="s">
        <v>478</v>
      </c>
      <c r="B735" s="21"/>
      <c r="C735" s="35" t="s">
        <v>1026</v>
      </c>
      <c r="D735" s="35" t="s">
        <v>665</v>
      </c>
      <c r="E735" s="72"/>
      <c r="F735" s="44"/>
      <c r="G735" s="24">
        <f>SUM(G736+G739+G742+G749)</f>
        <v>57349.600000000006</v>
      </c>
      <c r="H735" s="24">
        <f>SUM(H742)</f>
        <v>25662.5</v>
      </c>
      <c r="I735" s="24">
        <f t="shared" si="18"/>
        <v>44.74747862234435</v>
      </c>
    </row>
    <row r="736" spans="1:9" ht="26.25" customHeight="1">
      <c r="A736" s="222" t="s">
        <v>479</v>
      </c>
      <c r="B736" s="82"/>
      <c r="C736" s="35" t="s">
        <v>1026</v>
      </c>
      <c r="D736" s="35" t="s">
        <v>665</v>
      </c>
      <c r="E736" s="35" t="s">
        <v>480</v>
      </c>
      <c r="F736" s="26"/>
      <c r="G736" s="24">
        <f>SUM(G737)</f>
        <v>4294.5</v>
      </c>
      <c r="H736" s="24">
        <f>SUM(H752)</f>
        <v>0</v>
      </c>
      <c r="I736" s="24">
        <f t="shared" si="18"/>
        <v>0</v>
      </c>
    </row>
    <row r="737" spans="1:9" ht="37.5" customHeight="1">
      <c r="A737" s="222" t="s">
        <v>894</v>
      </c>
      <c r="B737" s="82"/>
      <c r="C737" s="35" t="s">
        <v>1026</v>
      </c>
      <c r="D737" s="35" t="s">
        <v>665</v>
      </c>
      <c r="E737" s="35" t="s">
        <v>481</v>
      </c>
      <c r="F737" s="26"/>
      <c r="G737" s="24">
        <f>SUM(G738)</f>
        <v>4294.5</v>
      </c>
      <c r="H737" s="24">
        <f>SUM(H738+H748+H753+H767)+H755+H742+H746+H765</f>
        <v>104563.7</v>
      </c>
      <c r="I737" s="24">
        <f>SUM(H737/G737*100)</f>
        <v>2434.8282687157994</v>
      </c>
    </row>
    <row r="738" spans="1:9" ht="19.5" customHeight="1">
      <c r="A738" s="234" t="s">
        <v>895</v>
      </c>
      <c r="B738" s="51"/>
      <c r="C738" s="35" t="s">
        <v>1026</v>
      </c>
      <c r="D738" s="35" t="s">
        <v>665</v>
      </c>
      <c r="E738" s="35" t="s">
        <v>481</v>
      </c>
      <c r="F738" s="27" t="s">
        <v>238</v>
      </c>
      <c r="G738" s="24">
        <v>4294.5</v>
      </c>
      <c r="H738" s="24">
        <v>53118.9</v>
      </c>
      <c r="I738" s="24">
        <f>SUM(H738/G738*100)</f>
        <v>1236.9053440447085</v>
      </c>
    </row>
    <row r="739" spans="1:9" ht="18" customHeight="1">
      <c r="A739" s="222" t="s">
        <v>432</v>
      </c>
      <c r="B739" s="21"/>
      <c r="C739" s="35" t="s">
        <v>1026</v>
      </c>
      <c r="D739" s="35" t="s">
        <v>665</v>
      </c>
      <c r="E739" s="35" t="s">
        <v>433</v>
      </c>
      <c r="F739" s="26"/>
      <c r="G739" s="24">
        <f>SUM(G740)</f>
        <v>1351.8</v>
      </c>
      <c r="H739" s="24">
        <f>SUM(H740)</f>
        <v>54469.700000000004</v>
      </c>
      <c r="I739" s="24">
        <f>SUM(H739/G739*100)</f>
        <v>4029.4200325491943</v>
      </c>
    </row>
    <row r="740" spans="1:9" ht="37.5" customHeight="1">
      <c r="A740" s="222" t="s">
        <v>894</v>
      </c>
      <c r="B740" s="82"/>
      <c r="C740" s="35" t="s">
        <v>1026</v>
      </c>
      <c r="D740" s="35" t="s">
        <v>665</v>
      </c>
      <c r="E740" s="35" t="s">
        <v>434</v>
      </c>
      <c r="F740" s="26"/>
      <c r="G740" s="24">
        <f>SUM(G741)</f>
        <v>1351.8</v>
      </c>
      <c r="H740" s="24">
        <f>SUM(H741+H754+H763+H808)+H765+H745+H752+H768</f>
        <v>54469.700000000004</v>
      </c>
      <c r="I740" s="24">
        <f>SUM(H740/G740*100)</f>
        <v>4029.4200325491943</v>
      </c>
    </row>
    <row r="741" spans="1:9" ht="19.5" customHeight="1">
      <c r="A741" s="234" t="s">
        <v>895</v>
      </c>
      <c r="B741" s="51"/>
      <c r="C741" s="35" t="s">
        <v>1026</v>
      </c>
      <c r="D741" s="35" t="s">
        <v>665</v>
      </c>
      <c r="E741" s="35" t="s">
        <v>434</v>
      </c>
      <c r="F741" s="27" t="s">
        <v>238</v>
      </c>
      <c r="G741" s="24">
        <v>1351.8</v>
      </c>
      <c r="H741" s="24">
        <v>53118.9</v>
      </c>
      <c r="I741" s="24">
        <f>SUM(H741/G741*100)</f>
        <v>3929.4940079893477</v>
      </c>
    </row>
    <row r="742" spans="1:9" ht="15">
      <c r="A742" s="222" t="s">
        <v>439</v>
      </c>
      <c r="B742" s="21"/>
      <c r="C742" s="35" t="s">
        <v>1026</v>
      </c>
      <c r="D742" s="35" t="s">
        <v>665</v>
      </c>
      <c r="E742" s="35" t="s">
        <v>440</v>
      </c>
      <c r="F742" s="44"/>
      <c r="G742" s="24">
        <f>SUM(G743)</f>
        <v>51452.700000000004</v>
      </c>
      <c r="H742" s="24">
        <f>SUM(H743)</f>
        <v>25662.5</v>
      </c>
      <c r="I742" s="24">
        <f t="shared" si="18"/>
        <v>49.87590544325176</v>
      </c>
    </row>
    <row r="743" spans="1:9" ht="28.5">
      <c r="A743" s="222" t="s">
        <v>894</v>
      </c>
      <c r="B743" s="21"/>
      <c r="C743" s="35" t="s">
        <v>1026</v>
      </c>
      <c r="D743" s="35" t="s">
        <v>665</v>
      </c>
      <c r="E743" s="35" t="s">
        <v>441</v>
      </c>
      <c r="F743" s="44"/>
      <c r="G743" s="24">
        <f>SUM(G747+G745+G744)</f>
        <v>51452.700000000004</v>
      </c>
      <c r="H743" s="24">
        <f>SUM(H747+H745+H744)</f>
        <v>25662.5</v>
      </c>
      <c r="I743" s="24">
        <f t="shared" si="18"/>
        <v>49.87590544325176</v>
      </c>
    </row>
    <row r="744" spans="1:9" ht="21.75" customHeight="1">
      <c r="A744" s="234" t="s">
        <v>895</v>
      </c>
      <c r="B744" s="21"/>
      <c r="C744" s="35" t="s">
        <v>1026</v>
      </c>
      <c r="D744" s="35" t="s">
        <v>665</v>
      </c>
      <c r="E744" s="22" t="s">
        <v>441</v>
      </c>
      <c r="F744" s="26" t="s">
        <v>238</v>
      </c>
      <c r="G744" s="24">
        <v>349.4</v>
      </c>
      <c r="H744" s="24"/>
      <c r="I744" s="24">
        <f t="shared" si="18"/>
        <v>0</v>
      </c>
    </row>
    <row r="745" spans="1:9" ht="42.75">
      <c r="A745" s="234" t="s">
        <v>906</v>
      </c>
      <c r="B745" s="51"/>
      <c r="C745" s="35" t="s">
        <v>1026</v>
      </c>
      <c r="D745" s="35" t="s">
        <v>665</v>
      </c>
      <c r="E745" s="35" t="s">
        <v>443</v>
      </c>
      <c r="F745" s="27"/>
      <c r="G745" s="24">
        <f>SUM(G746)</f>
        <v>38.5</v>
      </c>
      <c r="H745" s="24">
        <f>SUM(H746)</f>
        <v>27.5</v>
      </c>
      <c r="I745" s="24">
        <f t="shared" si="18"/>
        <v>71.42857142857143</v>
      </c>
    </row>
    <row r="746" spans="1:9" ht="15.75">
      <c r="A746" s="234" t="s">
        <v>895</v>
      </c>
      <c r="B746" s="51"/>
      <c r="C746" s="35" t="s">
        <v>1026</v>
      </c>
      <c r="D746" s="35" t="s">
        <v>665</v>
      </c>
      <c r="E746" s="35" t="s">
        <v>443</v>
      </c>
      <c r="F746" s="27" t="s">
        <v>238</v>
      </c>
      <c r="G746" s="24">
        <v>38.5</v>
      </c>
      <c r="H746" s="24">
        <v>27.5</v>
      </c>
      <c r="I746" s="24">
        <f t="shared" si="18"/>
        <v>71.42857142857143</v>
      </c>
    </row>
    <row r="747" spans="1:9" ht="28.5">
      <c r="A747" s="222" t="s">
        <v>447</v>
      </c>
      <c r="B747" s="21"/>
      <c r="C747" s="35" t="s">
        <v>1026</v>
      </c>
      <c r="D747" s="35" t="s">
        <v>665</v>
      </c>
      <c r="E747" s="35" t="s">
        <v>448</v>
      </c>
      <c r="F747" s="44"/>
      <c r="G747" s="24">
        <f>SUM(G748)</f>
        <v>51064.8</v>
      </c>
      <c r="H747" s="24">
        <f>SUM(H748)</f>
        <v>25635</v>
      </c>
      <c r="I747" s="24">
        <f t="shared" si="18"/>
        <v>50.200921182497524</v>
      </c>
    </row>
    <row r="748" spans="1:9" ht="15">
      <c r="A748" s="234" t="s">
        <v>895</v>
      </c>
      <c r="B748" s="21"/>
      <c r="C748" s="35" t="s">
        <v>1026</v>
      </c>
      <c r="D748" s="35" t="s">
        <v>665</v>
      </c>
      <c r="E748" s="35" t="s">
        <v>448</v>
      </c>
      <c r="F748" s="44" t="s">
        <v>238</v>
      </c>
      <c r="G748" s="24">
        <v>51064.8</v>
      </c>
      <c r="H748" s="24">
        <v>25635</v>
      </c>
      <c r="I748" s="24">
        <f t="shared" si="18"/>
        <v>50.200921182497524</v>
      </c>
    </row>
    <row r="749" spans="1:9" ht="19.5" customHeight="1">
      <c r="A749" s="222" t="s">
        <v>449</v>
      </c>
      <c r="B749" s="35"/>
      <c r="C749" s="35" t="s">
        <v>1026</v>
      </c>
      <c r="D749" s="35" t="s">
        <v>665</v>
      </c>
      <c r="E749" s="35" t="s">
        <v>450</v>
      </c>
      <c r="F749" s="26"/>
      <c r="G749" s="24">
        <f>SUM(G750)</f>
        <v>250.6</v>
      </c>
      <c r="H749" s="24" t="e">
        <f>SUM(H750)</f>
        <v>#REF!</v>
      </c>
      <c r="I749" s="24" t="e">
        <f t="shared" si="18"/>
        <v>#REF!</v>
      </c>
    </row>
    <row r="750" spans="1:9" ht="34.5" customHeight="1">
      <c r="A750" s="222" t="s">
        <v>894</v>
      </c>
      <c r="B750" s="82"/>
      <c r="C750" s="35" t="s">
        <v>1026</v>
      </c>
      <c r="D750" s="35" t="s">
        <v>665</v>
      </c>
      <c r="E750" s="35" t="s">
        <v>451</v>
      </c>
      <c r="F750" s="26"/>
      <c r="G750" s="24">
        <f>SUM(G751)</f>
        <v>250.6</v>
      </c>
      <c r="H750" s="24" t="e">
        <f>SUM(#REF!+H753+H755)</f>
        <v>#REF!</v>
      </c>
      <c r="I750" s="24" t="e">
        <f t="shared" si="18"/>
        <v>#REF!</v>
      </c>
    </row>
    <row r="751" spans="1:9" ht="15">
      <c r="A751" s="234" t="s">
        <v>895</v>
      </c>
      <c r="B751" s="21"/>
      <c r="C751" s="35" t="s">
        <v>1026</v>
      </c>
      <c r="D751" s="35" t="s">
        <v>665</v>
      </c>
      <c r="E751" s="35" t="s">
        <v>451</v>
      </c>
      <c r="F751" s="44" t="s">
        <v>238</v>
      </c>
      <c r="G751" s="24">
        <v>250.6</v>
      </c>
      <c r="H751" s="24">
        <v>25635</v>
      </c>
      <c r="I751" s="24">
        <f>SUM(H751/G751*100)</f>
        <v>10229.449321628093</v>
      </c>
    </row>
    <row r="752" spans="1:9" ht="15">
      <c r="A752" s="222" t="s">
        <v>1027</v>
      </c>
      <c r="B752" s="28"/>
      <c r="C752" s="22" t="s">
        <v>1026</v>
      </c>
      <c r="D752" s="22" t="s">
        <v>1026</v>
      </c>
      <c r="E752" s="35"/>
      <c r="F752" s="44"/>
      <c r="G752" s="24">
        <f>SUM(G763+G753+G756)</f>
        <v>138.5</v>
      </c>
      <c r="H752" s="24">
        <f>SUM(H763+H753)</f>
        <v>0</v>
      </c>
      <c r="I752" s="24">
        <f t="shared" si="18"/>
        <v>0</v>
      </c>
    </row>
    <row r="753" spans="1:9" ht="15">
      <c r="A753" s="228" t="s">
        <v>1303</v>
      </c>
      <c r="B753" s="34"/>
      <c r="C753" s="35" t="s">
        <v>1026</v>
      </c>
      <c r="D753" s="35" t="s">
        <v>1026</v>
      </c>
      <c r="E753" s="35" t="s">
        <v>1304</v>
      </c>
      <c r="F753" s="26"/>
      <c r="G753" s="24">
        <f>SUM(G754)</f>
        <v>16.1</v>
      </c>
      <c r="H753" s="24">
        <f>SUM(H754)</f>
        <v>0</v>
      </c>
      <c r="I753" s="24">
        <f t="shared" si="18"/>
        <v>0</v>
      </c>
    </row>
    <row r="754" spans="1:9" ht="28.5">
      <c r="A754" s="222" t="s">
        <v>894</v>
      </c>
      <c r="B754" s="35"/>
      <c r="C754" s="35" t="s">
        <v>1026</v>
      </c>
      <c r="D754" s="35" t="s">
        <v>1026</v>
      </c>
      <c r="E754" s="35" t="s">
        <v>1310</v>
      </c>
      <c r="F754" s="26"/>
      <c r="G754" s="24">
        <f>SUM(G755)</f>
        <v>16.1</v>
      </c>
      <c r="H754" s="24">
        <f>SUM(H755)</f>
        <v>0</v>
      </c>
      <c r="I754" s="24">
        <f t="shared" si="18"/>
        <v>0</v>
      </c>
    </row>
    <row r="755" spans="1:9" ht="15">
      <c r="A755" s="234" t="s">
        <v>895</v>
      </c>
      <c r="B755" s="34"/>
      <c r="C755" s="35" t="s">
        <v>1026</v>
      </c>
      <c r="D755" s="35" t="s">
        <v>1026</v>
      </c>
      <c r="E755" s="35" t="s">
        <v>1310</v>
      </c>
      <c r="F755" s="26" t="s">
        <v>238</v>
      </c>
      <c r="G755" s="24">
        <v>16.1</v>
      </c>
      <c r="H755" s="24"/>
      <c r="I755" s="24">
        <f t="shared" si="18"/>
        <v>0</v>
      </c>
    </row>
    <row r="756" spans="1:9" ht="15">
      <c r="A756" s="234" t="s">
        <v>1046</v>
      </c>
      <c r="B756" s="86"/>
      <c r="C756" s="35" t="s">
        <v>1026</v>
      </c>
      <c r="D756" s="35" t="s">
        <v>1026</v>
      </c>
      <c r="E756" s="35" t="s">
        <v>1047</v>
      </c>
      <c r="F756" s="27"/>
      <c r="G756" s="24">
        <f>SUM(G757)</f>
        <v>122.4</v>
      </c>
      <c r="H756" s="24" t="e">
        <f>SUM(#REF!)</f>
        <v>#REF!</v>
      </c>
      <c r="I756" s="24" t="e">
        <f>SUM(H756/G756*100)</f>
        <v>#REF!</v>
      </c>
    </row>
    <row r="757" spans="1:9" ht="42.75">
      <c r="A757" s="212" t="s">
        <v>523</v>
      </c>
      <c r="B757" s="86"/>
      <c r="C757" s="35" t="s">
        <v>1026</v>
      </c>
      <c r="D757" s="35" t="s">
        <v>1026</v>
      </c>
      <c r="E757" s="35" t="s">
        <v>522</v>
      </c>
      <c r="F757" s="27"/>
      <c r="G757" s="24">
        <f>SUM(G758)</f>
        <v>122.4</v>
      </c>
      <c r="H757" s="24"/>
      <c r="I757" s="24"/>
    </row>
    <row r="758" spans="1:9" ht="22.5" customHeight="1">
      <c r="A758" s="234" t="s">
        <v>1301</v>
      </c>
      <c r="B758" s="86"/>
      <c r="C758" s="35" t="s">
        <v>1026</v>
      </c>
      <c r="D758" s="35" t="s">
        <v>1026</v>
      </c>
      <c r="E758" s="35" t="s">
        <v>522</v>
      </c>
      <c r="F758" s="27" t="s">
        <v>1302</v>
      </c>
      <c r="G758" s="24">
        <v>122.4</v>
      </c>
      <c r="H758" s="24"/>
      <c r="I758" s="24"/>
    </row>
    <row r="759" spans="1:9" ht="15">
      <c r="A759" s="222" t="s">
        <v>1318</v>
      </c>
      <c r="B759" s="21"/>
      <c r="C759" s="35" t="s">
        <v>1026</v>
      </c>
      <c r="D759" s="35" t="s">
        <v>389</v>
      </c>
      <c r="E759" s="35"/>
      <c r="F759" s="26"/>
      <c r="G759" s="24">
        <f>SUM(G760)</f>
        <v>301.2</v>
      </c>
      <c r="H759" s="24">
        <f>SUM(H763+H767+H774+H792+H760)</f>
        <v>36356.7</v>
      </c>
      <c r="I759" s="24">
        <f>SUM(H759/G759*100)</f>
        <v>12070.617529880477</v>
      </c>
    </row>
    <row r="760" spans="1:9" ht="42.75">
      <c r="A760" s="224" t="s">
        <v>345</v>
      </c>
      <c r="B760" s="21"/>
      <c r="C760" s="35" t="s">
        <v>1026</v>
      </c>
      <c r="D760" s="35" t="s">
        <v>389</v>
      </c>
      <c r="E760" s="35" t="s">
        <v>346</v>
      </c>
      <c r="F760" s="26"/>
      <c r="G760" s="24">
        <f>SUM(G761)</f>
        <v>301.2</v>
      </c>
      <c r="H760" s="24">
        <f>SUM(H761)</f>
        <v>17823.6</v>
      </c>
      <c r="I760" s="24">
        <f>SUM(H760/G760*100)</f>
        <v>5917.529880478087</v>
      </c>
    </row>
    <row r="761" spans="1:9" ht="33" customHeight="1">
      <c r="A761" s="222" t="s">
        <v>894</v>
      </c>
      <c r="B761" s="58"/>
      <c r="C761" s="35" t="s">
        <v>1026</v>
      </c>
      <c r="D761" s="35" t="s">
        <v>389</v>
      </c>
      <c r="E761" s="35" t="s">
        <v>347</v>
      </c>
      <c r="F761" s="26"/>
      <c r="G761" s="24">
        <f>SUM(G762+G763+G765)</f>
        <v>301.2</v>
      </c>
      <c r="H761" s="24">
        <f>SUM(H762+H763+H765)</f>
        <v>17823.6</v>
      </c>
      <c r="I761" s="24">
        <f>SUM(H761/G761*100)</f>
        <v>5917.529880478087</v>
      </c>
    </row>
    <row r="762" spans="1:9" ht="18" customHeight="1">
      <c r="A762" s="234" t="s">
        <v>895</v>
      </c>
      <c r="B762" s="58"/>
      <c r="C762" s="35" t="s">
        <v>1026</v>
      </c>
      <c r="D762" s="35" t="s">
        <v>389</v>
      </c>
      <c r="E762" s="35" t="s">
        <v>347</v>
      </c>
      <c r="F762" s="26" t="s">
        <v>238</v>
      </c>
      <c r="G762" s="24">
        <v>301.2</v>
      </c>
      <c r="H762" s="24">
        <v>17823.6</v>
      </c>
      <c r="I762" s="24">
        <f>SUM(H762/G762*100)</f>
        <v>5917.529880478087</v>
      </c>
    </row>
    <row r="763" spans="1:9" ht="15" hidden="1">
      <c r="A763" s="224" t="s">
        <v>1311</v>
      </c>
      <c r="B763" s="28"/>
      <c r="C763" s="22" t="s">
        <v>1026</v>
      </c>
      <c r="D763" s="22" t="s">
        <v>1026</v>
      </c>
      <c r="E763" s="22" t="s">
        <v>1029</v>
      </c>
      <c r="F763" s="44"/>
      <c r="G763" s="24">
        <f>SUM(G764)</f>
        <v>0</v>
      </c>
      <c r="H763" s="24">
        <f>SUM(H764)</f>
        <v>0</v>
      </c>
      <c r="I763" s="24" t="e">
        <f t="shared" si="18"/>
        <v>#DIV/0!</v>
      </c>
    </row>
    <row r="764" spans="1:9" ht="19.5" customHeight="1" hidden="1">
      <c r="A764" s="224" t="s">
        <v>1312</v>
      </c>
      <c r="B764" s="28"/>
      <c r="C764" s="22" t="s">
        <v>1026</v>
      </c>
      <c r="D764" s="22" t="s">
        <v>1026</v>
      </c>
      <c r="E764" s="22" t="s">
        <v>1313</v>
      </c>
      <c r="F764" s="44"/>
      <c r="G764" s="24">
        <f>SUM(G765)</f>
        <v>0</v>
      </c>
      <c r="H764" s="24">
        <f>SUM(H765)</f>
        <v>0</v>
      </c>
      <c r="I764" s="24" t="e">
        <f t="shared" si="18"/>
        <v>#DIV/0!</v>
      </c>
    </row>
    <row r="765" spans="1:9" s="73" customFormat="1" ht="19.5" customHeight="1" hidden="1">
      <c r="A765" s="234" t="s">
        <v>237</v>
      </c>
      <c r="B765" s="28"/>
      <c r="C765" s="22" t="s">
        <v>1026</v>
      </c>
      <c r="D765" s="22" t="s">
        <v>1026</v>
      </c>
      <c r="E765" s="22" t="s">
        <v>1313</v>
      </c>
      <c r="F765" s="23" t="s">
        <v>238</v>
      </c>
      <c r="G765" s="24"/>
      <c r="H765" s="24"/>
      <c r="I765" s="24" t="e">
        <f aca="true" t="shared" si="20" ref="I765:I873">SUM(H765/G765*100)</f>
        <v>#DIV/0!</v>
      </c>
    </row>
    <row r="766" spans="1:9" s="73" customFormat="1" ht="19.5" customHeight="1" hidden="1">
      <c r="A766" s="234" t="s">
        <v>1027</v>
      </c>
      <c r="B766" s="28"/>
      <c r="C766" s="22" t="s">
        <v>1026</v>
      </c>
      <c r="D766" s="22" t="s">
        <v>1026</v>
      </c>
      <c r="E766" s="22"/>
      <c r="F766" s="23"/>
      <c r="G766" s="24">
        <f>SUM(G767)</f>
        <v>0</v>
      </c>
      <c r="H766" s="24">
        <f>SUM(H767)</f>
        <v>119.8</v>
      </c>
      <c r="I766" s="24" t="e">
        <f t="shared" si="20"/>
        <v>#DIV/0!</v>
      </c>
    </row>
    <row r="767" spans="1:9" s="73" customFormat="1" ht="19.5" customHeight="1" hidden="1">
      <c r="A767" s="234" t="s">
        <v>545</v>
      </c>
      <c r="B767" s="28"/>
      <c r="C767" s="22" t="s">
        <v>1026</v>
      </c>
      <c r="D767" s="22" t="s">
        <v>1026</v>
      </c>
      <c r="E767" s="22" t="s">
        <v>546</v>
      </c>
      <c r="F767" s="23"/>
      <c r="G767" s="24">
        <f>SUM(G768)</f>
        <v>0</v>
      </c>
      <c r="H767" s="24">
        <f>SUM(H768)</f>
        <v>119.8</v>
      </c>
      <c r="I767" s="24" t="e">
        <f t="shared" si="20"/>
        <v>#DIV/0!</v>
      </c>
    </row>
    <row r="768" spans="1:9" s="73" customFormat="1" ht="19.5" customHeight="1" hidden="1">
      <c r="A768" s="234" t="s">
        <v>1301</v>
      </c>
      <c r="B768" s="28"/>
      <c r="C768" s="22" t="s">
        <v>1026</v>
      </c>
      <c r="D768" s="22" t="s">
        <v>1026</v>
      </c>
      <c r="E768" s="22" t="s">
        <v>546</v>
      </c>
      <c r="F768" s="23" t="s">
        <v>1302</v>
      </c>
      <c r="G768" s="24"/>
      <c r="H768" s="24">
        <v>119.8</v>
      </c>
      <c r="I768" s="24" t="e">
        <f t="shared" si="20"/>
        <v>#DIV/0!</v>
      </c>
    </row>
    <row r="769" spans="1:9" s="255" customFormat="1" ht="15">
      <c r="A769" s="236" t="s">
        <v>446</v>
      </c>
      <c r="B769" s="30"/>
      <c r="C769" s="31" t="s">
        <v>1039</v>
      </c>
      <c r="D769" s="31"/>
      <c r="E769" s="31"/>
      <c r="F769" s="88"/>
      <c r="G769" s="49">
        <f>SUM(G770+G780)</f>
        <v>816.1999999999999</v>
      </c>
      <c r="H769" s="49" t="e">
        <f>SUM(H770+H823)</f>
        <v>#REF!</v>
      </c>
      <c r="I769" s="49" t="e">
        <f aca="true" t="shared" si="21" ref="I769:I806">SUM(H769/G769*100)</f>
        <v>#REF!</v>
      </c>
    </row>
    <row r="770" spans="1:9" ht="15">
      <c r="A770" s="222" t="s">
        <v>521</v>
      </c>
      <c r="B770" s="21"/>
      <c r="C770" s="35" t="s">
        <v>1039</v>
      </c>
      <c r="D770" s="35" t="s">
        <v>663</v>
      </c>
      <c r="E770" s="35"/>
      <c r="F770" s="26"/>
      <c r="G770" s="24">
        <f>SUM(G771+G774+G777)</f>
        <v>774.8</v>
      </c>
      <c r="H770" s="24" t="e">
        <f>SUM(H811+H779+H775+H819)</f>
        <v>#REF!</v>
      </c>
      <c r="I770" s="24" t="e">
        <f t="shared" si="21"/>
        <v>#REF!</v>
      </c>
    </row>
    <row r="771" spans="1:9" ht="28.5">
      <c r="A771" s="228" t="s">
        <v>1041</v>
      </c>
      <c r="B771" s="21"/>
      <c r="C771" s="35" t="s">
        <v>1039</v>
      </c>
      <c r="D771" s="35" t="s">
        <v>663</v>
      </c>
      <c r="E771" s="35" t="s">
        <v>1055</v>
      </c>
      <c r="F771" s="26"/>
      <c r="G771" s="24">
        <f>SUM(G772:G772)</f>
        <v>432.2</v>
      </c>
      <c r="H771" s="24">
        <f>SUM(H777)</f>
        <v>13901.099999999999</v>
      </c>
      <c r="I771" s="24">
        <f t="shared" si="21"/>
        <v>3216.358167515039</v>
      </c>
    </row>
    <row r="772" spans="1:9" ht="27.75" customHeight="1">
      <c r="A772" s="222" t="s">
        <v>894</v>
      </c>
      <c r="B772" s="34"/>
      <c r="C772" s="35" t="s">
        <v>1039</v>
      </c>
      <c r="D772" s="35" t="s">
        <v>663</v>
      </c>
      <c r="E772" s="35" t="s">
        <v>1056</v>
      </c>
      <c r="F772" s="26"/>
      <c r="G772" s="24">
        <f>SUM(G773:G773)</f>
        <v>432.2</v>
      </c>
      <c r="H772" s="24">
        <v>14679.5</v>
      </c>
      <c r="I772" s="24">
        <f t="shared" si="21"/>
        <v>3396.4599722350763</v>
      </c>
    </row>
    <row r="773" spans="1:9" ht="18" customHeight="1">
      <c r="A773" s="234" t="s">
        <v>895</v>
      </c>
      <c r="B773" s="34"/>
      <c r="C773" s="35" t="s">
        <v>1039</v>
      </c>
      <c r="D773" s="35" t="s">
        <v>663</v>
      </c>
      <c r="E773" s="35" t="s">
        <v>1056</v>
      </c>
      <c r="F773" s="26" t="s">
        <v>238</v>
      </c>
      <c r="G773" s="24">
        <v>432.2</v>
      </c>
      <c r="H773" s="24"/>
      <c r="I773" s="24">
        <f t="shared" si="21"/>
        <v>0</v>
      </c>
    </row>
    <row r="774" spans="1:9" ht="15">
      <c r="A774" s="222" t="s">
        <v>527</v>
      </c>
      <c r="B774" s="21"/>
      <c r="C774" s="35" t="s">
        <v>1039</v>
      </c>
      <c r="D774" s="35" t="s">
        <v>663</v>
      </c>
      <c r="E774" s="35" t="s">
        <v>528</v>
      </c>
      <c r="F774" s="26"/>
      <c r="G774" s="24">
        <f>SUM(G775)</f>
        <v>55.2</v>
      </c>
      <c r="H774" s="24">
        <f>SUM(H775)</f>
        <v>14679.5</v>
      </c>
      <c r="I774" s="24">
        <f t="shared" si="21"/>
        <v>26593.297101449276</v>
      </c>
    </row>
    <row r="775" spans="1:9" ht="27.75" customHeight="1">
      <c r="A775" s="222" t="s">
        <v>894</v>
      </c>
      <c r="B775" s="34"/>
      <c r="C775" s="35" t="s">
        <v>1039</v>
      </c>
      <c r="D775" s="35" t="s">
        <v>663</v>
      </c>
      <c r="E775" s="35" t="s">
        <v>529</v>
      </c>
      <c r="F775" s="26"/>
      <c r="G775" s="24">
        <f>SUM(G776:G776)</f>
        <v>55.2</v>
      </c>
      <c r="H775" s="24">
        <v>14679.5</v>
      </c>
      <c r="I775" s="24">
        <f t="shared" si="21"/>
        <v>26593.297101449276</v>
      </c>
    </row>
    <row r="776" spans="1:9" ht="18" customHeight="1">
      <c r="A776" s="234" t="s">
        <v>895</v>
      </c>
      <c r="B776" s="34"/>
      <c r="C776" s="35" t="s">
        <v>1039</v>
      </c>
      <c r="D776" s="35" t="s">
        <v>663</v>
      </c>
      <c r="E776" s="35" t="s">
        <v>529</v>
      </c>
      <c r="F776" s="26" t="s">
        <v>238</v>
      </c>
      <c r="G776" s="24">
        <v>55.2</v>
      </c>
      <c r="H776" s="24"/>
      <c r="I776" s="24">
        <f t="shared" si="21"/>
        <v>0</v>
      </c>
    </row>
    <row r="777" spans="1:9" ht="15">
      <c r="A777" s="222" t="s">
        <v>531</v>
      </c>
      <c r="B777" s="21"/>
      <c r="C777" s="35" t="s">
        <v>1039</v>
      </c>
      <c r="D777" s="35" t="s">
        <v>663</v>
      </c>
      <c r="E777" s="35" t="s">
        <v>532</v>
      </c>
      <c r="F777" s="26"/>
      <c r="G777" s="24">
        <f>SUM(G778)</f>
        <v>287.4</v>
      </c>
      <c r="H777" s="24">
        <f>SUM(H778)</f>
        <v>13901.099999999999</v>
      </c>
      <c r="I777" s="24">
        <f t="shared" si="21"/>
        <v>4836.847599164927</v>
      </c>
    </row>
    <row r="778" spans="1:9" ht="34.5" customHeight="1">
      <c r="A778" s="222" t="s">
        <v>894</v>
      </c>
      <c r="B778" s="82"/>
      <c r="C778" s="35" t="s">
        <v>1039</v>
      </c>
      <c r="D778" s="35" t="s">
        <v>663</v>
      </c>
      <c r="E778" s="35" t="s">
        <v>533</v>
      </c>
      <c r="F778" s="26"/>
      <c r="G778" s="24">
        <f>SUM(G779)</f>
        <v>287.4</v>
      </c>
      <c r="H778" s="24">
        <f>SUM(H779+H783+H808)</f>
        <v>13901.099999999999</v>
      </c>
      <c r="I778" s="24">
        <f t="shared" si="21"/>
        <v>4836.847599164927</v>
      </c>
    </row>
    <row r="779" spans="1:9" ht="15.75" customHeight="1">
      <c r="A779" s="234" t="s">
        <v>895</v>
      </c>
      <c r="B779" s="51"/>
      <c r="C779" s="35" t="s">
        <v>1039</v>
      </c>
      <c r="D779" s="35" t="s">
        <v>663</v>
      </c>
      <c r="E779" s="35" t="s">
        <v>533</v>
      </c>
      <c r="F779" s="27" t="s">
        <v>238</v>
      </c>
      <c r="G779" s="24">
        <v>287.4</v>
      </c>
      <c r="H779" s="24">
        <v>8963.8</v>
      </c>
      <c r="I779" s="24">
        <f t="shared" si="21"/>
        <v>3118.9283228949203</v>
      </c>
    </row>
    <row r="780" spans="1:9" ht="24" customHeight="1">
      <c r="A780" s="224" t="s">
        <v>1323</v>
      </c>
      <c r="B780" s="37"/>
      <c r="C780" s="31" t="s">
        <v>1039</v>
      </c>
      <c r="D780" s="31" t="s">
        <v>1037</v>
      </c>
      <c r="E780" s="31"/>
      <c r="F780" s="88"/>
      <c r="G780" s="24">
        <f>SUM(G781)</f>
        <v>41.4</v>
      </c>
      <c r="H780" s="24" t="e">
        <f>SUM(H807+H812)+H781</f>
        <v>#REF!</v>
      </c>
      <c r="I780" s="24" t="e">
        <f t="shared" si="21"/>
        <v>#REF!</v>
      </c>
    </row>
    <row r="781" spans="1:9" ht="57" customHeight="1">
      <c r="A781" s="224" t="s">
        <v>345</v>
      </c>
      <c r="B781" s="82"/>
      <c r="C781" s="35" t="s">
        <v>1039</v>
      </c>
      <c r="D781" s="31" t="s">
        <v>1037</v>
      </c>
      <c r="E781" s="35" t="s">
        <v>346</v>
      </c>
      <c r="F781" s="26"/>
      <c r="G781" s="24">
        <f>SUM(G782)</f>
        <v>41.4</v>
      </c>
      <c r="H781" s="24">
        <f>SUM(H782)</f>
        <v>3733.8</v>
      </c>
      <c r="I781" s="24">
        <f t="shared" si="21"/>
        <v>9018.840579710146</v>
      </c>
    </row>
    <row r="782" spans="1:9" ht="30.75" customHeight="1">
      <c r="A782" s="222" t="s">
        <v>894</v>
      </c>
      <c r="B782" s="82"/>
      <c r="C782" s="35" t="s">
        <v>1039</v>
      </c>
      <c r="D782" s="31" t="s">
        <v>1037</v>
      </c>
      <c r="E782" s="35" t="s">
        <v>347</v>
      </c>
      <c r="F782" s="26"/>
      <c r="G782" s="24">
        <f>SUM(G783)</f>
        <v>41.4</v>
      </c>
      <c r="H782" s="24">
        <f>SUM(H783)</f>
        <v>3733.8</v>
      </c>
      <c r="I782" s="24">
        <f t="shared" si="21"/>
        <v>9018.840579710146</v>
      </c>
    </row>
    <row r="783" spans="1:9" ht="16.5" customHeight="1">
      <c r="A783" s="234" t="s">
        <v>895</v>
      </c>
      <c r="B783" s="51"/>
      <c r="C783" s="35" t="s">
        <v>1039</v>
      </c>
      <c r="D783" s="31" t="s">
        <v>1037</v>
      </c>
      <c r="E783" s="35" t="s">
        <v>347</v>
      </c>
      <c r="F783" s="27" t="s">
        <v>238</v>
      </c>
      <c r="G783" s="24">
        <v>41.4</v>
      </c>
      <c r="H783" s="24">
        <v>3733.8</v>
      </c>
      <c r="I783" s="24">
        <f t="shared" si="21"/>
        <v>9018.840579710146</v>
      </c>
    </row>
    <row r="784" spans="1:9" s="255" customFormat="1" ht="15">
      <c r="A784" s="236" t="s">
        <v>444</v>
      </c>
      <c r="B784" s="30"/>
      <c r="C784" s="31" t="s">
        <v>389</v>
      </c>
      <c r="D784" s="31"/>
      <c r="E784" s="31"/>
      <c r="F784" s="88"/>
      <c r="G784" s="49">
        <f>SUM(G785+G789+G799+G803)</f>
        <v>6595.799999999999</v>
      </c>
      <c r="H784" s="49" t="e">
        <f>SUM(H785+H805+H825+H830+H843+H854)</f>
        <v>#REF!</v>
      </c>
      <c r="I784" s="49" t="e">
        <f t="shared" si="21"/>
        <v>#REF!</v>
      </c>
    </row>
    <row r="785" spans="1:9" ht="15.75" customHeight="1">
      <c r="A785" s="222" t="s">
        <v>1174</v>
      </c>
      <c r="B785" s="21"/>
      <c r="C785" s="35" t="s">
        <v>389</v>
      </c>
      <c r="D785" s="35" t="s">
        <v>663</v>
      </c>
      <c r="E785" s="35"/>
      <c r="F785" s="26"/>
      <c r="G785" s="24">
        <f>SUM(G786)</f>
        <v>2678.3</v>
      </c>
      <c r="H785" s="24">
        <f>SUM(H790+H792)</f>
        <v>7467.6</v>
      </c>
      <c r="I785" s="24">
        <f t="shared" si="21"/>
        <v>278.8186536235672</v>
      </c>
    </row>
    <row r="786" spans="1:9" ht="15">
      <c r="A786" s="222" t="s">
        <v>1212</v>
      </c>
      <c r="B786" s="21"/>
      <c r="C786" s="35" t="s">
        <v>389</v>
      </c>
      <c r="D786" s="35" t="s">
        <v>663</v>
      </c>
      <c r="E786" s="35" t="s">
        <v>1178</v>
      </c>
      <c r="F786" s="26"/>
      <c r="G786" s="24">
        <f>SUM(G787)</f>
        <v>2678.3</v>
      </c>
      <c r="H786" s="24">
        <f>SUM(H787)</f>
        <v>3733.8</v>
      </c>
      <c r="I786" s="24">
        <f t="shared" si="21"/>
        <v>139.4093268117836</v>
      </c>
    </row>
    <row r="787" spans="1:9" ht="30.75" customHeight="1">
      <c r="A787" s="222" t="s">
        <v>894</v>
      </c>
      <c r="B787" s="82"/>
      <c r="C787" s="35" t="s">
        <v>389</v>
      </c>
      <c r="D787" s="35" t="s">
        <v>663</v>
      </c>
      <c r="E787" s="35" t="s">
        <v>1179</v>
      </c>
      <c r="F787" s="26"/>
      <c r="G787" s="24">
        <f>SUM(G788)</f>
        <v>2678.3</v>
      </c>
      <c r="H787" s="24">
        <f>SUM(H788)</f>
        <v>3733.8</v>
      </c>
      <c r="I787" s="24">
        <f t="shared" si="21"/>
        <v>139.4093268117836</v>
      </c>
    </row>
    <row r="788" spans="1:9" ht="16.5" customHeight="1">
      <c r="A788" s="234" t="s">
        <v>895</v>
      </c>
      <c r="B788" s="51"/>
      <c r="C788" s="35" t="s">
        <v>389</v>
      </c>
      <c r="D788" s="35" t="s">
        <v>663</v>
      </c>
      <c r="E788" s="35" t="s">
        <v>1179</v>
      </c>
      <c r="F788" s="27" t="s">
        <v>238</v>
      </c>
      <c r="G788" s="24">
        <v>2678.3</v>
      </c>
      <c r="H788" s="24">
        <v>3733.8</v>
      </c>
      <c r="I788" s="24">
        <f t="shared" si="21"/>
        <v>139.4093268117836</v>
      </c>
    </row>
    <row r="789" spans="1:9" ht="18.75" customHeight="1">
      <c r="A789" s="222" t="s">
        <v>1338</v>
      </c>
      <c r="B789" s="21"/>
      <c r="C789" s="35" t="s">
        <v>389</v>
      </c>
      <c r="D789" s="35" t="s">
        <v>665</v>
      </c>
      <c r="E789" s="35"/>
      <c r="F789" s="26"/>
      <c r="G789" s="24">
        <f>SUM(G790+G793+G796)</f>
        <v>3253.1</v>
      </c>
      <c r="H789" s="24" t="e">
        <f>SUM(H790+H797+H808+H812)</f>
        <v>#REF!</v>
      </c>
      <c r="I789" s="24" t="e">
        <f t="shared" si="21"/>
        <v>#REF!</v>
      </c>
    </row>
    <row r="790" spans="1:9" ht="15">
      <c r="A790" s="222" t="s">
        <v>1212</v>
      </c>
      <c r="B790" s="21"/>
      <c r="C790" s="35" t="s">
        <v>389</v>
      </c>
      <c r="D790" s="35" t="s">
        <v>665</v>
      </c>
      <c r="E790" s="35" t="s">
        <v>1178</v>
      </c>
      <c r="F790" s="26"/>
      <c r="G790" s="24">
        <f>SUM(G791)</f>
        <v>2848.5</v>
      </c>
      <c r="H790" s="24">
        <f>SUM(H791)</f>
        <v>3733.8</v>
      </c>
      <c r="I790" s="24">
        <f t="shared" si="21"/>
        <v>131.07951553449183</v>
      </c>
    </row>
    <row r="791" spans="1:9" ht="30.75" customHeight="1">
      <c r="A791" s="222" t="s">
        <v>894</v>
      </c>
      <c r="B791" s="82"/>
      <c r="C791" s="35" t="s">
        <v>389</v>
      </c>
      <c r="D791" s="35" t="s">
        <v>665</v>
      </c>
      <c r="E791" s="35" t="s">
        <v>1179</v>
      </c>
      <c r="F791" s="26"/>
      <c r="G791" s="24">
        <f>SUM(G792)</f>
        <v>2848.5</v>
      </c>
      <c r="H791" s="24">
        <f>SUM(H792)</f>
        <v>3733.8</v>
      </c>
      <c r="I791" s="24">
        <f t="shared" si="21"/>
        <v>131.07951553449183</v>
      </c>
    </row>
    <row r="792" spans="1:9" ht="16.5" customHeight="1">
      <c r="A792" s="234" t="s">
        <v>895</v>
      </c>
      <c r="B792" s="51"/>
      <c r="C792" s="35" t="s">
        <v>389</v>
      </c>
      <c r="D792" s="35" t="s">
        <v>665</v>
      </c>
      <c r="E792" s="35" t="s">
        <v>1179</v>
      </c>
      <c r="F792" s="27" t="s">
        <v>238</v>
      </c>
      <c r="G792" s="24">
        <v>2848.5</v>
      </c>
      <c r="H792" s="24">
        <v>3733.8</v>
      </c>
      <c r="I792" s="24">
        <f t="shared" si="21"/>
        <v>131.07951553449183</v>
      </c>
    </row>
    <row r="793" spans="1:9" ht="15.75" customHeight="1">
      <c r="A793" s="222" t="s">
        <v>1339</v>
      </c>
      <c r="B793" s="21"/>
      <c r="C793" s="35" t="s">
        <v>389</v>
      </c>
      <c r="D793" s="35" t="s">
        <v>665</v>
      </c>
      <c r="E793" s="35" t="s">
        <v>1340</v>
      </c>
      <c r="F793" s="26"/>
      <c r="G793" s="24">
        <f>SUM(G794)</f>
        <v>370.1</v>
      </c>
      <c r="H793" s="24">
        <f>SUM(H794)</f>
        <v>3733.8</v>
      </c>
      <c r="I793" s="24">
        <f t="shared" si="21"/>
        <v>1008.86246960281</v>
      </c>
    </row>
    <row r="794" spans="1:9" ht="30.75" customHeight="1">
      <c r="A794" s="222" t="s">
        <v>894</v>
      </c>
      <c r="B794" s="82"/>
      <c r="C794" s="35" t="s">
        <v>389</v>
      </c>
      <c r="D794" s="35" t="s">
        <v>665</v>
      </c>
      <c r="E794" s="35" t="s">
        <v>1341</v>
      </c>
      <c r="F794" s="26"/>
      <c r="G794" s="24">
        <f>SUM(G795)</f>
        <v>370.1</v>
      </c>
      <c r="H794" s="24">
        <f>SUM(H795)</f>
        <v>3733.8</v>
      </c>
      <c r="I794" s="24">
        <f t="shared" si="21"/>
        <v>1008.86246960281</v>
      </c>
    </row>
    <row r="795" spans="1:9" ht="16.5" customHeight="1">
      <c r="A795" s="234" t="s">
        <v>895</v>
      </c>
      <c r="B795" s="51"/>
      <c r="C795" s="35" t="s">
        <v>389</v>
      </c>
      <c r="D795" s="35" t="s">
        <v>665</v>
      </c>
      <c r="E795" s="35" t="s">
        <v>1341</v>
      </c>
      <c r="F795" s="27" t="s">
        <v>238</v>
      </c>
      <c r="G795" s="24">
        <v>370.1</v>
      </c>
      <c r="H795" s="24">
        <v>3733.8</v>
      </c>
      <c r="I795" s="24">
        <f t="shared" si="21"/>
        <v>1008.86246960281</v>
      </c>
    </row>
    <row r="796" spans="1:9" ht="14.25" customHeight="1">
      <c r="A796" s="222" t="s">
        <v>1343</v>
      </c>
      <c r="B796" s="21"/>
      <c r="C796" s="35" t="s">
        <v>389</v>
      </c>
      <c r="D796" s="35" t="s">
        <v>665</v>
      </c>
      <c r="E796" s="35" t="s">
        <v>1344</v>
      </c>
      <c r="F796" s="26"/>
      <c r="G796" s="24">
        <f>SUM(G797)</f>
        <v>34.5</v>
      </c>
      <c r="H796" s="24">
        <f>SUM(H797)</f>
        <v>3733.8</v>
      </c>
      <c r="I796" s="24">
        <f t="shared" si="21"/>
        <v>10822.608695652174</v>
      </c>
    </row>
    <row r="797" spans="1:9" ht="30.75" customHeight="1">
      <c r="A797" s="222" t="s">
        <v>894</v>
      </c>
      <c r="B797" s="82"/>
      <c r="C797" s="35" t="s">
        <v>389</v>
      </c>
      <c r="D797" s="35" t="s">
        <v>665</v>
      </c>
      <c r="E797" s="35" t="s">
        <v>1070</v>
      </c>
      <c r="F797" s="26"/>
      <c r="G797" s="24">
        <f>SUM(G798)</f>
        <v>34.5</v>
      </c>
      <c r="H797" s="24">
        <f>SUM(H798)</f>
        <v>3733.8</v>
      </c>
      <c r="I797" s="24">
        <f t="shared" si="21"/>
        <v>10822.608695652174</v>
      </c>
    </row>
    <row r="798" spans="1:9" ht="16.5" customHeight="1">
      <c r="A798" s="234" t="s">
        <v>895</v>
      </c>
      <c r="B798" s="51"/>
      <c r="C798" s="35" t="s">
        <v>389</v>
      </c>
      <c r="D798" s="35" t="s">
        <v>665</v>
      </c>
      <c r="E798" s="35" t="s">
        <v>1070</v>
      </c>
      <c r="F798" s="27" t="s">
        <v>238</v>
      </c>
      <c r="G798" s="24">
        <v>34.5</v>
      </c>
      <c r="H798" s="24">
        <v>3733.8</v>
      </c>
      <c r="I798" s="24">
        <f t="shared" si="21"/>
        <v>10822.608695652174</v>
      </c>
    </row>
    <row r="799" spans="1:9" ht="15">
      <c r="A799" s="234" t="s">
        <v>226</v>
      </c>
      <c r="B799" s="21"/>
      <c r="C799" s="35" t="s">
        <v>389</v>
      </c>
      <c r="D799" s="35" t="s">
        <v>1037</v>
      </c>
      <c r="E799" s="35"/>
      <c r="F799" s="26"/>
      <c r="G799" s="24">
        <f>SUM(G800)</f>
        <v>597.7</v>
      </c>
      <c r="H799" s="24" t="e">
        <f>SUM(H802+H808+H800)</f>
        <v>#REF!</v>
      </c>
      <c r="I799" s="24" t="e">
        <f t="shared" si="21"/>
        <v>#REF!</v>
      </c>
    </row>
    <row r="800" spans="1:9" ht="15" customHeight="1">
      <c r="A800" s="222" t="s">
        <v>227</v>
      </c>
      <c r="B800" s="21"/>
      <c r="C800" s="35" t="s">
        <v>389</v>
      </c>
      <c r="D800" s="35" t="s">
        <v>1037</v>
      </c>
      <c r="E800" s="35" t="s">
        <v>228</v>
      </c>
      <c r="F800" s="26"/>
      <c r="G800" s="24">
        <f>SUM(G801)</f>
        <v>597.7</v>
      </c>
      <c r="H800" s="24" t="e">
        <f>SUM(H801)</f>
        <v>#REF!</v>
      </c>
      <c r="I800" s="24" t="e">
        <f t="shared" si="21"/>
        <v>#REF!</v>
      </c>
    </row>
    <row r="801" spans="1:9" ht="30" customHeight="1">
      <c r="A801" s="222" t="s">
        <v>894</v>
      </c>
      <c r="B801" s="21"/>
      <c r="C801" s="35" t="s">
        <v>389</v>
      </c>
      <c r="D801" s="35" t="s">
        <v>1037</v>
      </c>
      <c r="E801" s="35" t="s">
        <v>229</v>
      </c>
      <c r="F801" s="26"/>
      <c r="G801" s="24">
        <f>SUM(G802)</f>
        <v>597.7</v>
      </c>
      <c r="H801" s="24" t="e">
        <f>SUM(H802:H805)</f>
        <v>#REF!</v>
      </c>
      <c r="I801" s="24" t="e">
        <f t="shared" si="21"/>
        <v>#REF!</v>
      </c>
    </row>
    <row r="802" spans="1:9" ht="17.25" customHeight="1">
      <c r="A802" s="234" t="s">
        <v>895</v>
      </c>
      <c r="B802" s="21"/>
      <c r="C802" s="35" t="s">
        <v>389</v>
      </c>
      <c r="D802" s="35" t="s">
        <v>1037</v>
      </c>
      <c r="E802" s="35" t="s">
        <v>229</v>
      </c>
      <c r="F802" s="26" t="s">
        <v>238</v>
      </c>
      <c r="G802" s="24">
        <v>597.7</v>
      </c>
      <c r="H802" s="24">
        <v>34637.7</v>
      </c>
      <c r="I802" s="24">
        <f t="shared" si="21"/>
        <v>5795.164798393842</v>
      </c>
    </row>
    <row r="803" spans="1:9" ht="15">
      <c r="A803" s="222" t="s">
        <v>1335</v>
      </c>
      <c r="B803" s="21"/>
      <c r="C803" s="35" t="s">
        <v>389</v>
      </c>
      <c r="D803" s="35" t="s">
        <v>389</v>
      </c>
      <c r="E803" s="35"/>
      <c r="F803" s="26"/>
      <c r="G803" s="24">
        <f>SUM(G804)</f>
        <v>66.7</v>
      </c>
      <c r="H803" s="24" t="e">
        <f>SUM(H804+H812+H819+H821+H817)</f>
        <v>#REF!</v>
      </c>
      <c r="I803" s="24" t="e">
        <f t="shared" si="21"/>
        <v>#REF!</v>
      </c>
    </row>
    <row r="804" spans="1:9" ht="28.5">
      <c r="A804" s="229" t="s">
        <v>1175</v>
      </c>
      <c r="B804" s="21"/>
      <c r="C804" s="35" t="s">
        <v>389</v>
      </c>
      <c r="D804" s="35" t="s">
        <v>389</v>
      </c>
      <c r="E804" s="35" t="s">
        <v>1176</v>
      </c>
      <c r="F804" s="26"/>
      <c r="G804" s="24">
        <f>SUM(G805)</f>
        <v>66.7</v>
      </c>
      <c r="H804" s="24" t="e">
        <f>SUM(H805)</f>
        <v>#REF!</v>
      </c>
      <c r="I804" s="24" t="e">
        <f t="shared" si="21"/>
        <v>#REF!</v>
      </c>
    </row>
    <row r="805" spans="1:9" ht="29.25" customHeight="1">
      <c r="A805" s="222" t="s">
        <v>894</v>
      </c>
      <c r="B805" s="21"/>
      <c r="C805" s="35" t="s">
        <v>389</v>
      </c>
      <c r="D805" s="35" t="s">
        <v>389</v>
      </c>
      <c r="E805" s="35" t="s">
        <v>1177</v>
      </c>
      <c r="F805" s="26"/>
      <c r="G805" s="24">
        <f>SUM(G806)</f>
        <v>66.7</v>
      </c>
      <c r="H805" s="24" t="e">
        <f>SUM(H806:H807)</f>
        <v>#REF!</v>
      </c>
      <c r="I805" s="24" t="e">
        <f t="shared" si="21"/>
        <v>#REF!</v>
      </c>
    </row>
    <row r="806" spans="1:9" ht="18.75" customHeight="1">
      <c r="A806" s="234" t="s">
        <v>895</v>
      </c>
      <c r="B806" s="21"/>
      <c r="C806" s="35" t="s">
        <v>389</v>
      </c>
      <c r="D806" s="35" t="s">
        <v>389</v>
      </c>
      <c r="E806" s="35" t="s">
        <v>1177</v>
      </c>
      <c r="F806" s="26" t="s">
        <v>238</v>
      </c>
      <c r="G806" s="24">
        <v>66.7</v>
      </c>
      <c r="H806" s="24">
        <v>6864.8</v>
      </c>
      <c r="I806" s="24">
        <f t="shared" si="21"/>
        <v>10292.053973013493</v>
      </c>
    </row>
    <row r="807" spans="1:9" s="73" customFormat="1" ht="15">
      <c r="A807" s="236" t="s">
        <v>1197</v>
      </c>
      <c r="B807" s="21"/>
      <c r="C807" s="72" t="s">
        <v>793</v>
      </c>
      <c r="D807" s="72" t="s">
        <v>1198</v>
      </c>
      <c r="E807" s="72"/>
      <c r="F807" s="44"/>
      <c r="G807" s="49">
        <f>SUM(G808+G812+G823+G911+G927)</f>
        <v>736597.8</v>
      </c>
      <c r="H807" s="49" t="e">
        <f>SUM(H808+H812+H823+H911+H927)</f>
        <v>#REF!</v>
      </c>
      <c r="I807" s="24" t="e">
        <f t="shared" si="20"/>
        <v>#REF!</v>
      </c>
    </row>
    <row r="808" spans="1:9" ht="15">
      <c r="A808" s="236" t="s">
        <v>1199</v>
      </c>
      <c r="B808" s="21"/>
      <c r="C808" s="72" t="s">
        <v>793</v>
      </c>
      <c r="D808" s="72" t="s">
        <v>663</v>
      </c>
      <c r="E808" s="72"/>
      <c r="F808" s="44"/>
      <c r="G808" s="49">
        <f aca="true" t="shared" si="22" ref="G808:H810">SUM(G809)</f>
        <v>3199.4</v>
      </c>
      <c r="H808" s="49">
        <f t="shared" si="22"/>
        <v>1203.5</v>
      </c>
      <c r="I808" s="24">
        <f t="shared" si="20"/>
        <v>37.616428080265045</v>
      </c>
    </row>
    <row r="809" spans="1:9" ht="15">
      <c r="A809" s="233" t="s">
        <v>1200</v>
      </c>
      <c r="B809" s="21"/>
      <c r="C809" s="22" t="s">
        <v>793</v>
      </c>
      <c r="D809" s="22" t="s">
        <v>663</v>
      </c>
      <c r="E809" s="22" t="s">
        <v>1201</v>
      </c>
      <c r="F809" s="44"/>
      <c r="G809" s="24">
        <f t="shared" si="22"/>
        <v>3199.4</v>
      </c>
      <c r="H809" s="24">
        <f t="shared" si="22"/>
        <v>1203.5</v>
      </c>
      <c r="I809" s="24">
        <f t="shared" si="20"/>
        <v>37.616428080265045</v>
      </c>
    </row>
    <row r="810" spans="1:9" s="70" customFormat="1" ht="28.5">
      <c r="A810" s="233" t="s">
        <v>1202</v>
      </c>
      <c r="B810" s="58"/>
      <c r="C810" s="22" t="s">
        <v>793</v>
      </c>
      <c r="D810" s="22" t="s">
        <v>663</v>
      </c>
      <c r="E810" s="22" t="s">
        <v>1203</v>
      </c>
      <c r="F810" s="44"/>
      <c r="G810" s="24">
        <f t="shared" si="22"/>
        <v>3199.4</v>
      </c>
      <c r="H810" s="24">
        <f t="shared" si="22"/>
        <v>1203.5</v>
      </c>
      <c r="I810" s="24">
        <f t="shared" si="20"/>
        <v>37.616428080265045</v>
      </c>
    </row>
    <row r="811" spans="1:9" s="73" customFormat="1" ht="18" customHeight="1">
      <c r="A811" s="222" t="s">
        <v>378</v>
      </c>
      <c r="B811" s="21"/>
      <c r="C811" s="22" t="s">
        <v>793</v>
      </c>
      <c r="D811" s="22" t="s">
        <v>663</v>
      </c>
      <c r="E811" s="22" t="s">
        <v>1203</v>
      </c>
      <c r="F811" s="44" t="s">
        <v>379</v>
      </c>
      <c r="G811" s="24">
        <v>3199.4</v>
      </c>
      <c r="H811" s="24">
        <v>1203.5</v>
      </c>
      <c r="I811" s="24">
        <f t="shared" si="20"/>
        <v>37.616428080265045</v>
      </c>
    </row>
    <row r="812" spans="1:9" s="73" customFormat="1" ht="15">
      <c r="A812" s="222" t="s">
        <v>1204</v>
      </c>
      <c r="B812" s="21"/>
      <c r="C812" s="31" t="s">
        <v>793</v>
      </c>
      <c r="D812" s="31" t="s">
        <v>665</v>
      </c>
      <c r="E812" s="22"/>
      <c r="F812" s="44"/>
      <c r="G812" s="49">
        <f>SUM(G813+G818)</f>
        <v>36459.5</v>
      </c>
      <c r="H812" s="49" t="e">
        <f>SUM(H813+H818)</f>
        <v>#REF!</v>
      </c>
      <c r="I812" s="24" t="e">
        <f t="shared" si="20"/>
        <v>#REF!</v>
      </c>
    </row>
    <row r="813" spans="1:9" s="83" customFormat="1" ht="32.25" customHeight="1">
      <c r="A813" s="222" t="s">
        <v>1021</v>
      </c>
      <c r="B813" s="21"/>
      <c r="C813" s="35" t="s">
        <v>793</v>
      </c>
      <c r="D813" s="35" t="s">
        <v>665</v>
      </c>
      <c r="E813" s="22" t="s">
        <v>1022</v>
      </c>
      <c r="F813" s="27"/>
      <c r="G813" s="24">
        <f>SUM(G814)</f>
        <v>50</v>
      </c>
      <c r="H813" s="49"/>
      <c r="I813" s="24">
        <f t="shared" si="20"/>
        <v>0</v>
      </c>
    </row>
    <row r="814" spans="1:9" ht="28.5">
      <c r="A814" s="239" t="s">
        <v>745</v>
      </c>
      <c r="B814" s="21"/>
      <c r="C814" s="35" t="s">
        <v>793</v>
      </c>
      <c r="D814" s="35" t="s">
        <v>665</v>
      </c>
      <c r="E814" s="22" t="s">
        <v>746</v>
      </c>
      <c r="F814" s="26"/>
      <c r="G814" s="24">
        <f>SUM(G815+G816)</f>
        <v>50</v>
      </c>
      <c r="H814" s="24">
        <f>SUM(H815+H816)</f>
        <v>0</v>
      </c>
      <c r="I814" s="24">
        <f t="shared" si="20"/>
        <v>0</v>
      </c>
    </row>
    <row r="815" spans="1:9" ht="17.25" customHeight="1">
      <c r="A815" s="228" t="s">
        <v>895</v>
      </c>
      <c r="B815" s="21"/>
      <c r="C815" s="35" t="s">
        <v>793</v>
      </c>
      <c r="D815" s="35" t="s">
        <v>665</v>
      </c>
      <c r="E815" s="22" t="s">
        <v>746</v>
      </c>
      <c r="F815" s="88" t="s">
        <v>238</v>
      </c>
      <c r="G815" s="24">
        <v>50</v>
      </c>
      <c r="H815" s="24"/>
      <c r="I815" s="24">
        <f t="shared" si="20"/>
        <v>0</v>
      </c>
    </row>
    <row r="816" spans="1:9" ht="19.5" customHeight="1" hidden="1">
      <c r="A816" s="239" t="s">
        <v>814</v>
      </c>
      <c r="B816" s="21"/>
      <c r="C816" s="35" t="s">
        <v>793</v>
      </c>
      <c r="D816" s="35" t="s">
        <v>665</v>
      </c>
      <c r="E816" s="35" t="s">
        <v>815</v>
      </c>
      <c r="F816" s="26"/>
      <c r="G816" s="24">
        <f>SUM(G817)</f>
        <v>0</v>
      </c>
      <c r="H816" s="24">
        <f>SUM(H817)</f>
        <v>0</v>
      </c>
      <c r="I816" s="24" t="e">
        <f t="shared" si="20"/>
        <v>#DIV/0!</v>
      </c>
    </row>
    <row r="817" spans="1:9" ht="15" hidden="1">
      <c r="A817" s="228" t="s">
        <v>237</v>
      </c>
      <c r="B817" s="21"/>
      <c r="C817" s="35" t="s">
        <v>793</v>
      </c>
      <c r="D817" s="35" t="s">
        <v>665</v>
      </c>
      <c r="E817" s="35" t="s">
        <v>815</v>
      </c>
      <c r="F817" s="88" t="s">
        <v>238</v>
      </c>
      <c r="G817" s="24"/>
      <c r="H817" s="24"/>
      <c r="I817" s="24" t="e">
        <f t="shared" si="20"/>
        <v>#DIV/0!</v>
      </c>
    </row>
    <row r="818" spans="1:9" ht="15">
      <c r="A818" s="239" t="s">
        <v>962</v>
      </c>
      <c r="B818" s="21"/>
      <c r="C818" s="31" t="s">
        <v>793</v>
      </c>
      <c r="D818" s="31" t="s">
        <v>665</v>
      </c>
      <c r="E818" s="31" t="s">
        <v>816</v>
      </c>
      <c r="F818" s="88"/>
      <c r="G818" s="24">
        <f>SUM(G819)</f>
        <v>36409.5</v>
      </c>
      <c r="H818" s="24" t="e">
        <f>SUM(H819+H821)</f>
        <v>#REF!</v>
      </c>
      <c r="I818" s="24" t="e">
        <f t="shared" si="20"/>
        <v>#REF!</v>
      </c>
    </row>
    <row r="819" spans="1:9" ht="28.5">
      <c r="A819" s="228" t="s">
        <v>894</v>
      </c>
      <c r="B819" s="21"/>
      <c r="C819" s="35" t="s">
        <v>793</v>
      </c>
      <c r="D819" s="35" t="s">
        <v>665</v>
      </c>
      <c r="E819" s="35" t="s">
        <v>817</v>
      </c>
      <c r="F819" s="88"/>
      <c r="G819" s="24">
        <f>SUM(G820+G822)</f>
        <v>36409.5</v>
      </c>
      <c r="H819" s="24" t="e">
        <f>SUM(#REF!)</f>
        <v>#REF!</v>
      </c>
      <c r="I819" s="24" t="e">
        <f t="shared" si="20"/>
        <v>#REF!</v>
      </c>
    </row>
    <row r="820" spans="1:9" ht="15">
      <c r="A820" s="228" t="s">
        <v>895</v>
      </c>
      <c r="B820" s="21"/>
      <c r="C820" s="35" t="s">
        <v>793</v>
      </c>
      <c r="D820" s="35" t="s">
        <v>665</v>
      </c>
      <c r="E820" s="35" t="s">
        <v>817</v>
      </c>
      <c r="F820" s="88" t="s">
        <v>238</v>
      </c>
      <c r="G820" s="24">
        <v>1977.4</v>
      </c>
      <c r="H820" s="24"/>
      <c r="I820" s="24"/>
    </row>
    <row r="821" spans="1:9" ht="28.5">
      <c r="A821" s="228" t="s">
        <v>818</v>
      </c>
      <c r="B821" s="21"/>
      <c r="C821" s="35" t="s">
        <v>793</v>
      </c>
      <c r="D821" s="35" t="s">
        <v>665</v>
      </c>
      <c r="E821" s="35" t="s">
        <v>819</v>
      </c>
      <c r="F821" s="88"/>
      <c r="G821" s="24">
        <f>SUM(G822)</f>
        <v>34432.1</v>
      </c>
      <c r="H821" s="24">
        <f>SUM(H822)</f>
        <v>16618.3</v>
      </c>
      <c r="I821" s="24">
        <f t="shared" si="20"/>
        <v>48.26397460509234</v>
      </c>
    </row>
    <row r="822" spans="1:9" ht="15">
      <c r="A822" s="228" t="s">
        <v>895</v>
      </c>
      <c r="B822" s="21"/>
      <c r="C822" s="35" t="s">
        <v>793</v>
      </c>
      <c r="D822" s="35" t="s">
        <v>665</v>
      </c>
      <c r="E822" s="35" t="s">
        <v>819</v>
      </c>
      <c r="F822" s="88" t="s">
        <v>238</v>
      </c>
      <c r="G822" s="24">
        <v>34432.1</v>
      </c>
      <c r="H822" s="24">
        <v>16618.3</v>
      </c>
      <c r="I822" s="24">
        <f t="shared" si="20"/>
        <v>48.26397460509234</v>
      </c>
    </row>
    <row r="823" spans="1:9" ht="15">
      <c r="A823" s="236" t="s">
        <v>820</v>
      </c>
      <c r="B823" s="21"/>
      <c r="C823" s="72" t="s">
        <v>793</v>
      </c>
      <c r="D823" s="72" t="s">
        <v>1013</v>
      </c>
      <c r="E823" s="72"/>
      <c r="F823" s="44"/>
      <c r="G823" s="49">
        <f>SUM(G827+G903+G906+G824)</f>
        <v>633515.1</v>
      </c>
      <c r="H823" s="49">
        <f>SUM(H827+H903+H906+H824)</f>
        <v>443096.29999999993</v>
      </c>
      <c r="I823" s="24">
        <f t="shared" si="20"/>
        <v>69.94250018665694</v>
      </c>
    </row>
    <row r="824" spans="1:9" ht="15">
      <c r="A824" s="222" t="s">
        <v>567</v>
      </c>
      <c r="B824" s="21"/>
      <c r="C824" s="72" t="s">
        <v>793</v>
      </c>
      <c r="D824" s="72" t="s">
        <v>1013</v>
      </c>
      <c r="E824" s="22" t="s">
        <v>569</v>
      </c>
      <c r="F824" s="23"/>
      <c r="G824" s="24">
        <f>SUM(G826)</f>
        <v>300</v>
      </c>
      <c r="H824" s="24">
        <f>SUM(H826)</f>
        <v>200</v>
      </c>
      <c r="I824" s="24">
        <f t="shared" si="20"/>
        <v>66.66666666666666</v>
      </c>
    </row>
    <row r="825" spans="1:9" ht="15">
      <c r="A825" s="222" t="s">
        <v>545</v>
      </c>
      <c r="B825" s="21"/>
      <c r="C825" s="72" t="s">
        <v>793</v>
      </c>
      <c r="D825" s="72" t="s">
        <v>1013</v>
      </c>
      <c r="E825" s="22" t="s">
        <v>546</v>
      </c>
      <c r="F825" s="23"/>
      <c r="G825" s="24">
        <f>SUM(G826)</f>
        <v>300</v>
      </c>
      <c r="H825" s="24">
        <f>SUM(H826)</f>
        <v>200</v>
      </c>
      <c r="I825" s="24">
        <f t="shared" si="20"/>
        <v>66.66666666666666</v>
      </c>
    </row>
    <row r="826" spans="1:9" ht="15">
      <c r="A826" s="222" t="s">
        <v>378</v>
      </c>
      <c r="B826" s="34"/>
      <c r="C826" s="72" t="s">
        <v>793</v>
      </c>
      <c r="D826" s="72" t="s">
        <v>1013</v>
      </c>
      <c r="E826" s="22" t="s">
        <v>546</v>
      </c>
      <c r="F826" s="26" t="s">
        <v>379</v>
      </c>
      <c r="G826" s="24">
        <v>300</v>
      </c>
      <c r="H826" s="24">
        <v>200</v>
      </c>
      <c r="I826" s="24">
        <f t="shared" si="20"/>
        <v>66.66666666666666</v>
      </c>
    </row>
    <row r="827" spans="1:9" ht="15">
      <c r="A827" s="222" t="s">
        <v>821</v>
      </c>
      <c r="B827" s="21"/>
      <c r="C827" s="22" t="s">
        <v>793</v>
      </c>
      <c r="D827" s="22" t="s">
        <v>1013</v>
      </c>
      <c r="E827" s="22" t="s">
        <v>822</v>
      </c>
      <c r="F827" s="23"/>
      <c r="G827" s="24">
        <f>SUM(G828+G830+G832+G841+G843+G863+G869+G872+G874+G898+G847+G849+G856+G859+G865+G867+G854+G851+G861+G834+G837+G839+G845)</f>
        <v>619856.5</v>
      </c>
      <c r="H827" s="24">
        <f>SUM(H828+H830+H832+H841+H843+H863+H869+H872+H874+H898+H847+H849+H856+H859+H865+H867+H854+H851+H861+H834+H837)</f>
        <v>438649.6</v>
      </c>
      <c r="I827" s="24">
        <f t="shared" si="20"/>
        <v>70.7663144614923</v>
      </c>
    </row>
    <row r="828" spans="1:9" ht="19.5" customHeight="1" hidden="1">
      <c r="A828" s="238" t="s">
        <v>823</v>
      </c>
      <c r="B828" s="21"/>
      <c r="C828" s="22" t="s">
        <v>793</v>
      </c>
      <c r="D828" s="22" t="s">
        <v>1013</v>
      </c>
      <c r="E828" s="22" t="s">
        <v>824</v>
      </c>
      <c r="F828" s="23"/>
      <c r="G828" s="24">
        <f>SUM(G829:G829)</f>
        <v>0</v>
      </c>
      <c r="H828" s="24">
        <f>SUM(H829:H829)</f>
        <v>0</v>
      </c>
      <c r="I828" s="24" t="e">
        <f t="shared" si="20"/>
        <v>#DIV/0!</v>
      </c>
    </row>
    <row r="829" spans="1:9" ht="15" hidden="1">
      <c r="A829" s="222" t="s">
        <v>378</v>
      </c>
      <c r="B829" s="21"/>
      <c r="C829" s="22" t="s">
        <v>793</v>
      </c>
      <c r="D829" s="22" t="s">
        <v>1013</v>
      </c>
      <c r="E829" s="22" t="s">
        <v>824</v>
      </c>
      <c r="F829" s="23" t="s">
        <v>379</v>
      </c>
      <c r="G829" s="24"/>
      <c r="H829" s="24"/>
      <c r="I829" s="24" t="e">
        <f t="shared" si="20"/>
        <v>#DIV/0!</v>
      </c>
    </row>
    <row r="830" spans="1:9" ht="42.75" hidden="1">
      <c r="A830" s="222" t="s">
        <v>825</v>
      </c>
      <c r="B830" s="21"/>
      <c r="C830" s="22" t="s">
        <v>793</v>
      </c>
      <c r="D830" s="22" t="s">
        <v>1013</v>
      </c>
      <c r="E830" s="22" t="s">
        <v>826</v>
      </c>
      <c r="F830" s="23"/>
      <c r="G830" s="24">
        <f>SUM(G831:G831)</f>
        <v>0</v>
      </c>
      <c r="H830" s="24">
        <f>SUM(H831:H831)</f>
        <v>0</v>
      </c>
      <c r="I830" s="24" t="e">
        <f t="shared" si="20"/>
        <v>#DIV/0!</v>
      </c>
    </row>
    <row r="831" spans="1:9" ht="15" hidden="1">
      <c r="A831" s="222" t="s">
        <v>378</v>
      </c>
      <c r="B831" s="21"/>
      <c r="C831" s="22" t="s">
        <v>793</v>
      </c>
      <c r="D831" s="22" t="s">
        <v>1013</v>
      </c>
      <c r="E831" s="22" t="s">
        <v>826</v>
      </c>
      <c r="F831" s="23" t="s">
        <v>379</v>
      </c>
      <c r="G831" s="24"/>
      <c r="H831" s="24"/>
      <c r="I831" s="24" t="e">
        <f t="shared" si="20"/>
        <v>#DIV/0!</v>
      </c>
    </row>
    <row r="832" spans="1:9" ht="42.75" hidden="1">
      <c r="A832" s="222" t="s">
        <v>827</v>
      </c>
      <c r="B832" s="28"/>
      <c r="C832" s="35" t="s">
        <v>793</v>
      </c>
      <c r="D832" s="22" t="s">
        <v>1013</v>
      </c>
      <c r="E832" s="22" t="s">
        <v>828</v>
      </c>
      <c r="F832" s="23"/>
      <c r="G832" s="24">
        <f>SUM(G833)</f>
        <v>0</v>
      </c>
      <c r="H832" s="24">
        <f>SUM(H833)</f>
        <v>0</v>
      </c>
      <c r="I832" s="24" t="e">
        <f t="shared" si="20"/>
        <v>#DIV/0!</v>
      </c>
    </row>
    <row r="833" spans="1:9" ht="15" hidden="1">
      <c r="A833" s="222" t="s">
        <v>378</v>
      </c>
      <c r="B833" s="28"/>
      <c r="C833" s="35" t="s">
        <v>793</v>
      </c>
      <c r="D833" s="22" t="s">
        <v>1013</v>
      </c>
      <c r="E833" s="22" t="s">
        <v>828</v>
      </c>
      <c r="F833" s="23" t="s">
        <v>379</v>
      </c>
      <c r="G833" s="24"/>
      <c r="H833" s="24"/>
      <c r="I833" s="24" t="e">
        <f t="shared" si="20"/>
        <v>#DIV/0!</v>
      </c>
    </row>
    <row r="834" spans="1:9" ht="90" customHeight="1">
      <c r="A834" s="222" t="s">
        <v>831</v>
      </c>
      <c r="B834" s="28"/>
      <c r="C834" s="35" t="s">
        <v>793</v>
      </c>
      <c r="D834" s="22" t="s">
        <v>1013</v>
      </c>
      <c r="E834" s="22" t="s">
        <v>832</v>
      </c>
      <c r="F834" s="23"/>
      <c r="G834" s="24">
        <f>SUM(G835:G836)</f>
        <v>885.8</v>
      </c>
      <c r="H834" s="24">
        <f>SUM(H835)</f>
        <v>634.3</v>
      </c>
      <c r="I834" s="24">
        <f t="shared" si="20"/>
        <v>71.60758636261006</v>
      </c>
    </row>
    <row r="835" spans="1:9" ht="15">
      <c r="A835" s="222" t="s">
        <v>378</v>
      </c>
      <c r="B835" s="28"/>
      <c r="C835" s="35" t="s">
        <v>793</v>
      </c>
      <c r="D835" s="22" t="s">
        <v>1013</v>
      </c>
      <c r="E835" s="22" t="s">
        <v>832</v>
      </c>
      <c r="F835" s="23" t="s">
        <v>379</v>
      </c>
      <c r="G835" s="24">
        <v>873.3</v>
      </c>
      <c r="H835" s="24">
        <v>634.3</v>
      </c>
      <c r="I835" s="24">
        <f t="shared" si="20"/>
        <v>72.63254322684072</v>
      </c>
    </row>
    <row r="836" spans="1:9" ht="15">
      <c r="A836" s="236" t="s">
        <v>1010</v>
      </c>
      <c r="B836" s="28"/>
      <c r="C836" s="35" t="s">
        <v>793</v>
      </c>
      <c r="D836" s="22" t="s">
        <v>1013</v>
      </c>
      <c r="E836" s="22" t="s">
        <v>832</v>
      </c>
      <c r="F836" s="23" t="s">
        <v>1011</v>
      </c>
      <c r="G836" s="24">
        <v>12.5</v>
      </c>
      <c r="H836" s="24"/>
      <c r="I836" s="24"/>
    </row>
    <row r="837" spans="1:9" ht="66" customHeight="1">
      <c r="A837" s="222" t="s">
        <v>909</v>
      </c>
      <c r="B837" s="28"/>
      <c r="C837" s="35" t="s">
        <v>793</v>
      </c>
      <c r="D837" s="22" t="s">
        <v>1013</v>
      </c>
      <c r="E837" s="22" t="s">
        <v>910</v>
      </c>
      <c r="F837" s="23"/>
      <c r="G837" s="24">
        <f>SUM(G838)</f>
        <v>179.6</v>
      </c>
      <c r="H837" s="24">
        <f>SUM(H838)</f>
        <v>542.8</v>
      </c>
      <c r="I837" s="24">
        <f t="shared" si="20"/>
        <v>302.2271714922049</v>
      </c>
    </row>
    <row r="838" spans="1:9" ht="15">
      <c r="A838" s="222" t="s">
        <v>378</v>
      </c>
      <c r="B838" s="28"/>
      <c r="C838" s="35" t="s">
        <v>793</v>
      </c>
      <c r="D838" s="22" t="s">
        <v>1013</v>
      </c>
      <c r="E838" s="22" t="s">
        <v>910</v>
      </c>
      <c r="F838" s="23" t="s">
        <v>379</v>
      </c>
      <c r="G838" s="24">
        <v>179.6</v>
      </c>
      <c r="H838" s="24">
        <v>542.8</v>
      </c>
      <c r="I838" s="24">
        <f t="shared" si="20"/>
        <v>302.2271714922049</v>
      </c>
    </row>
    <row r="839" spans="1:9" ht="36.75" customHeight="1">
      <c r="A839" s="222" t="s">
        <v>672</v>
      </c>
      <c r="B839" s="28"/>
      <c r="C839" s="35" t="s">
        <v>793</v>
      </c>
      <c r="D839" s="22" t="s">
        <v>1013</v>
      </c>
      <c r="E839" s="22" t="s">
        <v>673</v>
      </c>
      <c r="F839" s="23"/>
      <c r="G839" s="24">
        <f>SUM(G840)</f>
        <v>153</v>
      </c>
      <c r="H839" s="24">
        <f>SUM(H840)</f>
        <v>542.8</v>
      </c>
      <c r="I839" s="24">
        <f>SUM(H839/G839*100)</f>
        <v>354.7712418300653</v>
      </c>
    </row>
    <row r="840" spans="1:9" ht="15">
      <c r="A840" s="222" t="s">
        <v>378</v>
      </c>
      <c r="B840" s="28"/>
      <c r="C840" s="35" t="s">
        <v>793</v>
      </c>
      <c r="D840" s="22" t="s">
        <v>1013</v>
      </c>
      <c r="E840" s="22" t="s">
        <v>673</v>
      </c>
      <c r="F840" s="23" t="s">
        <v>379</v>
      </c>
      <c r="G840" s="24">
        <v>153</v>
      </c>
      <c r="H840" s="24">
        <v>542.8</v>
      </c>
      <c r="I840" s="24">
        <f>SUM(H840/G840*100)</f>
        <v>354.7712418300653</v>
      </c>
    </row>
    <row r="841" spans="1:9" s="83" customFormat="1" ht="57">
      <c r="A841" s="224" t="s">
        <v>1220</v>
      </c>
      <c r="B841" s="21"/>
      <c r="C841" s="35" t="s">
        <v>793</v>
      </c>
      <c r="D841" s="22" t="s">
        <v>1013</v>
      </c>
      <c r="E841" s="22" t="s">
        <v>1221</v>
      </c>
      <c r="F841" s="23"/>
      <c r="G841" s="24">
        <f>SUM(G842)</f>
        <v>1994.3</v>
      </c>
      <c r="H841" s="24">
        <f>SUM(H842)</f>
        <v>1313.1</v>
      </c>
      <c r="I841" s="24">
        <f t="shared" si="20"/>
        <v>65.84265155693727</v>
      </c>
    </row>
    <row r="842" spans="1:9" s="83" customFormat="1" ht="15">
      <c r="A842" s="222" t="s">
        <v>378</v>
      </c>
      <c r="B842" s="21"/>
      <c r="C842" s="35" t="s">
        <v>793</v>
      </c>
      <c r="D842" s="22" t="s">
        <v>1013</v>
      </c>
      <c r="E842" s="22" t="s">
        <v>1221</v>
      </c>
      <c r="F842" s="23" t="s">
        <v>379</v>
      </c>
      <c r="G842" s="24">
        <v>1994.3</v>
      </c>
      <c r="H842" s="24">
        <v>1313.1</v>
      </c>
      <c r="I842" s="24">
        <f t="shared" si="20"/>
        <v>65.84265155693727</v>
      </c>
    </row>
    <row r="843" spans="1:9" s="83" customFormat="1" ht="28.5">
      <c r="A843" s="233" t="s">
        <v>1222</v>
      </c>
      <c r="B843" s="21"/>
      <c r="C843" s="35" t="s">
        <v>793</v>
      </c>
      <c r="D843" s="22" t="s">
        <v>1013</v>
      </c>
      <c r="E843" s="22" t="s">
        <v>1223</v>
      </c>
      <c r="F843" s="23"/>
      <c r="G843" s="24">
        <f>SUM(G844)</f>
        <v>10693.4</v>
      </c>
      <c r="H843" s="24">
        <f>SUM(H844)</f>
        <v>6301</v>
      </c>
      <c r="I843" s="24">
        <f t="shared" si="20"/>
        <v>58.92419623319057</v>
      </c>
    </row>
    <row r="844" spans="1:9" s="83" customFormat="1" ht="18" customHeight="1">
      <c r="A844" s="222" t="s">
        <v>378</v>
      </c>
      <c r="B844" s="21"/>
      <c r="C844" s="35" t="s">
        <v>793</v>
      </c>
      <c r="D844" s="22" t="s">
        <v>1013</v>
      </c>
      <c r="E844" s="22" t="s">
        <v>1223</v>
      </c>
      <c r="F844" s="23" t="s">
        <v>379</v>
      </c>
      <c r="G844" s="24">
        <v>10693.4</v>
      </c>
      <c r="H844" s="24">
        <v>6301</v>
      </c>
      <c r="I844" s="24">
        <f t="shared" si="20"/>
        <v>58.92419623319057</v>
      </c>
    </row>
    <row r="845" spans="1:9" s="83" customFormat="1" ht="31.5" customHeight="1">
      <c r="A845" s="222" t="s">
        <v>674</v>
      </c>
      <c r="B845" s="21"/>
      <c r="C845" s="35" t="s">
        <v>793</v>
      </c>
      <c r="D845" s="22" t="s">
        <v>1013</v>
      </c>
      <c r="E845" s="22" t="s">
        <v>675</v>
      </c>
      <c r="F845" s="23"/>
      <c r="G845" s="24">
        <f>SUM(G846)</f>
        <v>56105</v>
      </c>
      <c r="H845" s="24"/>
      <c r="I845" s="24"/>
    </row>
    <row r="846" spans="1:9" s="83" customFormat="1" ht="19.5" customHeight="1">
      <c r="A846" s="222" t="s">
        <v>378</v>
      </c>
      <c r="B846" s="21"/>
      <c r="C846" s="35" t="s">
        <v>793</v>
      </c>
      <c r="D846" s="22" t="s">
        <v>1013</v>
      </c>
      <c r="E846" s="22" t="s">
        <v>675</v>
      </c>
      <c r="F846" s="23" t="s">
        <v>379</v>
      </c>
      <c r="G846" s="24">
        <v>56105</v>
      </c>
      <c r="H846" s="24"/>
      <c r="I846" s="24">
        <f t="shared" si="20"/>
        <v>0</v>
      </c>
    </row>
    <row r="847" spans="1:9" s="83" customFormat="1" ht="65.25" customHeight="1">
      <c r="A847" s="222" t="s">
        <v>299</v>
      </c>
      <c r="B847" s="21"/>
      <c r="C847" s="35" t="s">
        <v>793</v>
      </c>
      <c r="D847" s="22" t="s">
        <v>1013</v>
      </c>
      <c r="E847" s="22" t="s">
        <v>1224</v>
      </c>
      <c r="F847" s="23"/>
      <c r="G847" s="24">
        <f>SUM(G848)</f>
        <v>14453.4</v>
      </c>
      <c r="H847" s="24">
        <f>SUM(H848)</f>
        <v>18786.9</v>
      </c>
      <c r="I847" s="24">
        <f t="shared" si="20"/>
        <v>129.9825646560671</v>
      </c>
    </row>
    <row r="848" spans="1:9" s="83" customFormat="1" ht="19.5" customHeight="1">
      <c r="A848" s="222" t="s">
        <v>378</v>
      </c>
      <c r="B848" s="21"/>
      <c r="C848" s="35" t="s">
        <v>793</v>
      </c>
      <c r="D848" s="22" t="s">
        <v>1013</v>
      </c>
      <c r="E848" s="22" t="s">
        <v>1224</v>
      </c>
      <c r="F848" s="23" t="s">
        <v>379</v>
      </c>
      <c r="G848" s="24">
        <v>14453.4</v>
      </c>
      <c r="H848" s="24">
        <v>18786.9</v>
      </c>
      <c r="I848" s="24">
        <f t="shared" si="20"/>
        <v>129.9825646560671</v>
      </c>
    </row>
    <row r="849" spans="1:9" s="83" customFormat="1" ht="72.75" customHeight="1">
      <c r="A849" s="222" t="s">
        <v>300</v>
      </c>
      <c r="B849" s="21"/>
      <c r="C849" s="35" t="s">
        <v>793</v>
      </c>
      <c r="D849" s="22" t="s">
        <v>1013</v>
      </c>
      <c r="E849" s="22" t="s">
        <v>1225</v>
      </c>
      <c r="F849" s="23"/>
      <c r="G849" s="24">
        <f>SUM(G850)</f>
        <v>4523.1</v>
      </c>
      <c r="H849" s="24">
        <f>SUM(H850)</f>
        <v>15760.4</v>
      </c>
      <c r="I849" s="24">
        <f t="shared" si="20"/>
        <v>348.4424399195242</v>
      </c>
    </row>
    <row r="850" spans="1:9" s="83" customFormat="1" ht="19.5" customHeight="1">
      <c r="A850" s="222" t="s">
        <v>378</v>
      </c>
      <c r="B850" s="21"/>
      <c r="C850" s="35" t="s">
        <v>793</v>
      </c>
      <c r="D850" s="22" t="s">
        <v>1013</v>
      </c>
      <c r="E850" s="22" t="s">
        <v>1225</v>
      </c>
      <c r="F850" s="23" t="s">
        <v>379</v>
      </c>
      <c r="G850" s="24">
        <v>4523.1</v>
      </c>
      <c r="H850" s="24">
        <v>15760.4</v>
      </c>
      <c r="I850" s="24">
        <f t="shared" si="20"/>
        <v>348.4424399195242</v>
      </c>
    </row>
    <row r="851" spans="1:9" s="83" customFormat="1" ht="67.5" customHeight="1">
      <c r="A851" s="222" t="s">
        <v>1276</v>
      </c>
      <c r="B851" s="21"/>
      <c r="C851" s="35" t="s">
        <v>793</v>
      </c>
      <c r="D851" s="22" t="s">
        <v>1013</v>
      </c>
      <c r="E851" s="22" t="s">
        <v>1277</v>
      </c>
      <c r="F851" s="23"/>
      <c r="G851" s="24">
        <f>SUM(G852:G853)</f>
        <v>52972.1</v>
      </c>
      <c r="H851" s="24">
        <f>SUM(H852)</f>
        <v>40636.1</v>
      </c>
      <c r="I851" s="24">
        <f t="shared" si="20"/>
        <v>76.71226928892757</v>
      </c>
    </row>
    <row r="852" spans="1:9" s="83" customFormat="1" ht="21.75" customHeight="1">
      <c r="A852" s="222" t="s">
        <v>378</v>
      </c>
      <c r="B852" s="21"/>
      <c r="C852" s="35" t="s">
        <v>793</v>
      </c>
      <c r="D852" s="22" t="s">
        <v>1013</v>
      </c>
      <c r="E852" s="22" t="s">
        <v>1277</v>
      </c>
      <c r="F852" s="23" t="s">
        <v>379</v>
      </c>
      <c r="G852" s="24">
        <v>52573.9</v>
      </c>
      <c r="H852" s="24">
        <v>40636.1</v>
      </c>
      <c r="I852" s="24">
        <f t="shared" si="20"/>
        <v>77.2932957227826</v>
      </c>
    </row>
    <row r="853" spans="1:9" s="83" customFormat="1" ht="21.75" customHeight="1">
      <c r="A853" s="236" t="s">
        <v>1010</v>
      </c>
      <c r="B853" s="21"/>
      <c r="C853" s="35" t="s">
        <v>793</v>
      </c>
      <c r="D853" s="22" t="s">
        <v>1013</v>
      </c>
      <c r="E853" s="22" t="s">
        <v>1277</v>
      </c>
      <c r="F853" s="23" t="s">
        <v>1011</v>
      </c>
      <c r="G853" s="24">
        <v>398.2</v>
      </c>
      <c r="H853" s="24"/>
      <c r="I853" s="24"/>
    </row>
    <row r="854" spans="1:9" s="83" customFormat="1" ht="37.5" customHeight="1">
      <c r="A854" s="222" t="s">
        <v>1278</v>
      </c>
      <c r="B854" s="21"/>
      <c r="C854" s="35" t="s">
        <v>793</v>
      </c>
      <c r="D854" s="22" t="s">
        <v>1013</v>
      </c>
      <c r="E854" s="22" t="s">
        <v>1279</v>
      </c>
      <c r="F854" s="23"/>
      <c r="G854" s="24">
        <f>SUM(G855)</f>
        <v>4705.1</v>
      </c>
      <c r="H854" s="24">
        <f>SUM(H855)</f>
        <v>191.3</v>
      </c>
      <c r="I854" s="24">
        <f t="shared" si="20"/>
        <v>4.065800939406176</v>
      </c>
    </row>
    <row r="855" spans="1:9" s="83" customFormat="1" ht="19.5" customHeight="1">
      <c r="A855" s="222" t="s">
        <v>378</v>
      </c>
      <c r="B855" s="21"/>
      <c r="C855" s="35" t="s">
        <v>793</v>
      </c>
      <c r="D855" s="22" t="s">
        <v>1013</v>
      </c>
      <c r="E855" s="22" t="s">
        <v>1279</v>
      </c>
      <c r="F855" s="23" t="s">
        <v>379</v>
      </c>
      <c r="G855" s="24">
        <v>4705.1</v>
      </c>
      <c r="H855" s="24">
        <v>191.3</v>
      </c>
      <c r="I855" s="24">
        <f t="shared" si="20"/>
        <v>4.065800939406176</v>
      </c>
    </row>
    <row r="856" spans="1:9" s="83" customFormat="1" ht="48.75" customHeight="1">
      <c r="A856" s="222" t="s">
        <v>1280</v>
      </c>
      <c r="B856" s="21"/>
      <c r="C856" s="35" t="s">
        <v>793</v>
      </c>
      <c r="D856" s="22" t="s">
        <v>1013</v>
      </c>
      <c r="E856" s="22" t="s">
        <v>1281</v>
      </c>
      <c r="F856" s="23"/>
      <c r="G856" s="24">
        <f>SUM(G857:G858)</f>
        <v>5291.2</v>
      </c>
      <c r="H856" s="24">
        <f>SUM(H857)</f>
        <v>4180.7</v>
      </c>
      <c r="I856" s="24">
        <f t="shared" si="20"/>
        <v>79.01232234653764</v>
      </c>
    </row>
    <row r="857" spans="1:9" s="83" customFormat="1" ht="18.75" customHeight="1">
      <c r="A857" s="222" t="s">
        <v>378</v>
      </c>
      <c r="B857" s="21"/>
      <c r="C857" s="35" t="s">
        <v>793</v>
      </c>
      <c r="D857" s="22" t="s">
        <v>1013</v>
      </c>
      <c r="E857" s="22" t="s">
        <v>1281</v>
      </c>
      <c r="F857" s="23" t="s">
        <v>379</v>
      </c>
      <c r="G857" s="24">
        <v>5271.4</v>
      </c>
      <c r="H857" s="24">
        <v>4180.7</v>
      </c>
      <c r="I857" s="24">
        <f t="shared" si="20"/>
        <v>79.30910194635202</v>
      </c>
    </row>
    <row r="858" spans="1:9" s="83" customFormat="1" ht="18" customHeight="1">
      <c r="A858" s="236" t="s">
        <v>1010</v>
      </c>
      <c r="B858" s="21"/>
      <c r="C858" s="35" t="s">
        <v>793</v>
      </c>
      <c r="D858" s="22" t="s">
        <v>1013</v>
      </c>
      <c r="E858" s="22" t="s">
        <v>1281</v>
      </c>
      <c r="F858" s="23" t="s">
        <v>1011</v>
      </c>
      <c r="G858" s="24">
        <v>19.8</v>
      </c>
      <c r="H858" s="24"/>
      <c r="I858" s="24"/>
    </row>
    <row r="859" spans="1:9" s="83" customFormat="1" ht="19.5" customHeight="1" hidden="1">
      <c r="A859" s="222" t="s">
        <v>825</v>
      </c>
      <c r="B859" s="21"/>
      <c r="C859" s="35" t="s">
        <v>793</v>
      </c>
      <c r="D859" s="22" t="s">
        <v>1013</v>
      </c>
      <c r="E859" s="22" t="s">
        <v>1282</v>
      </c>
      <c r="F859" s="23"/>
      <c r="G859" s="24">
        <f>SUM(G860)</f>
        <v>0</v>
      </c>
      <c r="H859" s="24">
        <f>SUM(H860)</f>
        <v>0</v>
      </c>
      <c r="I859" s="24" t="e">
        <f t="shared" si="20"/>
        <v>#DIV/0!</v>
      </c>
    </row>
    <row r="860" spans="1:9" s="83" customFormat="1" ht="19.5" customHeight="1" hidden="1">
      <c r="A860" s="222" t="s">
        <v>378</v>
      </c>
      <c r="B860" s="21"/>
      <c r="C860" s="35" t="s">
        <v>793</v>
      </c>
      <c r="D860" s="22" t="s">
        <v>1013</v>
      </c>
      <c r="E860" s="22" t="s">
        <v>1282</v>
      </c>
      <c r="F860" s="23" t="s">
        <v>379</v>
      </c>
      <c r="G860" s="24"/>
      <c r="H860" s="24"/>
      <c r="I860" s="24" t="e">
        <f t="shared" si="20"/>
        <v>#DIV/0!</v>
      </c>
    </row>
    <row r="861" spans="1:9" s="83" customFormat="1" ht="19.5" customHeight="1" hidden="1">
      <c r="A861" s="222" t="s">
        <v>1283</v>
      </c>
      <c r="B861" s="21"/>
      <c r="C861" s="35" t="s">
        <v>793</v>
      </c>
      <c r="D861" s="22" t="s">
        <v>1013</v>
      </c>
      <c r="E861" s="22" t="s">
        <v>1284</v>
      </c>
      <c r="F861" s="23"/>
      <c r="G861" s="24">
        <f>SUM(G862)</f>
        <v>0</v>
      </c>
      <c r="H861" s="24">
        <f>SUM(H862)</f>
        <v>0</v>
      </c>
      <c r="I861" s="24" t="e">
        <f t="shared" si="20"/>
        <v>#DIV/0!</v>
      </c>
    </row>
    <row r="862" spans="1:9" s="83" customFormat="1" ht="19.5" customHeight="1" hidden="1">
      <c r="A862" s="222" t="s">
        <v>378</v>
      </c>
      <c r="B862" s="21"/>
      <c r="C862" s="35" t="s">
        <v>793</v>
      </c>
      <c r="D862" s="22" t="s">
        <v>1013</v>
      </c>
      <c r="E862" s="22" t="s">
        <v>1284</v>
      </c>
      <c r="F862" s="23" t="s">
        <v>379</v>
      </c>
      <c r="G862" s="24"/>
      <c r="H862" s="24"/>
      <c r="I862" s="24" t="e">
        <f t="shared" si="20"/>
        <v>#DIV/0!</v>
      </c>
    </row>
    <row r="863" spans="1:9" ht="18" customHeight="1">
      <c r="A863" s="238" t="s">
        <v>1285</v>
      </c>
      <c r="B863" s="71"/>
      <c r="C863" s="52" t="s">
        <v>793</v>
      </c>
      <c r="D863" s="52" t="s">
        <v>1013</v>
      </c>
      <c r="E863" s="52" t="s">
        <v>1286</v>
      </c>
      <c r="F863" s="27"/>
      <c r="G863" s="24">
        <f>SUM(G864)</f>
        <v>12819.8</v>
      </c>
      <c r="H863" s="24">
        <f>SUM(H864)</f>
        <v>16724.6</v>
      </c>
      <c r="I863" s="24">
        <f t="shared" si="20"/>
        <v>130.45913352782415</v>
      </c>
    </row>
    <row r="864" spans="1:9" ht="16.5" customHeight="1">
      <c r="A864" s="222" t="s">
        <v>378</v>
      </c>
      <c r="B864" s="71"/>
      <c r="C864" s="52" t="s">
        <v>793</v>
      </c>
      <c r="D864" s="52" t="s">
        <v>1013</v>
      </c>
      <c r="E864" s="52" t="s">
        <v>1286</v>
      </c>
      <c r="F864" s="27" t="s">
        <v>379</v>
      </c>
      <c r="G864" s="24">
        <v>12819.8</v>
      </c>
      <c r="H864" s="24">
        <v>16724.6</v>
      </c>
      <c r="I864" s="24">
        <f t="shared" si="20"/>
        <v>130.45913352782415</v>
      </c>
    </row>
    <row r="865" spans="1:9" ht="35.25" customHeight="1">
      <c r="A865" s="222" t="s">
        <v>1287</v>
      </c>
      <c r="B865" s="71"/>
      <c r="C865" s="52" t="s">
        <v>793</v>
      </c>
      <c r="D865" s="52" t="s">
        <v>1013</v>
      </c>
      <c r="E865" s="52" t="s">
        <v>1288</v>
      </c>
      <c r="F865" s="27"/>
      <c r="G865" s="24">
        <f>SUM(G866)</f>
        <v>6110.6</v>
      </c>
      <c r="H865" s="24">
        <f>SUM(H866)</f>
        <v>4118.3</v>
      </c>
      <c r="I865" s="24">
        <f t="shared" si="20"/>
        <v>67.39600039276013</v>
      </c>
    </row>
    <row r="866" spans="1:9" ht="15.75" customHeight="1">
      <c r="A866" s="222" t="s">
        <v>378</v>
      </c>
      <c r="B866" s="71"/>
      <c r="C866" s="52" t="s">
        <v>793</v>
      </c>
      <c r="D866" s="52" t="s">
        <v>1013</v>
      </c>
      <c r="E866" s="52" t="s">
        <v>1288</v>
      </c>
      <c r="F866" s="27" t="s">
        <v>379</v>
      </c>
      <c r="G866" s="24">
        <v>6110.6</v>
      </c>
      <c r="H866" s="24">
        <v>4118.3</v>
      </c>
      <c r="I866" s="24">
        <f t="shared" si="20"/>
        <v>67.39600039276013</v>
      </c>
    </row>
    <row r="867" spans="1:9" ht="48.75" customHeight="1">
      <c r="A867" s="224" t="s">
        <v>333</v>
      </c>
      <c r="B867" s="21"/>
      <c r="C867" s="35" t="s">
        <v>793</v>
      </c>
      <c r="D867" s="35" t="s">
        <v>1013</v>
      </c>
      <c r="E867" s="35" t="s">
        <v>334</v>
      </c>
      <c r="F867" s="26"/>
      <c r="G867" s="24">
        <f>SUM(G868)</f>
        <v>115.7</v>
      </c>
      <c r="H867" s="24">
        <f>SUM(H868)</f>
        <v>12.8</v>
      </c>
      <c r="I867" s="24">
        <f t="shared" si="20"/>
        <v>11.063094209161624</v>
      </c>
    </row>
    <row r="868" spans="1:9" ht="19.5" customHeight="1">
      <c r="A868" s="222" t="s">
        <v>378</v>
      </c>
      <c r="B868" s="21"/>
      <c r="C868" s="35" t="s">
        <v>793</v>
      </c>
      <c r="D868" s="35" t="s">
        <v>1013</v>
      </c>
      <c r="E868" s="35" t="s">
        <v>334</v>
      </c>
      <c r="F868" s="26" t="s">
        <v>379</v>
      </c>
      <c r="G868" s="24">
        <v>115.7</v>
      </c>
      <c r="H868" s="24">
        <v>12.8</v>
      </c>
      <c r="I868" s="24">
        <f t="shared" si="20"/>
        <v>11.063094209161624</v>
      </c>
    </row>
    <row r="869" spans="1:9" ht="28.5" customHeight="1">
      <c r="A869" s="233" t="s">
        <v>335</v>
      </c>
      <c r="B869" s="21"/>
      <c r="C869" s="35" t="s">
        <v>793</v>
      </c>
      <c r="D869" s="35" t="s">
        <v>1013</v>
      </c>
      <c r="E869" s="35" t="s">
        <v>336</v>
      </c>
      <c r="F869" s="26"/>
      <c r="G869" s="24">
        <f>SUM(G870:G871)</f>
        <v>134736.19999999998</v>
      </c>
      <c r="H869" s="24">
        <f>SUM(H870)</f>
        <v>90050.4</v>
      </c>
      <c r="I869" s="24">
        <f t="shared" si="20"/>
        <v>66.83459975863948</v>
      </c>
    </row>
    <row r="870" spans="1:9" ht="19.5" customHeight="1">
      <c r="A870" s="222" t="s">
        <v>378</v>
      </c>
      <c r="B870" s="34"/>
      <c r="C870" s="35" t="s">
        <v>793</v>
      </c>
      <c r="D870" s="35" t="s">
        <v>1013</v>
      </c>
      <c r="E870" s="35" t="s">
        <v>336</v>
      </c>
      <c r="F870" s="26" t="s">
        <v>379</v>
      </c>
      <c r="G870" s="24">
        <v>134246.9</v>
      </c>
      <c r="H870" s="24">
        <v>90050.4</v>
      </c>
      <c r="I870" s="24">
        <f t="shared" si="20"/>
        <v>67.07819696395224</v>
      </c>
    </row>
    <row r="871" spans="1:9" ht="19.5" customHeight="1">
      <c r="A871" s="236" t="s">
        <v>1010</v>
      </c>
      <c r="B871" s="34"/>
      <c r="C871" s="35" t="s">
        <v>793</v>
      </c>
      <c r="D871" s="35" t="s">
        <v>1013</v>
      </c>
      <c r="E871" s="35" t="s">
        <v>336</v>
      </c>
      <c r="F871" s="26" t="s">
        <v>1011</v>
      </c>
      <c r="G871" s="24">
        <v>489.3</v>
      </c>
      <c r="H871" s="24"/>
      <c r="I871" s="24"/>
    </row>
    <row r="872" spans="1:9" ht="33.75" customHeight="1">
      <c r="A872" s="222" t="s">
        <v>337</v>
      </c>
      <c r="B872" s="21"/>
      <c r="C872" s="35" t="s">
        <v>793</v>
      </c>
      <c r="D872" s="35" t="s">
        <v>1013</v>
      </c>
      <c r="E872" s="35" t="s">
        <v>338</v>
      </c>
      <c r="F872" s="26"/>
      <c r="G872" s="24">
        <f>SUM(G873)</f>
        <v>83492.9</v>
      </c>
      <c r="H872" s="24">
        <f>SUM(H873)</f>
        <v>56493.7</v>
      </c>
      <c r="I872" s="24">
        <f t="shared" si="20"/>
        <v>67.66287911906282</v>
      </c>
    </row>
    <row r="873" spans="1:9" ht="18" customHeight="1">
      <c r="A873" s="222" t="s">
        <v>378</v>
      </c>
      <c r="B873" s="21"/>
      <c r="C873" s="35" t="s">
        <v>793</v>
      </c>
      <c r="D873" s="35" t="s">
        <v>1013</v>
      </c>
      <c r="E873" s="35" t="s">
        <v>338</v>
      </c>
      <c r="F873" s="26" t="s">
        <v>379</v>
      </c>
      <c r="G873" s="24">
        <v>83492.9</v>
      </c>
      <c r="H873" s="24">
        <v>56493.7</v>
      </c>
      <c r="I873" s="24">
        <f t="shared" si="20"/>
        <v>67.66287911906282</v>
      </c>
    </row>
    <row r="874" spans="1:9" ht="28.5" customHeight="1">
      <c r="A874" s="222" t="s">
        <v>341</v>
      </c>
      <c r="B874" s="21"/>
      <c r="C874" s="35" t="s">
        <v>793</v>
      </c>
      <c r="D874" s="35" t="s">
        <v>1013</v>
      </c>
      <c r="E874" s="35" t="s">
        <v>342</v>
      </c>
      <c r="F874" s="26"/>
      <c r="G874" s="24">
        <f>SUM(G875+G879+G881+G883+G885+G896+G894+G889+G900+G877+G892)</f>
        <v>230625.30000000002</v>
      </c>
      <c r="H874" s="24">
        <f>SUM(H875+H879+H881+H883+H885+H896+H894+H889+H900)</f>
        <v>182903.19999999998</v>
      </c>
      <c r="I874" s="24">
        <f aca="true" t="shared" si="23" ref="I874:I940">SUM(H874/G874*100)</f>
        <v>79.30751743195563</v>
      </c>
    </row>
    <row r="875" spans="1:9" ht="29.25" customHeight="1">
      <c r="A875" s="224" t="s">
        <v>588</v>
      </c>
      <c r="B875" s="21"/>
      <c r="C875" s="35" t="s">
        <v>793</v>
      </c>
      <c r="D875" s="35" t="s">
        <v>1013</v>
      </c>
      <c r="E875" s="35" t="s">
        <v>589</v>
      </c>
      <c r="F875" s="26"/>
      <c r="G875" s="24">
        <f>SUM(G876)</f>
        <v>50197</v>
      </c>
      <c r="H875" s="24">
        <f>SUM(H876)</f>
        <v>37224.7</v>
      </c>
      <c r="I875" s="24">
        <f t="shared" si="23"/>
        <v>74.15722055102893</v>
      </c>
    </row>
    <row r="876" spans="1:9" ht="18" customHeight="1">
      <c r="A876" s="222" t="s">
        <v>378</v>
      </c>
      <c r="B876" s="21"/>
      <c r="C876" s="35" t="s">
        <v>793</v>
      </c>
      <c r="D876" s="35" t="s">
        <v>1013</v>
      </c>
      <c r="E876" s="35" t="s">
        <v>589</v>
      </c>
      <c r="F876" s="26" t="s">
        <v>379</v>
      </c>
      <c r="G876" s="24">
        <v>50197</v>
      </c>
      <c r="H876" s="24">
        <v>37224.7</v>
      </c>
      <c r="I876" s="24">
        <f t="shared" si="23"/>
        <v>74.15722055102893</v>
      </c>
    </row>
    <row r="877" spans="1:9" ht="71.25">
      <c r="A877" s="222" t="s">
        <v>676</v>
      </c>
      <c r="B877" s="28"/>
      <c r="C877" s="35" t="s">
        <v>793</v>
      </c>
      <c r="D877" s="22" t="s">
        <v>1013</v>
      </c>
      <c r="E877" s="35" t="s">
        <v>677</v>
      </c>
      <c r="F877" s="23"/>
      <c r="G877" s="24">
        <f>SUM(G878)</f>
        <v>19493</v>
      </c>
      <c r="H877" s="24"/>
      <c r="I877" s="24">
        <f t="shared" si="23"/>
        <v>0</v>
      </c>
    </row>
    <row r="878" spans="1:9" ht="15">
      <c r="A878" s="222" t="s">
        <v>378</v>
      </c>
      <c r="B878" s="28"/>
      <c r="C878" s="35" t="s">
        <v>793</v>
      </c>
      <c r="D878" s="22" t="s">
        <v>1013</v>
      </c>
      <c r="E878" s="35" t="s">
        <v>677</v>
      </c>
      <c r="F878" s="23" t="s">
        <v>379</v>
      </c>
      <c r="G878" s="24">
        <v>19493</v>
      </c>
      <c r="H878" s="24"/>
      <c r="I878" s="24">
        <f t="shared" si="23"/>
        <v>0</v>
      </c>
    </row>
    <row r="879" spans="1:9" ht="71.25">
      <c r="A879" s="240" t="s">
        <v>1228</v>
      </c>
      <c r="B879" s="28"/>
      <c r="C879" s="35" t="s">
        <v>793</v>
      </c>
      <c r="D879" s="22" t="s">
        <v>1013</v>
      </c>
      <c r="E879" s="35" t="s">
        <v>590</v>
      </c>
      <c r="F879" s="23"/>
      <c r="G879" s="24">
        <f>SUM(G880)</f>
        <v>18167</v>
      </c>
      <c r="H879" s="24">
        <f>SUM(H880)</f>
        <v>29554</v>
      </c>
      <c r="I879" s="24">
        <f t="shared" si="23"/>
        <v>162.6795838608466</v>
      </c>
    </row>
    <row r="880" spans="1:9" ht="15">
      <c r="A880" s="222" t="s">
        <v>378</v>
      </c>
      <c r="B880" s="28"/>
      <c r="C880" s="35" t="s">
        <v>793</v>
      </c>
      <c r="D880" s="22" t="s">
        <v>1013</v>
      </c>
      <c r="E880" s="35" t="s">
        <v>590</v>
      </c>
      <c r="F880" s="23" t="s">
        <v>379</v>
      </c>
      <c r="G880" s="24">
        <v>18167</v>
      </c>
      <c r="H880" s="24">
        <v>29554</v>
      </c>
      <c r="I880" s="24">
        <f t="shared" si="23"/>
        <v>162.6795838608466</v>
      </c>
    </row>
    <row r="881" spans="1:9" ht="71.25">
      <c r="A881" s="240" t="s">
        <v>275</v>
      </c>
      <c r="B881" s="28"/>
      <c r="C881" s="35" t="s">
        <v>793</v>
      </c>
      <c r="D881" s="22" t="s">
        <v>1013</v>
      </c>
      <c r="E881" s="35" t="s">
        <v>591</v>
      </c>
      <c r="F881" s="23"/>
      <c r="G881" s="24">
        <f>SUM(G882)</f>
        <v>8964.7</v>
      </c>
      <c r="H881" s="24">
        <f>SUM(H882)</f>
        <v>37911</v>
      </c>
      <c r="I881" s="24">
        <f t="shared" si="23"/>
        <v>422.8920097716599</v>
      </c>
    </row>
    <row r="882" spans="1:9" ht="15">
      <c r="A882" s="222" t="s">
        <v>378</v>
      </c>
      <c r="B882" s="28"/>
      <c r="C882" s="35" t="s">
        <v>793</v>
      </c>
      <c r="D882" s="22" t="s">
        <v>1013</v>
      </c>
      <c r="E882" s="35" t="s">
        <v>591</v>
      </c>
      <c r="F882" s="23" t="s">
        <v>379</v>
      </c>
      <c r="G882" s="24">
        <v>8964.7</v>
      </c>
      <c r="H882" s="24">
        <v>37911</v>
      </c>
      <c r="I882" s="24">
        <f t="shared" si="23"/>
        <v>422.8920097716599</v>
      </c>
    </row>
    <row r="883" spans="1:9" ht="57" hidden="1">
      <c r="A883" s="222" t="s">
        <v>276</v>
      </c>
      <c r="B883" s="28"/>
      <c r="C883" s="35" t="s">
        <v>793</v>
      </c>
      <c r="D883" s="22" t="s">
        <v>1013</v>
      </c>
      <c r="E883" s="35" t="s">
        <v>590</v>
      </c>
      <c r="F883" s="23"/>
      <c r="G883" s="24">
        <f>SUM(G884)</f>
        <v>0</v>
      </c>
      <c r="H883" s="24">
        <f>SUM(H884)</f>
        <v>0</v>
      </c>
      <c r="I883" s="24" t="e">
        <f t="shared" si="23"/>
        <v>#DIV/0!</v>
      </c>
    </row>
    <row r="884" spans="1:9" ht="15" hidden="1">
      <c r="A884" s="222" t="s">
        <v>378</v>
      </c>
      <c r="B884" s="28"/>
      <c r="C884" s="35" t="s">
        <v>793</v>
      </c>
      <c r="D884" s="22" t="s">
        <v>1013</v>
      </c>
      <c r="E884" s="35" t="s">
        <v>590</v>
      </c>
      <c r="F884" s="23" t="s">
        <v>379</v>
      </c>
      <c r="G884" s="24"/>
      <c r="H884" s="24"/>
      <c r="I884" s="24" t="e">
        <f t="shared" si="23"/>
        <v>#DIV/0!</v>
      </c>
    </row>
    <row r="885" spans="1:9" ht="57" hidden="1">
      <c r="A885" s="222" t="s">
        <v>277</v>
      </c>
      <c r="B885" s="28"/>
      <c r="C885" s="35" t="s">
        <v>793</v>
      </c>
      <c r="D885" s="22" t="s">
        <v>1013</v>
      </c>
      <c r="E885" s="35" t="s">
        <v>591</v>
      </c>
      <c r="F885" s="23"/>
      <c r="G885" s="24">
        <f>SUM(G886)</f>
        <v>0</v>
      </c>
      <c r="H885" s="24">
        <f>SUM(H886)</f>
        <v>0</v>
      </c>
      <c r="I885" s="24" t="e">
        <f t="shared" si="23"/>
        <v>#DIV/0!</v>
      </c>
    </row>
    <row r="886" spans="1:9" ht="15" hidden="1">
      <c r="A886" s="222" t="s">
        <v>378</v>
      </c>
      <c r="B886" s="28"/>
      <c r="C886" s="35" t="s">
        <v>793</v>
      </c>
      <c r="D886" s="22" t="s">
        <v>1013</v>
      </c>
      <c r="E886" s="35" t="s">
        <v>591</v>
      </c>
      <c r="F886" s="23" t="s">
        <v>379</v>
      </c>
      <c r="G886" s="24"/>
      <c r="H886" s="24"/>
      <c r="I886" s="24" t="e">
        <f t="shared" si="23"/>
        <v>#DIV/0!</v>
      </c>
    </row>
    <row r="887" spans="1:9" ht="42.75" hidden="1">
      <c r="A887" s="224" t="s">
        <v>592</v>
      </c>
      <c r="B887" s="21"/>
      <c r="C887" s="35" t="s">
        <v>793</v>
      </c>
      <c r="D887" s="35" t="s">
        <v>1013</v>
      </c>
      <c r="E887" s="35" t="s">
        <v>593</v>
      </c>
      <c r="F887" s="26"/>
      <c r="G887" s="24">
        <f>SUM(G888)</f>
        <v>8082.5</v>
      </c>
      <c r="H887" s="24">
        <f>SUM(H888)</f>
        <v>8082.5</v>
      </c>
      <c r="I887" s="24">
        <f t="shared" si="23"/>
        <v>100</v>
      </c>
    </row>
    <row r="888" spans="1:9" ht="15" hidden="1">
      <c r="A888" s="222" t="s">
        <v>378</v>
      </c>
      <c r="B888" s="21"/>
      <c r="C888" s="35" t="s">
        <v>793</v>
      </c>
      <c r="D888" s="35" t="s">
        <v>1013</v>
      </c>
      <c r="E888" s="35" t="s">
        <v>593</v>
      </c>
      <c r="F888" s="26" t="s">
        <v>379</v>
      </c>
      <c r="G888" s="24">
        <v>8082.5</v>
      </c>
      <c r="H888" s="24">
        <v>8082.5</v>
      </c>
      <c r="I888" s="24">
        <f t="shared" si="23"/>
        <v>100</v>
      </c>
    </row>
    <row r="889" spans="1:9" ht="71.25">
      <c r="A889" s="222" t="s">
        <v>278</v>
      </c>
      <c r="B889" s="21"/>
      <c r="C889" s="35" t="s">
        <v>793</v>
      </c>
      <c r="D889" s="35" t="s">
        <v>1013</v>
      </c>
      <c r="E889" s="35" t="s">
        <v>597</v>
      </c>
      <c r="F889" s="26"/>
      <c r="G889" s="24">
        <f>SUM(G890:G891)</f>
        <v>122932.6</v>
      </c>
      <c r="H889" s="24">
        <f>SUM(H890)</f>
        <v>70381.4</v>
      </c>
      <c r="I889" s="24">
        <f t="shared" si="23"/>
        <v>57.25202265306354</v>
      </c>
    </row>
    <row r="890" spans="1:9" ht="15">
      <c r="A890" s="222" t="s">
        <v>378</v>
      </c>
      <c r="B890" s="21"/>
      <c r="C890" s="35" t="s">
        <v>793</v>
      </c>
      <c r="D890" s="22" t="s">
        <v>1013</v>
      </c>
      <c r="E890" s="35" t="s">
        <v>597</v>
      </c>
      <c r="F890" s="23" t="s">
        <v>379</v>
      </c>
      <c r="G890" s="24">
        <v>122109.8</v>
      </c>
      <c r="H890" s="24">
        <v>70381.4</v>
      </c>
      <c r="I890" s="24">
        <f t="shared" si="23"/>
        <v>57.63779811284597</v>
      </c>
    </row>
    <row r="891" spans="1:9" ht="15">
      <c r="A891" s="236" t="s">
        <v>1010</v>
      </c>
      <c r="B891" s="21"/>
      <c r="C891" s="35" t="s">
        <v>793</v>
      </c>
      <c r="D891" s="22" t="s">
        <v>1013</v>
      </c>
      <c r="E891" s="35" t="s">
        <v>597</v>
      </c>
      <c r="F891" s="23" t="s">
        <v>1011</v>
      </c>
      <c r="G891" s="24">
        <v>822.8</v>
      </c>
      <c r="H891" s="24"/>
      <c r="I891" s="24"/>
    </row>
    <row r="892" spans="1:9" ht="42.75">
      <c r="A892" s="236" t="s">
        <v>678</v>
      </c>
      <c r="B892" s="21"/>
      <c r="C892" s="35" t="s">
        <v>793</v>
      </c>
      <c r="D892" s="35" t="s">
        <v>1013</v>
      </c>
      <c r="E892" s="35" t="s">
        <v>679</v>
      </c>
      <c r="F892" s="23"/>
      <c r="G892" s="24">
        <f>SUM(G893)</f>
        <v>1172</v>
      </c>
      <c r="H892" s="24"/>
      <c r="I892" s="24"/>
    </row>
    <row r="893" spans="1:9" ht="15">
      <c r="A893" s="222" t="s">
        <v>378</v>
      </c>
      <c r="B893" s="21"/>
      <c r="C893" s="35" t="s">
        <v>793</v>
      </c>
      <c r="D893" s="35" t="s">
        <v>1013</v>
      </c>
      <c r="E893" s="35" t="s">
        <v>679</v>
      </c>
      <c r="F893" s="23" t="s">
        <v>379</v>
      </c>
      <c r="G893" s="24">
        <v>1172</v>
      </c>
      <c r="H893" s="24"/>
      <c r="I893" s="24"/>
    </row>
    <row r="894" spans="1:9" ht="79.5" customHeight="1">
      <c r="A894" s="224" t="s">
        <v>358</v>
      </c>
      <c r="B894" s="21"/>
      <c r="C894" s="35" t="s">
        <v>793</v>
      </c>
      <c r="D894" s="35" t="s">
        <v>1013</v>
      </c>
      <c r="E894" s="35" t="s">
        <v>598</v>
      </c>
      <c r="F894" s="26"/>
      <c r="G894" s="24">
        <f>SUM(G895)</f>
        <v>845</v>
      </c>
      <c r="H894" s="24">
        <f>SUM(H895)</f>
        <v>1365.8</v>
      </c>
      <c r="I894" s="24">
        <f t="shared" si="23"/>
        <v>161.63313609467457</v>
      </c>
    </row>
    <row r="895" spans="1:9" ht="15">
      <c r="A895" s="222" t="s">
        <v>378</v>
      </c>
      <c r="B895" s="21"/>
      <c r="C895" s="35" t="s">
        <v>793</v>
      </c>
      <c r="D895" s="35" t="s">
        <v>1013</v>
      </c>
      <c r="E895" s="35" t="s">
        <v>598</v>
      </c>
      <c r="F895" s="26" t="s">
        <v>379</v>
      </c>
      <c r="G895" s="24">
        <v>845</v>
      </c>
      <c r="H895" s="24">
        <v>1365.8</v>
      </c>
      <c r="I895" s="24">
        <f t="shared" si="23"/>
        <v>161.63313609467457</v>
      </c>
    </row>
    <row r="896" spans="1:9" ht="85.5">
      <c r="A896" s="224" t="s">
        <v>1229</v>
      </c>
      <c r="B896" s="21"/>
      <c r="C896" s="35" t="s">
        <v>793</v>
      </c>
      <c r="D896" s="35" t="s">
        <v>1013</v>
      </c>
      <c r="E896" s="35" t="s">
        <v>599</v>
      </c>
      <c r="F896" s="26"/>
      <c r="G896" s="24">
        <f>SUM(G897)</f>
        <v>303.8</v>
      </c>
      <c r="H896" s="24">
        <f>SUM(H897)</f>
        <v>1324.9</v>
      </c>
      <c r="I896" s="24">
        <f t="shared" si="23"/>
        <v>436.1092824226465</v>
      </c>
    </row>
    <row r="897" spans="1:9" ht="15">
      <c r="A897" s="222" t="s">
        <v>378</v>
      </c>
      <c r="B897" s="21"/>
      <c r="C897" s="35" t="s">
        <v>793</v>
      </c>
      <c r="D897" s="35" t="s">
        <v>1013</v>
      </c>
      <c r="E897" s="35" t="s">
        <v>599</v>
      </c>
      <c r="F897" s="26" t="s">
        <v>379</v>
      </c>
      <c r="G897" s="24">
        <v>303.8</v>
      </c>
      <c r="H897" s="24">
        <v>1324.9</v>
      </c>
      <c r="I897" s="24">
        <f t="shared" si="23"/>
        <v>436.1092824226465</v>
      </c>
    </row>
    <row r="898" spans="1:9" ht="19.5" customHeight="1" hidden="1">
      <c r="A898" s="228" t="s">
        <v>1287</v>
      </c>
      <c r="B898" s="34"/>
      <c r="C898" s="35" t="s">
        <v>793</v>
      </c>
      <c r="D898" s="35" t="s">
        <v>1013</v>
      </c>
      <c r="E898" s="35" t="s">
        <v>600</v>
      </c>
      <c r="F898" s="26"/>
      <c r="G898" s="24">
        <f>SUM(G899)</f>
        <v>0</v>
      </c>
      <c r="H898" s="24">
        <f>SUM(H899)</f>
        <v>0</v>
      </c>
      <c r="I898" s="24" t="e">
        <f t="shared" si="23"/>
        <v>#DIV/0!</v>
      </c>
    </row>
    <row r="899" spans="1:9" ht="19.5" customHeight="1" hidden="1">
      <c r="A899" s="228" t="s">
        <v>378</v>
      </c>
      <c r="B899" s="34"/>
      <c r="C899" s="35" t="s">
        <v>793</v>
      </c>
      <c r="D899" s="35" t="s">
        <v>1013</v>
      </c>
      <c r="E899" s="35" t="s">
        <v>600</v>
      </c>
      <c r="F899" s="26" t="s">
        <v>379</v>
      </c>
      <c r="G899" s="24"/>
      <c r="H899" s="24"/>
      <c r="I899" s="24" t="e">
        <f t="shared" si="23"/>
        <v>#DIV/0!</v>
      </c>
    </row>
    <row r="900" spans="1:9" ht="99" customHeight="1">
      <c r="A900" s="228" t="s">
        <v>1182</v>
      </c>
      <c r="B900" s="34"/>
      <c r="C900" s="35" t="s">
        <v>793</v>
      </c>
      <c r="D900" s="35" t="s">
        <v>1013</v>
      </c>
      <c r="E900" s="35" t="s">
        <v>1183</v>
      </c>
      <c r="F900" s="26"/>
      <c r="G900" s="24">
        <f>SUM(G901:G902)</f>
        <v>8550.2</v>
      </c>
      <c r="H900" s="24">
        <f>SUM(H901)</f>
        <v>5141.4</v>
      </c>
      <c r="I900" s="24">
        <f t="shared" si="23"/>
        <v>60.13192673855582</v>
      </c>
    </row>
    <row r="901" spans="1:9" ht="18" customHeight="1">
      <c r="A901" s="222" t="s">
        <v>378</v>
      </c>
      <c r="B901" s="21"/>
      <c r="C901" s="35" t="s">
        <v>793</v>
      </c>
      <c r="D901" s="22" t="s">
        <v>1013</v>
      </c>
      <c r="E901" s="35" t="s">
        <v>1183</v>
      </c>
      <c r="F901" s="23" t="s">
        <v>379</v>
      </c>
      <c r="G901" s="24">
        <v>8505.5</v>
      </c>
      <c r="H901" s="24">
        <v>5141.4</v>
      </c>
      <c r="I901" s="24">
        <f t="shared" si="23"/>
        <v>60.44794544706365</v>
      </c>
    </row>
    <row r="902" spans="1:9" ht="18" customHeight="1">
      <c r="A902" s="236" t="s">
        <v>1010</v>
      </c>
      <c r="B902" s="21"/>
      <c r="C902" s="35" t="s">
        <v>793</v>
      </c>
      <c r="D902" s="22" t="s">
        <v>1013</v>
      </c>
      <c r="E902" s="35" t="s">
        <v>1183</v>
      </c>
      <c r="F902" s="23" t="s">
        <v>1011</v>
      </c>
      <c r="G902" s="24">
        <v>44.7</v>
      </c>
      <c r="H902" s="24"/>
      <c r="I902" s="24"/>
    </row>
    <row r="903" spans="1:9" ht="32.25" customHeight="1">
      <c r="A903" s="222" t="s">
        <v>1186</v>
      </c>
      <c r="B903" s="21"/>
      <c r="C903" s="35" t="s">
        <v>793</v>
      </c>
      <c r="D903" s="22" t="s">
        <v>1013</v>
      </c>
      <c r="E903" s="22" t="s">
        <v>1187</v>
      </c>
      <c r="F903" s="26"/>
      <c r="G903" s="24">
        <f>SUM(G904)</f>
        <v>1952.1</v>
      </c>
      <c r="H903" s="24">
        <f>SUM(H904)</f>
        <v>927.6</v>
      </c>
      <c r="I903" s="24">
        <f t="shared" si="23"/>
        <v>47.518057476563705</v>
      </c>
    </row>
    <row r="904" spans="1:9" ht="15" customHeight="1">
      <c r="A904" s="228" t="s">
        <v>1188</v>
      </c>
      <c r="B904" s="21"/>
      <c r="C904" s="35" t="s">
        <v>793</v>
      </c>
      <c r="D904" s="22" t="s">
        <v>1013</v>
      </c>
      <c r="E904" s="22" t="s">
        <v>1189</v>
      </c>
      <c r="F904" s="26"/>
      <c r="G904" s="24">
        <f>SUM(G905:G905)</f>
        <v>1952.1</v>
      </c>
      <c r="H904" s="24">
        <f>SUM(H905:H905)</f>
        <v>927.6</v>
      </c>
      <c r="I904" s="24">
        <f t="shared" si="23"/>
        <v>47.518057476563705</v>
      </c>
    </row>
    <row r="905" spans="1:9" ht="15" customHeight="1">
      <c r="A905" s="222" t="s">
        <v>378</v>
      </c>
      <c r="B905" s="21"/>
      <c r="C905" s="35" t="s">
        <v>793</v>
      </c>
      <c r="D905" s="22" t="s">
        <v>1013</v>
      </c>
      <c r="E905" s="22" t="s">
        <v>1189</v>
      </c>
      <c r="F905" s="26" t="s">
        <v>379</v>
      </c>
      <c r="G905" s="24">
        <v>1952.1</v>
      </c>
      <c r="H905" s="24">
        <v>927.6</v>
      </c>
      <c r="I905" s="24">
        <f t="shared" si="23"/>
        <v>47.518057476563705</v>
      </c>
    </row>
    <row r="906" spans="1:9" ht="15">
      <c r="A906" s="234" t="s">
        <v>1046</v>
      </c>
      <c r="B906" s="21"/>
      <c r="C906" s="35" t="s">
        <v>793</v>
      </c>
      <c r="D906" s="35" t="s">
        <v>1013</v>
      </c>
      <c r="E906" s="35" t="s">
        <v>1047</v>
      </c>
      <c r="F906" s="26"/>
      <c r="G906" s="24">
        <f>SUM(G907+G909)</f>
        <v>11406.5</v>
      </c>
      <c r="H906" s="24">
        <f>SUM(H907)</f>
        <v>3319.1</v>
      </c>
      <c r="I906" s="24">
        <f t="shared" si="23"/>
        <v>29.098321132687506</v>
      </c>
    </row>
    <row r="907" spans="1:9" ht="42.75">
      <c r="A907" s="234" t="s">
        <v>1181</v>
      </c>
      <c r="B907" s="21"/>
      <c r="C907" s="35" t="s">
        <v>793</v>
      </c>
      <c r="D907" s="35" t="s">
        <v>1013</v>
      </c>
      <c r="E907" s="35" t="s">
        <v>247</v>
      </c>
      <c r="F907" s="26"/>
      <c r="G907" s="24">
        <f>SUM(G908)</f>
        <v>4206.5</v>
      </c>
      <c r="H907" s="24">
        <f>SUM(H908)</f>
        <v>3319.1</v>
      </c>
      <c r="I907" s="24">
        <f t="shared" si="23"/>
        <v>78.90407702365387</v>
      </c>
    </row>
    <row r="908" spans="1:9" ht="18" customHeight="1">
      <c r="A908" s="222" t="s">
        <v>1188</v>
      </c>
      <c r="B908" s="51"/>
      <c r="C908" s="35" t="s">
        <v>793</v>
      </c>
      <c r="D908" s="35" t="s">
        <v>1013</v>
      </c>
      <c r="E908" s="35" t="s">
        <v>247</v>
      </c>
      <c r="F908" s="27" t="s">
        <v>248</v>
      </c>
      <c r="G908" s="24">
        <v>4206.5</v>
      </c>
      <c r="H908" s="24">
        <v>3319.1</v>
      </c>
      <c r="I908" s="24">
        <f t="shared" si="23"/>
        <v>78.90407702365387</v>
      </c>
    </row>
    <row r="909" spans="1:9" s="36" customFormat="1" ht="42.75">
      <c r="A909" s="228" t="s">
        <v>1121</v>
      </c>
      <c r="B909" s="34"/>
      <c r="C909" s="35" t="s">
        <v>793</v>
      </c>
      <c r="D909" s="35" t="s">
        <v>1013</v>
      </c>
      <c r="E909" s="35" t="s">
        <v>1120</v>
      </c>
      <c r="F909" s="26"/>
      <c r="G909" s="24">
        <f>SUM(G910)</f>
        <v>7200</v>
      </c>
      <c r="H909" s="24">
        <f>SUM(H910)</f>
        <v>3319.1</v>
      </c>
      <c r="I909" s="24">
        <f>SUM(H909/G909*100)</f>
        <v>46.09861111111111</v>
      </c>
    </row>
    <row r="910" spans="1:9" s="36" customFormat="1" ht="18" customHeight="1">
      <c r="A910" s="228" t="s">
        <v>1188</v>
      </c>
      <c r="B910" s="140"/>
      <c r="C910" s="35" t="s">
        <v>793</v>
      </c>
      <c r="D910" s="35" t="s">
        <v>1013</v>
      </c>
      <c r="E910" s="35" t="s">
        <v>1120</v>
      </c>
      <c r="F910" s="26" t="s">
        <v>248</v>
      </c>
      <c r="G910" s="24">
        <v>7200</v>
      </c>
      <c r="H910" s="24">
        <v>3319.1</v>
      </c>
      <c r="I910" s="24">
        <f>SUM(H910/G910*100)</f>
        <v>46.09861111111111</v>
      </c>
    </row>
    <row r="911" spans="1:9" ht="15">
      <c r="A911" s="224" t="s">
        <v>1129</v>
      </c>
      <c r="B911" s="21"/>
      <c r="C911" s="31" t="s">
        <v>793</v>
      </c>
      <c r="D911" s="72" t="s">
        <v>1037</v>
      </c>
      <c r="E911" s="72"/>
      <c r="F911" s="44"/>
      <c r="G911" s="49">
        <f>SUM(G912+G915)</f>
        <v>33951.5</v>
      </c>
      <c r="H911" s="49">
        <f>SUM(H912+H915)</f>
        <v>17205.399999999998</v>
      </c>
      <c r="I911" s="24">
        <f t="shared" si="23"/>
        <v>50.67640604980633</v>
      </c>
    </row>
    <row r="912" spans="1:9" ht="15" hidden="1">
      <c r="A912" s="224" t="s">
        <v>821</v>
      </c>
      <c r="B912" s="21"/>
      <c r="C912" s="31" t="s">
        <v>793</v>
      </c>
      <c r="D912" s="72" t="s">
        <v>1037</v>
      </c>
      <c r="E912" s="72" t="s">
        <v>822</v>
      </c>
      <c r="F912" s="44"/>
      <c r="G912" s="24">
        <f>SUM(G913)</f>
        <v>0</v>
      </c>
      <c r="H912" s="24">
        <f>SUM(H913)</f>
        <v>0</v>
      </c>
      <c r="I912" s="24" t="e">
        <f t="shared" si="23"/>
        <v>#DIV/0!</v>
      </c>
    </row>
    <row r="913" spans="1:9" ht="19.5" customHeight="1" hidden="1">
      <c r="A913" s="234" t="s">
        <v>279</v>
      </c>
      <c r="B913" s="21"/>
      <c r="C913" s="31" t="s">
        <v>793</v>
      </c>
      <c r="D913" s="72" t="s">
        <v>1037</v>
      </c>
      <c r="E913" s="72" t="s">
        <v>1130</v>
      </c>
      <c r="F913" s="44"/>
      <c r="G913" s="24">
        <f>SUM(G914)</f>
        <v>0</v>
      </c>
      <c r="H913" s="24">
        <f>SUM(H914)</f>
        <v>0</v>
      </c>
      <c r="I913" s="24" t="e">
        <f t="shared" si="23"/>
        <v>#DIV/0!</v>
      </c>
    </row>
    <row r="914" spans="1:9" ht="19.5" customHeight="1" hidden="1">
      <c r="A914" s="234" t="s">
        <v>378</v>
      </c>
      <c r="B914" s="21"/>
      <c r="C914" s="31" t="s">
        <v>793</v>
      </c>
      <c r="D914" s="72" t="s">
        <v>1037</v>
      </c>
      <c r="E914" s="72" t="s">
        <v>1130</v>
      </c>
      <c r="F914" s="26" t="s">
        <v>379</v>
      </c>
      <c r="G914" s="24"/>
      <c r="H914" s="24"/>
      <c r="I914" s="24" t="e">
        <f t="shared" si="23"/>
        <v>#DIV/0!</v>
      </c>
    </row>
    <row r="915" spans="1:9" ht="15">
      <c r="A915" s="234" t="s">
        <v>1131</v>
      </c>
      <c r="B915" s="21"/>
      <c r="C915" s="31" t="s">
        <v>793</v>
      </c>
      <c r="D915" s="72" t="s">
        <v>1037</v>
      </c>
      <c r="E915" s="72" t="s">
        <v>1295</v>
      </c>
      <c r="F915" s="26"/>
      <c r="G915" s="24">
        <f>SUM(G916)</f>
        <v>33951.5</v>
      </c>
      <c r="H915" s="24">
        <f>SUM(H916)</f>
        <v>17205.399999999998</v>
      </c>
      <c r="I915" s="24">
        <f t="shared" si="23"/>
        <v>50.67640604980633</v>
      </c>
    </row>
    <row r="916" spans="1:9" ht="57">
      <c r="A916" s="228" t="s">
        <v>1138</v>
      </c>
      <c r="B916" s="21"/>
      <c r="C916" s="31" t="s">
        <v>793</v>
      </c>
      <c r="D916" s="72" t="s">
        <v>1037</v>
      </c>
      <c r="E916" s="72" t="s">
        <v>1137</v>
      </c>
      <c r="F916" s="44"/>
      <c r="G916" s="24">
        <f>SUM(G921)+G922+G925+G917+G919</f>
        <v>33951.5</v>
      </c>
      <c r="H916" s="24">
        <f>SUM(H921)+H922+H925+H917+H919</f>
        <v>17205.399999999998</v>
      </c>
      <c r="I916" s="24">
        <f t="shared" si="23"/>
        <v>50.67640604980633</v>
      </c>
    </row>
    <row r="917" spans="1:9" ht="15">
      <c r="A917" s="228" t="s">
        <v>1139</v>
      </c>
      <c r="B917" s="21"/>
      <c r="C917" s="31" t="s">
        <v>793</v>
      </c>
      <c r="D917" s="31" t="s">
        <v>1037</v>
      </c>
      <c r="E917" s="72" t="s">
        <v>1140</v>
      </c>
      <c r="F917" s="88"/>
      <c r="G917" s="24">
        <f>SUM(G918)</f>
        <v>3820.3</v>
      </c>
      <c r="H917" s="24">
        <f>SUM(H918)</f>
        <v>241.8</v>
      </c>
      <c r="I917" s="24">
        <f t="shared" si="23"/>
        <v>6.329345862890349</v>
      </c>
    </row>
    <row r="918" spans="1:9" ht="28.5">
      <c r="A918" s="228" t="s">
        <v>1141</v>
      </c>
      <c r="B918" s="21"/>
      <c r="C918" s="31" t="s">
        <v>793</v>
      </c>
      <c r="D918" s="31" t="s">
        <v>1037</v>
      </c>
      <c r="E918" s="72" t="s">
        <v>1140</v>
      </c>
      <c r="F918" s="88" t="s">
        <v>1142</v>
      </c>
      <c r="G918" s="24">
        <v>3820.3</v>
      </c>
      <c r="H918" s="24">
        <v>241.8</v>
      </c>
      <c r="I918" s="24">
        <f t="shared" si="23"/>
        <v>6.329345862890349</v>
      </c>
    </row>
    <row r="919" spans="1:9" ht="15">
      <c r="A919" s="228" t="s">
        <v>1143</v>
      </c>
      <c r="B919" s="21"/>
      <c r="C919" s="31" t="s">
        <v>793</v>
      </c>
      <c r="D919" s="31" t="s">
        <v>1037</v>
      </c>
      <c r="E919" s="72" t="s">
        <v>1144</v>
      </c>
      <c r="F919" s="88"/>
      <c r="G919" s="24">
        <f>SUM(G920)</f>
        <v>2323.2</v>
      </c>
      <c r="H919" s="24">
        <f>SUM(H920)</f>
        <v>252</v>
      </c>
      <c r="I919" s="24">
        <f t="shared" si="23"/>
        <v>10.84710743801653</v>
      </c>
    </row>
    <row r="920" spans="1:9" ht="27.75" customHeight="1">
      <c r="A920" s="228" t="s">
        <v>1141</v>
      </c>
      <c r="B920" s="21"/>
      <c r="C920" s="31" t="s">
        <v>793</v>
      </c>
      <c r="D920" s="31" t="s">
        <v>1037</v>
      </c>
      <c r="E920" s="72" t="s">
        <v>1144</v>
      </c>
      <c r="F920" s="88" t="s">
        <v>1142</v>
      </c>
      <c r="G920" s="24">
        <v>2323.2</v>
      </c>
      <c r="H920" s="24">
        <v>252</v>
      </c>
      <c r="I920" s="24">
        <f t="shared" si="23"/>
        <v>10.84710743801653</v>
      </c>
    </row>
    <row r="921" spans="1:9" ht="15" hidden="1">
      <c r="A921" s="228" t="s">
        <v>1145</v>
      </c>
      <c r="B921" s="21"/>
      <c r="C921" s="31" t="s">
        <v>793</v>
      </c>
      <c r="D921" s="31" t="s">
        <v>1037</v>
      </c>
      <c r="E921" s="72" t="s">
        <v>1146</v>
      </c>
      <c r="F921" s="88"/>
      <c r="G921" s="24">
        <f>SUM(G924)</f>
        <v>0</v>
      </c>
      <c r="H921" s="24">
        <f>SUM(H924)</f>
        <v>0</v>
      </c>
      <c r="I921" s="24" t="e">
        <f t="shared" si="23"/>
        <v>#DIV/0!</v>
      </c>
    </row>
    <row r="922" spans="1:9" ht="19.5" customHeight="1" hidden="1">
      <c r="A922" s="228" t="s">
        <v>1145</v>
      </c>
      <c r="B922" s="21"/>
      <c r="C922" s="31" t="s">
        <v>793</v>
      </c>
      <c r="D922" s="31" t="s">
        <v>1037</v>
      </c>
      <c r="E922" s="72" t="s">
        <v>1146</v>
      </c>
      <c r="F922" s="88"/>
      <c r="G922" s="24">
        <f>SUM(G923)</f>
        <v>0</v>
      </c>
      <c r="H922" s="24">
        <f>SUM(H923)</f>
        <v>0</v>
      </c>
      <c r="I922" s="24" t="e">
        <f t="shared" si="23"/>
        <v>#DIV/0!</v>
      </c>
    </row>
    <row r="923" spans="1:9" ht="15" hidden="1">
      <c r="A923" s="228" t="s">
        <v>378</v>
      </c>
      <c r="B923" s="21"/>
      <c r="C923" s="31" t="s">
        <v>793</v>
      </c>
      <c r="D923" s="31" t="s">
        <v>1037</v>
      </c>
      <c r="E923" s="72" t="s">
        <v>1146</v>
      </c>
      <c r="F923" s="88" t="s">
        <v>379</v>
      </c>
      <c r="G923" s="24"/>
      <c r="H923" s="24"/>
      <c r="I923" s="24" t="e">
        <f t="shared" si="23"/>
        <v>#DIV/0!</v>
      </c>
    </row>
    <row r="924" spans="1:9" ht="28.5" hidden="1">
      <c r="A924" s="228" t="s">
        <v>1141</v>
      </c>
      <c r="B924" s="21"/>
      <c r="C924" s="31" t="s">
        <v>793</v>
      </c>
      <c r="D924" s="31" t="s">
        <v>1037</v>
      </c>
      <c r="E924" s="72" t="s">
        <v>1146</v>
      </c>
      <c r="F924" s="88" t="s">
        <v>1142</v>
      </c>
      <c r="G924" s="24"/>
      <c r="H924" s="24"/>
      <c r="I924" s="24" t="e">
        <f t="shared" si="23"/>
        <v>#DIV/0!</v>
      </c>
    </row>
    <row r="925" spans="1:9" ht="28.5">
      <c r="A925" s="228" t="s">
        <v>1141</v>
      </c>
      <c r="B925" s="21"/>
      <c r="C925" s="31" t="s">
        <v>793</v>
      </c>
      <c r="D925" s="31" t="s">
        <v>1037</v>
      </c>
      <c r="E925" s="72" t="s">
        <v>1147</v>
      </c>
      <c r="F925" s="88"/>
      <c r="G925" s="24">
        <f>SUM(G926)</f>
        <v>27808</v>
      </c>
      <c r="H925" s="24">
        <f>SUM(H926)</f>
        <v>16711.6</v>
      </c>
      <c r="I925" s="24">
        <f t="shared" si="23"/>
        <v>60.096375143843495</v>
      </c>
    </row>
    <row r="926" spans="1:9" ht="42.75">
      <c r="A926" s="228" t="s">
        <v>1148</v>
      </c>
      <c r="B926" s="21"/>
      <c r="C926" s="31" t="s">
        <v>793</v>
      </c>
      <c r="D926" s="31" t="s">
        <v>1037</v>
      </c>
      <c r="E926" s="72" t="s">
        <v>1147</v>
      </c>
      <c r="F926" s="88" t="s">
        <v>1142</v>
      </c>
      <c r="G926" s="24">
        <v>27808</v>
      </c>
      <c r="H926" s="24">
        <v>16711.6</v>
      </c>
      <c r="I926" s="24">
        <f t="shared" si="23"/>
        <v>60.096375143843495</v>
      </c>
    </row>
    <row r="927" spans="1:9" ht="20.25" customHeight="1">
      <c r="A927" s="236" t="s">
        <v>1149</v>
      </c>
      <c r="B927" s="21"/>
      <c r="C927" s="72" t="s">
        <v>793</v>
      </c>
      <c r="D927" s="72" t="s">
        <v>549</v>
      </c>
      <c r="E927" s="72"/>
      <c r="F927" s="44"/>
      <c r="G927" s="49">
        <f>SUM(G928)+G944+G941</f>
        <v>29472.3</v>
      </c>
      <c r="H927" s="49">
        <f>SUM(H928)</f>
        <v>15109.199999999999</v>
      </c>
      <c r="I927" s="24">
        <f t="shared" si="23"/>
        <v>51.26576480288271</v>
      </c>
    </row>
    <row r="928" spans="1:9" ht="42.75" customHeight="1">
      <c r="A928" s="222" t="s">
        <v>1006</v>
      </c>
      <c r="B928" s="21"/>
      <c r="C928" s="22" t="s">
        <v>793</v>
      </c>
      <c r="D928" s="22" t="s">
        <v>549</v>
      </c>
      <c r="E928" s="22" t="s">
        <v>1007</v>
      </c>
      <c r="F928" s="26"/>
      <c r="G928" s="24">
        <f>SUM(G929)</f>
        <v>27102.3</v>
      </c>
      <c r="H928" s="24">
        <f>SUM(H929)</f>
        <v>15109.199999999999</v>
      </c>
      <c r="I928" s="24">
        <f t="shared" si="23"/>
        <v>55.748774089283934</v>
      </c>
    </row>
    <row r="929" spans="1:9" ht="15">
      <c r="A929" s="222" t="s">
        <v>1014</v>
      </c>
      <c r="B929" s="21"/>
      <c r="C929" s="22" t="s">
        <v>793</v>
      </c>
      <c r="D929" s="22" t="s">
        <v>549</v>
      </c>
      <c r="E929" s="22" t="s">
        <v>1016</v>
      </c>
      <c r="F929" s="26"/>
      <c r="G929" s="24">
        <f>SUM(G937+G931+G933+G939+G930)</f>
        <v>27102.3</v>
      </c>
      <c r="H929" s="24">
        <f>SUM(H937+H931+H933+H939+H930)</f>
        <v>15109.199999999999</v>
      </c>
      <c r="I929" s="24">
        <f t="shared" si="23"/>
        <v>55.748774089283934</v>
      </c>
    </row>
    <row r="930" spans="1:9" ht="27.75" customHeight="1">
      <c r="A930" s="236" t="s">
        <v>1010</v>
      </c>
      <c r="B930" s="94"/>
      <c r="C930" s="22" t="s">
        <v>793</v>
      </c>
      <c r="D930" s="22" t="s">
        <v>549</v>
      </c>
      <c r="E930" s="22" t="s">
        <v>1016</v>
      </c>
      <c r="F930" s="149" t="s">
        <v>1011</v>
      </c>
      <c r="G930" s="24">
        <v>3121.5</v>
      </c>
      <c r="H930" s="24">
        <v>227.6</v>
      </c>
      <c r="I930" s="24">
        <f t="shared" si="23"/>
        <v>7.291366330289925</v>
      </c>
    </row>
    <row r="931" spans="1:9" ht="19.5" customHeight="1" hidden="1">
      <c r="A931" s="236" t="s">
        <v>1150</v>
      </c>
      <c r="B931" s="94"/>
      <c r="C931" s="22" t="s">
        <v>793</v>
      </c>
      <c r="D931" s="22" t="s">
        <v>549</v>
      </c>
      <c r="E931" s="22" t="s">
        <v>1151</v>
      </c>
      <c r="F931" s="149"/>
      <c r="G931" s="24">
        <f>SUM(G932)</f>
        <v>0</v>
      </c>
      <c r="H931" s="24">
        <f>SUM(H932)</f>
        <v>0</v>
      </c>
      <c r="I931" s="24" t="e">
        <f t="shared" si="23"/>
        <v>#DIV/0!</v>
      </c>
    </row>
    <row r="932" spans="1:9" ht="19.5" customHeight="1" hidden="1">
      <c r="A932" s="236" t="s">
        <v>1010</v>
      </c>
      <c r="B932" s="94"/>
      <c r="C932" s="22" t="s">
        <v>793</v>
      </c>
      <c r="D932" s="22" t="s">
        <v>549</v>
      </c>
      <c r="E932" s="22" t="s">
        <v>1151</v>
      </c>
      <c r="F932" s="149" t="s">
        <v>1011</v>
      </c>
      <c r="G932" s="24"/>
      <c r="H932" s="24"/>
      <c r="I932" s="24" t="e">
        <f t="shared" si="23"/>
        <v>#DIV/0!</v>
      </c>
    </row>
    <row r="933" spans="1:9" s="87" customFormat="1" ht="32.25" customHeight="1">
      <c r="A933" s="236" t="s">
        <v>1152</v>
      </c>
      <c r="B933" s="94"/>
      <c r="C933" s="22" t="s">
        <v>793</v>
      </c>
      <c r="D933" s="22" t="s">
        <v>549</v>
      </c>
      <c r="E933" s="22" t="s">
        <v>1153</v>
      </c>
      <c r="F933" s="149"/>
      <c r="G933" s="24">
        <f>SUM(G934)</f>
        <v>4023.2</v>
      </c>
      <c r="H933" s="24">
        <f>SUM(H934)</f>
        <v>2507.7</v>
      </c>
      <c r="I933" s="24">
        <f t="shared" si="23"/>
        <v>62.330980314177765</v>
      </c>
    </row>
    <row r="934" spans="1:9" s="87" customFormat="1" ht="29.25" customHeight="1">
      <c r="A934" s="236" t="s">
        <v>1010</v>
      </c>
      <c r="B934" s="48"/>
      <c r="C934" s="22" t="s">
        <v>793</v>
      </c>
      <c r="D934" s="22" t="s">
        <v>549</v>
      </c>
      <c r="E934" s="22" t="s">
        <v>1153</v>
      </c>
      <c r="F934" s="149" t="s">
        <v>1011</v>
      </c>
      <c r="G934" s="24">
        <v>4023.2</v>
      </c>
      <c r="H934" s="24">
        <v>2507.7</v>
      </c>
      <c r="I934" s="24">
        <f t="shared" si="23"/>
        <v>62.330980314177765</v>
      </c>
    </row>
    <row r="935" spans="1:9" s="87" customFormat="1" ht="19.5" customHeight="1" hidden="1">
      <c r="A935" s="236" t="s">
        <v>1154</v>
      </c>
      <c r="B935" s="48"/>
      <c r="C935" s="22" t="s">
        <v>793</v>
      </c>
      <c r="D935" s="22" t="s">
        <v>549</v>
      </c>
      <c r="E935" s="22" t="s">
        <v>1155</v>
      </c>
      <c r="F935" s="149"/>
      <c r="G935" s="24"/>
      <c r="H935" s="24"/>
      <c r="I935" s="24" t="e">
        <f t="shared" si="23"/>
        <v>#DIV/0!</v>
      </c>
    </row>
    <row r="936" spans="1:9" ht="19.5" customHeight="1" hidden="1">
      <c r="A936" s="236" t="s">
        <v>1010</v>
      </c>
      <c r="B936" s="94"/>
      <c r="C936" s="22" t="s">
        <v>793</v>
      </c>
      <c r="D936" s="22" t="s">
        <v>549</v>
      </c>
      <c r="E936" s="22" t="s">
        <v>1155</v>
      </c>
      <c r="F936" s="149" t="s">
        <v>1011</v>
      </c>
      <c r="G936" s="24">
        <f>2956.3+101.6</f>
        <v>3057.9</v>
      </c>
      <c r="H936" s="24">
        <f>2956.3+101.6</f>
        <v>3057.9</v>
      </c>
      <c r="I936" s="24">
        <f t="shared" si="23"/>
        <v>100</v>
      </c>
    </row>
    <row r="937" spans="1:9" ht="49.5" customHeight="1">
      <c r="A937" s="236" t="s">
        <v>1150</v>
      </c>
      <c r="B937" s="94"/>
      <c r="C937" s="22" t="s">
        <v>793</v>
      </c>
      <c r="D937" s="22" t="s">
        <v>549</v>
      </c>
      <c r="E937" s="22" t="s">
        <v>1151</v>
      </c>
      <c r="F937" s="149"/>
      <c r="G937" s="24">
        <f>SUM(G938)</f>
        <v>16483.8</v>
      </c>
      <c r="H937" s="24">
        <f>SUM(H938)</f>
        <v>10267.1</v>
      </c>
      <c r="I937" s="24">
        <f t="shared" si="23"/>
        <v>62.2860020140987</v>
      </c>
    </row>
    <row r="938" spans="1:9" ht="31.5" customHeight="1">
      <c r="A938" s="236" t="s">
        <v>1010</v>
      </c>
      <c r="B938" s="94"/>
      <c r="C938" s="22" t="s">
        <v>793</v>
      </c>
      <c r="D938" s="22" t="s">
        <v>549</v>
      </c>
      <c r="E938" s="22" t="s">
        <v>1151</v>
      </c>
      <c r="F938" s="149" t="s">
        <v>1011</v>
      </c>
      <c r="G938" s="24">
        <v>16483.8</v>
      </c>
      <c r="H938" s="24">
        <v>10267.1</v>
      </c>
      <c r="I938" s="24">
        <f t="shared" si="23"/>
        <v>62.2860020140987</v>
      </c>
    </row>
    <row r="939" spans="1:9" s="87" customFormat="1" ht="45.75" customHeight="1">
      <c r="A939" s="236" t="s">
        <v>1154</v>
      </c>
      <c r="B939" s="48"/>
      <c r="C939" s="22" t="s">
        <v>793</v>
      </c>
      <c r="D939" s="22" t="s">
        <v>549</v>
      </c>
      <c r="E939" s="22" t="s">
        <v>1156</v>
      </c>
      <c r="F939" s="149"/>
      <c r="G939" s="24">
        <f>SUM(G940)</f>
        <v>3473.8</v>
      </c>
      <c r="H939" s="24">
        <f>SUM(H940)</f>
        <v>2106.8</v>
      </c>
      <c r="I939" s="24">
        <f t="shared" si="23"/>
        <v>60.64828142092233</v>
      </c>
    </row>
    <row r="940" spans="1:9" ht="32.25" customHeight="1">
      <c r="A940" s="236" t="s">
        <v>1010</v>
      </c>
      <c r="B940" s="94"/>
      <c r="C940" s="22" t="s">
        <v>793</v>
      </c>
      <c r="D940" s="22" t="s">
        <v>549</v>
      </c>
      <c r="E940" s="22" t="s">
        <v>1156</v>
      </c>
      <c r="F940" s="149" t="s">
        <v>1011</v>
      </c>
      <c r="G940" s="24">
        <v>3473.8</v>
      </c>
      <c r="H940" s="24">
        <v>2106.8</v>
      </c>
      <c r="I940" s="24">
        <f t="shared" si="23"/>
        <v>60.64828142092233</v>
      </c>
    </row>
    <row r="941" spans="1:9" s="36" customFormat="1" ht="18.75" customHeight="1">
      <c r="A941" s="228" t="s">
        <v>785</v>
      </c>
      <c r="B941" s="34"/>
      <c r="C941" s="35" t="s">
        <v>793</v>
      </c>
      <c r="D941" s="35" t="s">
        <v>549</v>
      </c>
      <c r="E941" s="35" t="s">
        <v>786</v>
      </c>
      <c r="F941" s="26"/>
      <c r="G941" s="24">
        <f>SUM(G942)</f>
        <v>1200</v>
      </c>
      <c r="H941" s="24"/>
      <c r="I941" s="24"/>
    </row>
    <row r="942" spans="1:9" s="36" customFormat="1" ht="78.75" customHeight="1">
      <c r="A942" s="230" t="s">
        <v>280</v>
      </c>
      <c r="B942" s="299"/>
      <c r="C942" s="35" t="s">
        <v>793</v>
      </c>
      <c r="D942" s="35" t="s">
        <v>549</v>
      </c>
      <c r="E942" s="35" t="s">
        <v>1122</v>
      </c>
      <c r="F942" s="300"/>
      <c r="G942" s="24">
        <f>SUM(G943)</f>
        <v>1200</v>
      </c>
      <c r="H942" s="24"/>
      <c r="I942" s="24"/>
    </row>
    <row r="943" spans="1:9" s="36" customFormat="1" ht="29.25" customHeight="1">
      <c r="A943" s="230" t="s">
        <v>1010</v>
      </c>
      <c r="B943" s="34"/>
      <c r="C943" s="35" t="s">
        <v>793</v>
      </c>
      <c r="D943" s="35" t="s">
        <v>549</v>
      </c>
      <c r="E943" s="35" t="s">
        <v>1122</v>
      </c>
      <c r="F943" s="26" t="s">
        <v>1011</v>
      </c>
      <c r="G943" s="24">
        <v>1200</v>
      </c>
      <c r="H943" s="24">
        <v>1026.3</v>
      </c>
      <c r="I943" s="24">
        <f>SUM(H943/G943*100)</f>
        <v>85.52499999999999</v>
      </c>
    </row>
    <row r="944" spans="1:9" s="36" customFormat="1" ht="18.75" customHeight="1">
      <c r="A944" s="228" t="s">
        <v>1046</v>
      </c>
      <c r="B944" s="34"/>
      <c r="C944" s="35" t="s">
        <v>793</v>
      </c>
      <c r="D944" s="35" t="s">
        <v>549</v>
      </c>
      <c r="E944" s="35" t="s">
        <v>1047</v>
      </c>
      <c r="F944" s="26"/>
      <c r="G944" s="24">
        <f>SUM(G945)</f>
        <v>1170</v>
      </c>
      <c r="H944" s="24"/>
      <c r="I944" s="24"/>
    </row>
    <row r="945" spans="1:9" ht="86.25" customHeight="1">
      <c r="A945" s="236" t="s">
        <v>1071</v>
      </c>
      <c r="B945" s="94"/>
      <c r="C945" s="22" t="s">
        <v>793</v>
      </c>
      <c r="D945" s="22" t="s">
        <v>549</v>
      </c>
      <c r="E945" s="35" t="s">
        <v>508</v>
      </c>
      <c r="F945" s="149"/>
      <c r="G945" s="24">
        <f>SUM(G947+G948)+G946</f>
        <v>1170</v>
      </c>
      <c r="H945" s="24"/>
      <c r="I945" s="24"/>
    </row>
    <row r="946" spans="1:9" ht="29.25" customHeight="1">
      <c r="A946" s="236" t="s">
        <v>1010</v>
      </c>
      <c r="B946" s="34"/>
      <c r="C946" s="22" t="s">
        <v>793</v>
      </c>
      <c r="D946" s="22" t="s">
        <v>549</v>
      </c>
      <c r="E946" s="35" t="s">
        <v>508</v>
      </c>
      <c r="F946" s="26" t="s">
        <v>1011</v>
      </c>
      <c r="G946" s="24">
        <v>2.3</v>
      </c>
      <c r="H946" s="24">
        <v>1026.3</v>
      </c>
      <c r="I946" s="24">
        <f>SUM(H946/G946*100)</f>
        <v>44621.739130434784</v>
      </c>
    </row>
    <row r="947" spans="1:9" ht="58.5" customHeight="1">
      <c r="A947" s="236" t="s">
        <v>1125</v>
      </c>
      <c r="B947" s="94"/>
      <c r="C947" s="22" t="s">
        <v>793</v>
      </c>
      <c r="D947" s="22" t="s">
        <v>549</v>
      </c>
      <c r="E947" s="35" t="s">
        <v>508</v>
      </c>
      <c r="F947" s="149" t="s">
        <v>897</v>
      </c>
      <c r="G947" s="24">
        <v>1016.7</v>
      </c>
      <c r="H947" s="24"/>
      <c r="I947" s="24"/>
    </row>
    <row r="948" spans="1:9" ht="32.25" customHeight="1">
      <c r="A948" s="236" t="s">
        <v>1126</v>
      </c>
      <c r="B948" s="94"/>
      <c r="C948" s="22" t="s">
        <v>793</v>
      </c>
      <c r="D948" s="22" t="s">
        <v>549</v>
      </c>
      <c r="E948" s="35" t="s">
        <v>508</v>
      </c>
      <c r="F948" s="149" t="s">
        <v>978</v>
      </c>
      <c r="G948" s="24">
        <v>151</v>
      </c>
      <c r="H948" s="24"/>
      <c r="I948" s="24"/>
    </row>
    <row r="949" spans="1:11" ht="21.75" customHeight="1">
      <c r="A949" s="227" t="s">
        <v>1227</v>
      </c>
      <c r="B949" s="82" t="s">
        <v>301</v>
      </c>
      <c r="C949" s="41"/>
      <c r="D949" s="80"/>
      <c r="E949" s="80"/>
      <c r="F949" s="81"/>
      <c r="G949" s="141">
        <f>SUM(G950+G970+G989+G1011)+G1039+G962</f>
        <v>95050.4</v>
      </c>
      <c r="H949" s="141" t="e">
        <f>SUM(H1006+#REF!)</f>
        <v>#REF!</v>
      </c>
      <c r="I949" s="24" t="e">
        <f>SUM(H949/G949*100)</f>
        <v>#REF!</v>
      </c>
      <c r="K949" s="208"/>
    </row>
    <row r="950" spans="1:9" ht="18.75" customHeight="1">
      <c r="A950" s="222" t="s">
        <v>662</v>
      </c>
      <c r="B950" s="21"/>
      <c r="C950" s="22" t="s">
        <v>663</v>
      </c>
      <c r="D950" s="22"/>
      <c r="E950" s="22"/>
      <c r="F950" s="23"/>
      <c r="G950" s="24">
        <f>SUM(G951+G955)</f>
        <v>30741.1</v>
      </c>
      <c r="H950" s="141"/>
      <c r="I950" s="24"/>
    </row>
    <row r="951" spans="1:9" ht="37.5" customHeight="1">
      <c r="A951" s="222" t="s">
        <v>273</v>
      </c>
      <c r="B951" s="21"/>
      <c r="C951" s="22" t="s">
        <v>663</v>
      </c>
      <c r="D951" s="22" t="s">
        <v>1037</v>
      </c>
      <c r="E951" s="22"/>
      <c r="F951" s="23"/>
      <c r="G951" s="24">
        <f>SUM(G952)</f>
        <v>27443.5</v>
      </c>
      <c r="H951" s="141"/>
      <c r="I951" s="24"/>
    </row>
    <row r="952" spans="1:9" ht="39" customHeight="1">
      <c r="A952" s="222" t="s">
        <v>1006</v>
      </c>
      <c r="B952" s="21"/>
      <c r="C952" s="22" t="s">
        <v>663</v>
      </c>
      <c r="D952" s="22" t="s">
        <v>1037</v>
      </c>
      <c r="E952" s="22" t="s">
        <v>1007</v>
      </c>
      <c r="F952" s="26"/>
      <c r="G952" s="24">
        <f>SUM(G953)</f>
        <v>27443.5</v>
      </c>
      <c r="H952" s="141"/>
      <c r="I952" s="24"/>
    </row>
    <row r="953" spans="1:9" ht="20.25" customHeight="1">
      <c r="A953" s="222" t="s">
        <v>1014</v>
      </c>
      <c r="B953" s="21"/>
      <c r="C953" s="22" t="s">
        <v>663</v>
      </c>
      <c r="D953" s="22" t="s">
        <v>1037</v>
      </c>
      <c r="E953" s="22" t="s">
        <v>1016</v>
      </c>
      <c r="F953" s="26"/>
      <c r="G953" s="24">
        <f>SUM(G954)</f>
        <v>27443.5</v>
      </c>
      <c r="H953" s="141"/>
      <c r="I953" s="24"/>
    </row>
    <row r="954" spans="1:9" ht="23.25" customHeight="1">
      <c r="A954" s="222" t="s">
        <v>1010</v>
      </c>
      <c r="B954" s="21"/>
      <c r="C954" s="22" t="s">
        <v>663</v>
      </c>
      <c r="D954" s="22" t="s">
        <v>1037</v>
      </c>
      <c r="E954" s="22" t="s">
        <v>1016</v>
      </c>
      <c r="F954" s="23" t="s">
        <v>1011</v>
      </c>
      <c r="G954" s="24">
        <v>27443.5</v>
      </c>
      <c r="H954" s="141"/>
      <c r="I954" s="24"/>
    </row>
    <row r="955" spans="1:9" ht="18.75" customHeight="1">
      <c r="A955" s="222" t="s">
        <v>1019</v>
      </c>
      <c r="B955" s="21"/>
      <c r="C955" s="22" t="s">
        <v>663</v>
      </c>
      <c r="D955" s="22" t="s">
        <v>1331</v>
      </c>
      <c r="E955" s="22"/>
      <c r="F955" s="26"/>
      <c r="G955" s="24">
        <f>SUM(G956+G959)</f>
        <v>3297.6</v>
      </c>
      <c r="H955" s="24" t="e">
        <f>SUM(H956+H1005+#REF!+#REF!+#REF!+#REF!+#REF!)+H961+H959</f>
        <v>#REF!</v>
      </c>
      <c r="I955" s="24" t="e">
        <f aca="true" t="shared" si="24" ref="I955:I970">SUM(H955/G955*100)</f>
        <v>#REF!</v>
      </c>
    </row>
    <row r="956" spans="1:9" ht="38.25" customHeight="1">
      <c r="A956" s="224" t="s">
        <v>239</v>
      </c>
      <c r="B956" s="21"/>
      <c r="C956" s="22" t="s">
        <v>663</v>
      </c>
      <c r="D956" s="22" t="s">
        <v>1331</v>
      </c>
      <c r="E956" s="22" t="s">
        <v>1033</v>
      </c>
      <c r="F956" s="23"/>
      <c r="G956" s="24">
        <f>SUM(G957)</f>
        <v>2519.1</v>
      </c>
      <c r="H956" s="24">
        <f>SUM(H957)</f>
        <v>2749.5</v>
      </c>
      <c r="I956" s="24">
        <f t="shared" si="24"/>
        <v>109.14612361557701</v>
      </c>
    </row>
    <row r="957" spans="1:9" ht="28.5">
      <c r="A957" s="224" t="s">
        <v>1034</v>
      </c>
      <c r="B957" s="21"/>
      <c r="C957" s="22" t="s">
        <v>663</v>
      </c>
      <c r="D957" s="22" t="s">
        <v>1331</v>
      </c>
      <c r="E957" s="22" t="s">
        <v>240</v>
      </c>
      <c r="F957" s="23"/>
      <c r="G957" s="24">
        <f>SUM(G958)</f>
        <v>2519.1</v>
      </c>
      <c r="H957" s="24">
        <f>SUM(H958)</f>
        <v>2749.5</v>
      </c>
      <c r="I957" s="24">
        <f t="shared" si="24"/>
        <v>109.14612361557701</v>
      </c>
    </row>
    <row r="958" spans="1:9" ht="27" customHeight="1">
      <c r="A958" s="222" t="s">
        <v>1010</v>
      </c>
      <c r="B958" s="21"/>
      <c r="C958" s="22" t="s">
        <v>663</v>
      </c>
      <c r="D958" s="22" t="s">
        <v>1331</v>
      </c>
      <c r="E958" s="22" t="s">
        <v>240</v>
      </c>
      <c r="F958" s="23" t="s">
        <v>1011</v>
      </c>
      <c r="G958" s="24">
        <v>2519.1</v>
      </c>
      <c r="H958" s="24">
        <v>2749.5</v>
      </c>
      <c r="I958" s="24">
        <f t="shared" si="24"/>
        <v>109.14612361557701</v>
      </c>
    </row>
    <row r="959" spans="1:9" ht="27" customHeight="1">
      <c r="A959" s="222" t="s">
        <v>1021</v>
      </c>
      <c r="B959" s="21"/>
      <c r="C959" s="22" t="s">
        <v>663</v>
      </c>
      <c r="D959" s="22" t="s">
        <v>1331</v>
      </c>
      <c r="E959" s="22" t="s">
        <v>1022</v>
      </c>
      <c r="F959" s="27"/>
      <c r="G959" s="24">
        <f>SUM(G960)</f>
        <v>778.5</v>
      </c>
      <c r="H959" s="24">
        <f>SUM(H960)</f>
        <v>0</v>
      </c>
      <c r="I959" s="24">
        <f t="shared" si="24"/>
        <v>0</v>
      </c>
    </row>
    <row r="960" spans="1:9" ht="27" customHeight="1">
      <c r="A960" s="222" t="s">
        <v>1023</v>
      </c>
      <c r="B960" s="21"/>
      <c r="C960" s="22" t="s">
        <v>663</v>
      </c>
      <c r="D960" s="22" t="s">
        <v>1331</v>
      </c>
      <c r="E960" s="22" t="s">
        <v>241</v>
      </c>
      <c r="F960" s="27"/>
      <c r="G960" s="24">
        <f>SUM(G961)</f>
        <v>778.5</v>
      </c>
      <c r="H960" s="24"/>
      <c r="I960" s="24">
        <f t="shared" si="24"/>
        <v>0</v>
      </c>
    </row>
    <row r="961" spans="1:9" ht="27" customHeight="1">
      <c r="A961" s="222" t="s">
        <v>1010</v>
      </c>
      <c r="B961" s="21"/>
      <c r="C961" s="22" t="s">
        <v>663</v>
      </c>
      <c r="D961" s="22" t="s">
        <v>1331</v>
      </c>
      <c r="E961" s="22" t="s">
        <v>241</v>
      </c>
      <c r="F961" s="27" t="s">
        <v>1011</v>
      </c>
      <c r="G961" s="24">
        <v>778.5</v>
      </c>
      <c r="H961" s="24" t="e">
        <f>SUM(#REF!)</f>
        <v>#REF!</v>
      </c>
      <c r="I961" s="24" t="e">
        <f t="shared" si="24"/>
        <v>#REF!</v>
      </c>
    </row>
    <row r="962" spans="1:9" ht="27" customHeight="1">
      <c r="A962" s="236" t="s">
        <v>1061</v>
      </c>
      <c r="B962" s="30"/>
      <c r="C962" s="31" t="s">
        <v>1013</v>
      </c>
      <c r="D962" s="31"/>
      <c r="E962" s="31"/>
      <c r="F962" s="88"/>
      <c r="G962" s="268">
        <f>SUM(G963)</f>
        <v>330</v>
      </c>
      <c r="H962" s="24"/>
      <c r="I962" s="24"/>
    </row>
    <row r="963" spans="1:9" ht="36.75" customHeight="1">
      <c r="A963" s="224" t="s">
        <v>388</v>
      </c>
      <c r="B963" s="21"/>
      <c r="C963" s="35" t="s">
        <v>1013</v>
      </c>
      <c r="D963" s="35" t="s">
        <v>389</v>
      </c>
      <c r="E963" s="35"/>
      <c r="F963" s="26"/>
      <c r="G963" s="24">
        <f>SUM(G967+G975+G981)+G965</f>
        <v>330</v>
      </c>
      <c r="H963" s="24"/>
      <c r="I963" s="24"/>
    </row>
    <row r="964" spans="1:9" ht="27" customHeight="1">
      <c r="A964" s="222" t="s">
        <v>1046</v>
      </c>
      <c r="B964" s="198"/>
      <c r="C964" s="35" t="s">
        <v>1013</v>
      </c>
      <c r="D964" s="269" t="s">
        <v>389</v>
      </c>
      <c r="E964" s="270" t="s">
        <v>1047</v>
      </c>
      <c r="F964" s="203"/>
      <c r="G964" s="268">
        <f>SUM(G965)</f>
        <v>330</v>
      </c>
      <c r="H964" s="24"/>
      <c r="I964" s="24"/>
    </row>
    <row r="965" spans="1:9" ht="30.75" customHeight="1">
      <c r="A965" s="222" t="s">
        <v>1092</v>
      </c>
      <c r="B965" s="21"/>
      <c r="C965" s="35" t="s">
        <v>1013</v>
      </c>
      <c r="D965" s="269" t="s">
        <v>389</v>
      </c>
      <c r="E965" s="270" t="s">
        <v>1093</v>
      </c>
      <c r="F965" s="27"/>
      <c r="G965" s="24">
        <f>SUM(G966)</f>
        <v>330</v>
      </c>
      <c r="H965" s="24"/>
      <c r="I965" s="24"/>
    </row>
    <row r="966" spans="1:9" ht="26.25" customHeight="1">
      <c r="A966" s="222" t="s">
        <v>1010</v>
      </c>
      <c r="B966" s="21"/>
      <c r="C966" s="35" t="s">
        <v>1013</v>
      </c>
      <c r="D966" s="269" t="s">
        <v>389</v>
      </c>
      <c r="E966" s="270" t="s">
        <v>1093</v>
      </c>
      <c r="F966" s="27" t="s">
        <v>1011</v>
      </c>
      <c r="G966" s="24">
        <v>330</v>
      </c>
      <c r="H966" s="24"/>
      <c r="I966" s="24"/>
    </row>
    <row r="967" spans="1:9" ht="19.5" customHeight="1" hidden="1">
      <c r="A967" s="222"/>
      <c r="B967" s="21"/>
      <c r="C967" s="22"/>
      <c r="D967" s="22"/>
      <c r="E967" s="22"/>
      <c r="F967" s="27"/>
      <c r="G967" s="24"/>
      <c r="H967" s="24"/>
      <c r="I967" s="24"/>
    </row>
    <row r="968" spans="1:9" ht="19.5" customHeight="1" hidden="1">
      <c r="A968" s="222"/>
      <c r="B968" s="21"/>
      <c r="C968" s="22"/>
      <c r="D968" s="22"/>
      <c r="E968" s="22"/>
      <c r="F968" s="27"/>
      <c r="G968" s="24"/>
      <c r="H968" s="24"/>
      <c r="I968" s="24"/>
    </row>
    <row r="969" spans="1:9" ht="19.5" customHeight="1" hidden="1">
      <c r="A969" s="222"/>
      <c r="B969" s="21"/>
      <c r="C969" s="22"/>
      <c r="D969" s="22"/>
      <c r="E969" s="22"/>
      <c r="F969" s="27"/>
      <c r="G969" s="24"/>
      <c r="H969" s="24"/>
      <c r="I969" s="24"/>
    </row>
    <row r="970" spans="1:9" s="255" customFormat="1" ht="15">
      <c r="A970" s="236" t="s">
        <v>1036</v>
      </c>
      <c r="B970" s="30"/>
      <c r="C970" s="72" t="s">
        <v>1037</v>
      </c>
      <c r="D970" s="72"/>
      <c r="E970" s="72"/>
      <c r="F970" s="44"/>
      <c r="G970" s="49">
        <f>SUM(G977+G971)</f>
        <v>6799.700000000001</v>
      </c>
      <c r="H970" s="49" t="e">
        <f>SUM(H977+#REF!)</f>
        <v>#REF!</v>
      </c>
      <c r="I970" s="49" t="e">
        <f t="shared" si="24"/>
        <v>#REF!</v>
      </c>
    </row>
    <row r="971" spans="1:9" s="255" customFormat="1" ht="15" hidden="1">
      <c r="A971" s="236" t="s">
        <v>1038</v>
      </c>
      <c r="B971" s="30"/>
      <c r="C971" s="72" t="s">
        <v>1037</v>
      </c>
      <c r="D971" s="72" t="s">
        <v>1039</v>
      </c>
      <c r="E971" s="72"/>
      <c r="F971" s="44"/>
      <c r="G971" s="49">
        <f>SUM(G972,G974)</f>
        <v>0</v>
      </c>
      <c r="H971" s="49"/>
      <c r="I971" s="49"/>
    </row>
    <row r="972" spans="1:9" s="255" customFormat="1" ht="15" hidden="1">
      <c r="A972" s="220" t="s">
        <v>680</v>
      </c>
      <c r="B972" s="30"/>
      <c r="C972" s="72" t="s">
        <v>1037</v>
      </c>
      <c r="D972" s="72" t="s">
        <v>1039</v>
      </c>
      <c r="E972" s="72" t="s">
        <v>681</v>
      </c>
      <c r="F972" s="44"/>
      <c r="G972" s="49">
        <f>SUM(G973)</f>
        <v>0</v>
      </c>
      <c r="H972" s="49"/>
      <c r="I972" s="49"/>
    </row>
    <row r="973" spans="1:9" s="255" customFormat="1" ht="16.5" customHeight="1" hidden="1">
      <c r="A973" s="220" t="s">
        <v>1010</v>
      </c>
      <c r="B973" s="30"/>
      <c r="C973" s="72" t="s">
        <v>1037</v>
      </c>
      <c r="D973" s="72" t="s">
        <v>1039</v>
      </c>
      <c r="E973" s="72" t="s">
        <v>681</v>
      </c>
      <c r="F973" s="44" t="s">
        <v>1011</v>
      </c>
      <c r="G973" s="49"/>
      <c r="H973" s="49"/>
      <c r="I973" s="49"/>
    </row>
    <row r="974" spans="1:9" s="255" customFormat="1" ht="0.75" customHeight="1" hidden="1">
      <c r="A974" s="224" t="s">
        <v>775</v>
      </c>
      <c r="B974" s="30"/>
      <c r="C974" s="72" t="s">
        <v>1037</v>
      </c>
      <c r="D974" s="72" t="s">
        <v>1039</v>
      </c>
      <c r="E974" s="72" t="s">
        <v>360</v>
      </c>
      <c r="F974" s="44"/>
      <c r="G974" s="49">
        <f>SUM(G975)</f>
        <v>0</v>
      </c>
      <c r="H974" s="49"/>
      <c r="I974" s="49"/>
    </row>
    <row r="975" spans="1:9" s="255" customFormat="1" ht="12.75" customHeight="1" hidden="1">
      <c r="A975" s="224" t="s">
        <v>776</v>
      </c>
      <c r="B975" s="30"/>
      <c r="C975" s="72" t="s">
        <v>340</v>
      </c>
      <c r="D975" s="72" t="s">
        <v>1039</v>
      </c>
      <c r="E975" s="72" t="s">
        <v>362</v>
      </c>
      <c r="F975" s="44"/>
      <c r="G975" s="49">
        <f>SUM(G976)</f>
        <v>0</v>
      </c>
      <c r="H975" s="49"/>
      <c r="I975" s="49"/>
    </row>
    <row r="976" spans="1:9" s="255" customFormat="1" ht="17.25" customHeight="1" hidden="1">
      <c r="A976" s="222" t="s">
        <v>796</v>
      </c>
      <c r="B976" s="30"/>
      <c r="C976" s="72" t="s">
        <v>1037</v>
      </c>
      <c r="D976" s="72" t="s">
        <v>1039</v>
      </c>
      <c r="E976" s="72" t="s">
        <v>362</v>
      </c>
      <c r="F976" s="44" t="s">
        <v>797</v>
      </c>
      <c r="G976" s="49"/>
      <c r="H976" s="49"/>
      <c r="I976" s="49"/>
    </row>
    <row r="977" spans="1:9" ht="19.5" customHeight="1">
      <c r="A977" s="228" t="s">
        <v>584</v>
      </c>
      <c r="B977" s="34"/>
      <c r="C977" s="35" t="s">
        <v>1037</v>
      </c>
      <c r="D977" s="35" t="s">
        <v>568</v>
      </c>
      <c r="E977" s="35"/>
      <c r="F977" s="26"/>
      <c r="G977" s="24">
        <f>SUM(G981+G986)+G978</f>
        <v>6799.700000000001</v>
      </c>
      <c r="H977" s="24" t="e">
        <f>SUM(H984+H986+#REF!+H981)</f>
        <v>#REF!</v>
      </c>
      <c r="I977" s="24" t="e">
        <f aca="true" t="shared" si="25" ref="I977:I988">SUM(H977/G977*100)</f>
        <v>#REF!</v>
      </c>
    </row>
    <row r="978" spans="1:9" ht="33.75" customHeight="1">
      <c r="A978" s="222" t="s">
        <v>1021</v>
      </c>
      <c r="B978" s="34"/>
      <c r="C978" s="35" t="s">
        <v>1037</v>
      </c>
      <c r="D978" s="35" t="s">
        <v>568</v>
      </c>
      <c r="E978" s="22" t="s">
        <v>1022</v>
      </c>
      <c r="F978" s="26"/>
      <c r="G978" s="24">
        <f>SUM(G979)</f>
        <v>2969.3</v>
      </c>
      <c r="H978" s="24"/>
      <c r="I978" s="24"/>
    </row>
    <row r="979" spans="1:9" ht="20.25" customHeight="1">
      <c r="A979" s="224" t="s">
        <v>719</v>
      </c>
      <c r="B979" s="34"/>
      <c r="C979" s="35" t="s">
        <v>1037</v>
      </c>
      <c r="D979" s="35" t="s">
        <v>568</v>
      </c>
      <c r="E979" s="22" t="s">
        <v>740</v>
      </c>
      <c r="F979" s="26"/>
      <c r="G979" s="24">
        <f>SUM(G980)</f>
        <v>2969.3</v>
      </c>
      <c r="H979" s="24"/>
      <c r="I979" s="24"/>
    </row>
    <row r="980" spans="1:9" ht="18.75" customHeight="1">
      <c r="A980" s="220" t="s">
        <v>1010</v>
      </c>
      <c r="B980" s="34"/>
      <c r="C980" s="35" t="s">
        <v>1037</v>
      </c>
      <c r="D980" s="35" t="s">
        <v>568</v>
      </c>
      <c r="E980" s="22" t="s">
        <v>740</v>
      </c>
      <c r="F980" s="26" t="s">
        <v>1011</v>
      </c>
      <c r="G980" s="24">
        <v>2969.3</v>
      </c>
      <c r="H980" s="24"/>
      <c r="I980" s="24"/>
    </row>
    <row r="981" spans="1:9" ht="19.5" customHeight="1" hidden="1">
      <c r="A981" s="228" t="s">
        <v>242</v>
      </c>
      <c r="B981" s="35"/>
      <c r="C981" s="35" t="s">
        <v>1037</v>
      </c>
      <c r="D981" s="35" t="s">
        <v>568</v>
      </c>
      <c r="E981" s="35" t="s">
        <v>605</v>
      </c>
      <c r="F981" s="26"/>
      <c r="G981" s="24">
        <f>SUM(G983)</f>
        <v>0</v>
      </c>
      <c r="H981" s="24">
        <f>SUM(H983)</f>
        <v>0</v>
      </c>
      <c r="I981" s="24" t="e">
        <f t="shared" si="25"/>
        <v>#DIV/0!</v>
      </c>
    </row>
    <row r="982" spans="1:9" ht="19.5" customHeight="1" hidden="1">
      <c r="A982" s="228" t="s">
        <v>1051</v>
      </c>
      <c r="B982" s="35"/>
      <c r="C982" s="35" t="s">
        <v>1037</v>
      </c>
      <c r="D982" s="35" t="s">
        <v>568</v>
      </c>
      <c r="E982" s="46" t="s">
        <v>1052</v>
      </c>
      <c r="F982" s="26"/>
      <c r="G982" s="24">
        <f>SUM(G983)</f>
        <v>0</v>
      </c>
      <c r="H982" s="24">
        <f>SUM(H983)</f>
        <v>0</v>
      </c>
      <c r="I982" s="24" t="e">
        <f t="shared" si="25"/>
        <v>#DIV/0!</v>
      </c>
    </row>
    <row r="983" spans="1:9" ht="19.5" customHeight="1" hidden="1">
      <c r="A983" s="228" t="s">
        <v>1053</v>
      </c>
      <c r="B983" s="35"/>
      <c r="C983" s="35" t="s">
        <v>1037</v>
      </c>
      <c r="D983" s="35" t="s">
        <v>568</v>
      </c>
      <c r="E983" s="46" t="s">
        <v>1052</v>
      </c>
      <c r="F983" s="26" t="s">
        <v>1054</v>
      </c>
      <c r="G983" s="24"/>
      <c r="H983" s="24"/>
      <c r="I983" s="24" t="e">
        <f t="shared" si="25"/>
        <v>#DIV/0!</v>
      </c>
    </row>
    <row r="984" spans="1:9" ht="19.5" customHeight="1" hidden="1">
      <c r="A984" s="229" t="s">
        <v>613</v>
      </c>
      <c r="B984" s="35"/>
      <c r="C984" s="35" t="s">
        <v>1037</v>
      </c>
      <c r="D984" s="35" t="s">
        <v>568</v>
      </c>
      <c r="E984" s="35" t="s">
        <v>614</v>
      </c>
      <c r="F984" s="26"/>
      <c r="G984" s="24">
        <f>SUM(G985)</f>
        <v>0</v>
      </c>
      <c r="H984" s="24">
        <f>SUM(H985)</f>
        <v>0</v>
      </c>
      <c r="I984" s="24" t="e">
        <f t="shared" si="25"/>
        <v>#DIV/0!</v>
      </c>
    </row>
    <row r="985" spans="1:9" ht="19.5" customHeight="1" hidden="1">
      <c r="A985" s="222" t="s">
        <v>1010</v>
      </c>
      <c r="B985" s="35"/>
      <c r="C985" s="35" t="s">
        <v>1037</v>
      </c>
      <c r="D985" s="35" t="s">
        <v>568</v>
      </c>
      <c r="E985" s="35" t="s">
        <v>614</v>
      </c>
      <c r="F985" s="26" t="s">
        <v>1011</v>
      </c>
      <c r="G985" s="24"/>
      <c r="H985" s="24"/>
      <c r="I985" s="24" t="e">
        <f t="shared" si="25"/>
        <v>#DIV/0!</v>
      </c>
    </row>
    <row r="986" spans="1:9" ht="28.5">
      <c r="A986" s="222" t="s">
        <v>586</v>
      </c>
      <c r="B986" s="21"/>
      <c r="C986" s="35" t="s">
        <v>1037</v>
      </c>
      <c r="D986" s="35" t="s">
        <v>568</v>
      </c>
      <c r="E986" s="22" t="s">
        <v>587</v>
      </c>
      <c r="F986" s="26"/>
      <c r="G986" s="24">
        <f>SUM(G987)</f>
        <v>3830.4</v>
      </c>
      <c r="H986" s="24">
        <f>SUM(H987)</f>
        <v>200</v>
      </c>
      <c r="I986" s="24">
        <f t="shared" si="25"/>
        <v>5.221386800334169</v>
      </c>
    </row>
    <row r="987" spans="1:9" ht="15">
      <c r="A987" s="222" t="s">
        <v>615</v>
      </c>
      <c r="B987" s="21"/>
      <c r="C987" s="35" t="s">
        <v>1037</v>
      </c>
      <c r="D987" s="35" t="s">
        <v>568</v>
      </c>
      <c r="E987" s="22" t="s">
        <v>616</v>
      </c>
      <c r="F987" s="26"/>
      <c r="G987" s="24">
        <f>SUM(G988)</f>
        <v>3830.4</v>
      </c>
      <c r="H987" s="24">
        <f>SUM(H988)</f>
        <v>200</v>
      </c>
      <c r="I987" s="24">
        <f t="shared" si="25"/>
        <v>5.221386800334169</v>
      </c>
    </row>
    <row r="988" spans="1:9" ht="29.25" customHeight="1">
      <c r="A988" s="222" t="s">
        <v>1010</v>
      </c>
      <c r="B988" s="21"/>
      <c r="C988" s="35" t="s">
        <v>1037</v>
      </c>
      <c r="D988" s="35" t="s">
        <v>568</v>
      </c>
      <c r="E988" s="22" t="s">
        <v>616</v>
      </c>
      <c r="F988" s="26" t="s">
        <v>1011</v>
      </c>
      <c r="G988" s="24">
        <v>3830.4</v>
      </c>
      <c r="H988" s="24">
        <v>200</v>
      </c>
      <c r="I988" s="24">
        <f t="shared" si="25"/>
        <v>5.221386800334169</v>
      </c>
    </row>
    <row r="989" spans="1:9" s="53" customFormat="1" ht="18" customHeight="1">
      <c r="A989" s="228" t="s">
        <v>619</v>
      </c>
      <c r="B989" s="34"/>
      <c r="C989" s="35" t="s">
        <v>1050</v>
      </c>
      <c r="D989" s="35"/>
      <c r="E989" s="35"/>
      <c r="F989" s="27"/>
      <c r="G989" s="24">
        <f>SUM(G1001,G990)</f>
        <v>25136.1</v>
      </c>
      <c r="H989" s="144" t="e">
        <f>SUM(#REF!+H1201+H1266+H1293)</f>
        <v>#REF!</v>
      </c>
      <c r="I989" s="24" t="e">
        <f aca="true" t="shared" si="26" ref="I989:I1012">SUM(H989/G989*100)</f>
        <v>#REF!</v>
      </c>
    </row>
    <row r="990" spans="1:9" ht="21" customHeight="1">
      <c r="A990" s="228" t="s">
        <v>620</v>
      </c>
      <c r="B990" s="34"/>
      <c r="C990" s="35" t="s">
        <v>1050</v>
      </c>
      <c r="D990" s="35" t="s">
        <v>663</v>
      </c>
      <c r="E990" s="35"/>
      <c r="F990" s="26"/>
      <c r="G990" s="24">
        <f>SUM(G991,G999)</f>
        <v>2193.6</v>
      </c>
      <c r="H990" s="24" t="e">
        <f>SUM(#REF!+H1138)+#REF!+H1129+H993</f>
        <v>#REF!</v>
      </c>
      <c r="I990" s="24" t="e">
        <f t="shared" si="26"/>
        <v>#REF!</v>
      </c>
    </row>
    <row r="991" spans="1:9" s="36" customFormat="1" ht="19.5" customHeight="1" hidden="1">
      <c r="A991" s="230" t="s">
        <v>774</v>
      </c>
      <c r="B991" s="58"/>
      <c r="C991" s="22" t="s">
        <v>1050</v>
      </c>
      <c r="D991" s="22" t="s">
        <v>663</v>
      </c>
      <c r="E991" s="22" t="s">
        <v>622</v>
      </c>
      <c r="F991" s="23"/>
      <c r="G991" s="24">
        <f>SUM(G992+G995)</f>
        <v>0</v>
      </c>
      <c r="H991" s="24" t="e">
        <f>SUM(H992+H1005)</f>
        <v>#REF!</v>
      </c>
      <c r="I991" s="24" t="e">
        <f t="shared" si="26"/>
        <v>#REF!</v>
      </c>
    </row>
    <row r="992" spans="1:9" ht="19.5" customHeight="1" hidden="1">
      <c r="A992" s="229" t="s">
        <v>772</v>
      </c>
      <c r="B992" s="34"/>
      <c r="C992" s="35" t="s">
        <v>1050</v>
      </c>
      <c r="D992" s="35" t="s">
        <v>663</v>
      </c>
      <c r="E992" s="35" t="s">
        <v>624</v>
      </c>
      <c r="F992" s="26"/>
      <c r="G992" s="24">
        <f>SUM(G993)</f>
        <v>0</v>
      </c>
      <c r="H992" s="24" t="e">
        <f>SUM(#REF!)</f>
        <v>#REF!</v>
      </c>
      <c r="I992" s="24" t="e">
        <f t="shared" si="26"/>
        <v>#REF!</v>
      </c>
    </row>
    <row r="993" spans="1:9" ht="19.5" customHeight="1" hidden="1">
      <c r="A993" s="229" t="s">
        <v>771</v>
      </c>
      <c r="B993" s="34"/>
      <c r="C993" s="35" t="s">
        <v>1050</v>
      </c>
      <c r="D993" s="35" t="s">
        <v>663</v>
      </c>
      <c r="E993" s="35" t="s">
        <v>836</v>
      </c>
      <c r="F993" s="26"/>
      <c r="G993" s="24">
        <f>SUM(G994)</f>
        <v>0</v>
      </c>
      <c r="H993" s="24">
        <v>872.8</v>
      </c>
      <c r="I993" s="24" t="e">
        <f t="shared" si="26"/>
        <v>#DIV/0!</v>
      </c>
    </row>
    <row r="994" spans="1:9" ht="15" hidden="1">
      <c r="A994" s="228" t="s">
        <v>917</v>
      </c>
      <c r="B994" s="34"/>
      <c r="C994" s="35" t="s">
        <v>1050</v>
      </c>
      <c r="D994" s="35" t="s">
        <v>663</v>
      </c>
      <c r="E994" s="35" t="s">
        <v>836</v>
      </c>
      <c r="F994" s="23" t="s">
        <v>1054</v>
      </c>
      <c r="G994" s="49"/>
      <c r="H994" s="24" t="e">
        <f>SUM(#REF!)</f>
        <v>#REF!</v>
      </c>
      <c r="I994" s="24" t="e">
        <f t="shared" si="26"/>
        <v>#REF!</v>
      </c>
    </row>
    <row r="995" spans="1:9" ht="19.5" customHeight="1" hidden="1">
      <c r="A995" s="229" t="s">
        <v>773</v>
      </c>
      <c r="B995" s="34"/>
      <c r="C995" s="35" t="s">
        <v>1050</v>
      </c>
      <c r="D995" s="35" t="s">
        <v>663</v>
      </c>
      <c r="E995" s="35" t="s">
        <v>626</v>
      </c>
      <c r="F995" s="26"/>
      <c r="G995" s="24">
        <f>SUM(G996)</f>
        <v>0</v>
      </c>
      <c r="H995" s="24" t="e">
        <f>SUM(#REF!)</f>
        <v>#REF!</v>
      </c>
      <c r="I995" s="24" t="e">
        <f t="shared" si="26"/>
        <v>#REF!</v>
      </c>
    </row>
    <row r="996" spans="1:9" ht="19.5" customHeight="1" hidden="1">
      <c r="A996" s="229" t="s">
        <v>631</v>
      </c>
      <c r="B996" s="34"/>
      <c r="C996" s="35" t="s">
        <v>1050</v>
      </c>
      <c r="D996" s="35" t="s">
        <v>663</v>
      </c>
      <c r="E996" s="35" t="s">
        <v>632</v>
      </c>
      <c r="F996" s="26"/>
      <c r="G996" s="24">
        <f>SUM(G998,G997)</f>
        <v>0</v>
      </c>
      <c r="H996" s="24">
        <v>872.8</v>
      </c>
      <c r="I996" s="24" t="e">
        <f t="shared" si="26"/>
        <v>#DIV/0!</v>
      </c>
    </row>
    <row r="997" spans="1:9" ht="19.5" customHeight="1" hidden="1">
      <c r="A997" s="229" t="s">
        <v>1053</v>
      </c>
      <c r="B997" s="34"/>
      <c r="C997" s="35" t="s">
        <v>1050</v>
      </c>
      <c r="D997" s="35" t="s">
        <v>663</v>
      </c>
      <c r="E997" s="35" t="s">
        <v>632</v>
      </c>
      <c r="F997" s="26" t="s">
        <v>1054</v>
      </c>
      <c r="G997" s="24"/>
      <c r="H997" s="24"/>
      <c r="I997" s="24"/>
    </row>
    <row r="998" spans="1:9" ht="15" hidden="1">
      <c r="A998" s="257" t="s">
        <v>639</v>
      </c>
      <c r="B998" s="34"/>
      <c r="C998" s="35" t="s">
        <v>1050</v>
      </c>
      <c r="D998" s="35" t="s">
        <v>663</v>
      </c>
      <c r="E998" s="35" t="s">
        <v>632</v>
      </c>
      <c r="F998" s="23" t="s">
        <v>640</v>
      </c>
      <c r="G998" s="49"/>
      <c r="H998" s="24" t="e">
        <f>SUM(#REF!)</f>
        <v>#REF!</v>
      </c>
      <c r="I998" s="24" t="e">
        <f t="shared" si="26"/>
        <v>#REF!</v>
      </c>
    </row>
    <row r="999" spans="1:9" ht="15">
      <c r="A999" s="257" t="s">
        <v>595</v>
      </c>
      <c r="B999" s="34"/>
      <c r="C999" s="35" t="s">
        <v>1050</v>
      </c>
      <c r="D999" s="35" t="s">
        <v>663</v>
      </c>
      <c r="E999" s="35" t="s">
        <v>594</v>
      </c>
      <c r="F999" s="23"/>
      <c r="G999" s="49">
        <f>SUM(G1000)</f>
        <v>2193.6</v>
      </c>
      <c r="H999" s="24"/>
      <c r="I999" s="24"/>
    </row>
    <row r="1000" spans="1:9" ht="15">
      <c r="A1000" s="257" t="s">
        <v>1053</v>
      </c>
      <c r="B1000" s="34"/>
      <c r="C1000" s="35" t="s">
        <v>1050</v>
      </c>
      <c r="D1000" s="35" t="s">
        <v>663</v>
      </c>
      <c r="E1000" s="35" t="s">
        <v>594</v>
      </c>
      <c r="F1000" s="26" t="s">
        <v>1054</v>
      </c>
      <c r="G1000" s="49">
        <v>2193.6</v>
      </c>
      <c r="H1000" s="24"/>
      <c r="I1000" s="24"/>
    </row>
    <row r="1001" spans="1:9" ht="21" customHeight="1">
      <c r="A1001" s="228" t="s">
        <v>887</v>
      </c>
      <c r="B1001" s="34"/>
      <c r="C1001" s="35" t="s">
        <v>1050</v>
      </c>
      <c r="D1001" s="35" t="s">
        <v>665</v>
      </c>
      <c r="E1001" s="35"/>
      <c r="F1001" s="26"/>
      <c r="G1001" s="24">
        <f>SUM(G1002,G1005,G1008)</f>
        <v>22942.5</v>
      </c>
      <c r="H1001" s="24" t="e">
        <f>SUM(#REF!+H1142)+#REF!+H1138+H1006</f>
        <v>#REF!</v>
      </c>
      <c r="I1001" s="24" t="e">
        <f t="shared" si="26"/>
        <v>#REF!</v>
      </c>
    </row>
    <row r="1002" spans="1:9" ht="19.5" customHeight="1" hidden="1">
      <c r="A1002" s="229" t="s">
        <v>775</v>
      </c>
      <c r="B1002" s="34"/>
      <c r="C1002" s="35" t="s">
        <v>1050</v>
      </c>
      <c r="D1002" s="35" t="s">
        <v>665</v>
      </c>
      <c r="E1002" s="35" t="s">
        <v>360</v>
      </c>
      <c r="F1002" s="26"/>
      <c r="G1002" s="24">
        <f>SUM(G1003)</f>
        <v>0</v>
      </c>
      <c r="H1002" s="24" t="e">
        <f>SUM(#REF!)</f>
        <v>#REF!</v>
      </c>
      <c r="I1002" s="24" t="e">
        <f t="shared" si="26"/>
        <v>#REF!</v>
      </c>
    </row>
    <row r="1003" spans="1:9" ht="19.5" customHeight="1" hidden="1">
      <c r="A1003" s="224" t="s">
        <v>776</v>
      </c>
      <c r="B1003" s="34"/>
      <c r="C1003" s="35" t="s">
        <v>1050</v>
      </c>
      <c r="D1003" s="35" t="s">
        <v>665</v>
      </c>
      <c r="E1003" s="35" t="s">
        <v>362</v>
      </c>
      <c r="F1003" s="26"/>
      <c r="G1003" s="24">
        <f>SUM(G1004)</f>
        <v>0</v>
      </c>
      <c r="H1003" s="24">
        <v>872.8</v>
      </c>
      <c r="I1003" s="24" t="e">
        <f t="shared" si="26"/>
        <v>#DIV/0!</v>
      </c>
    </row>
    <row r="1004" spans="1:9" ht="15" hidden="1">
      <c r="A1004" s="222" t="s">
        <v>796</v>
      </c>
      <c r="B1004" s="34"/>
      <c r="C1004" s="35" t="s">
        <v>1050</v>
      </c>
      <c r="D1004" s="35" t="s">
        <v>665</v>
      </c>
      <c r="E1004" s="35" t="s">
        <v>362</v>
      </c>
      <c r="F1004" s="23" t="s">
        <v>797</v>
      </c>
      <c r="G1004" s="49"/>
      <c r="H1004" s="24" t="e">
        <f>SUM(#REF!)</f>
        <v>#REF!</v>
      </c>
      <c r="I1004" s="24" t="e">
        <f t="shared" si="26"/>
        <v>#REF!</v>
      </c>
    </row>
    <row r="1005" spans="1:9" ht="21" customHeight="1">
      <c r="A1005" s="229" t="s">
        <v>363</v>
      </c>
      <c r="B1005" s="34"/>
      <c r="C1005" s="35" t="s">
        <v>1050</v>
      </c>
      <c r="D1005" s="35" t="s">
        <v>665</v>
      </c>
      <c r="E1005" s="35" t="s">
        <v>889</v>
      </c>
      <c r="F1005" s="26"/>
      <c r="G1005" s="24">
        <f>SUM(G1006)</f>
        <v>17728.9</v>
      </c>
      <c r="H1005" s="24" t="e">
        <f>SUM(#REF!)</f>
        <v>#REF!</v>
      </c>
      <c r="I1005" s="24" t="e">
        <f t="shared" si="26"/>
        <v>#REF!</v>
      </c>
    </row>
    <row r="1006" spans="1:9" ht="27" customHeight="1">
      <c r="A1006" s="224" t="s">
        <v>860</v>
      </c>
      <c r="B1006" s="34"/>
      <c r="C1006" s="35" t="s">
        <v>1050</v>
      </c>
      <c r="D1006" s="35" t="s">
        <v>665</v>
      </c>
      <c r="E1006" s="35" t="s">
        <v>861</v>
      </c>
      <c r="F1006" s="26"/>
      <c r="G1006" s="24">
        <f>SUM(G1007)</f>
        <v>17728.9</v>
      </c>
      <c r="H1006" s="24">
        <v>872.8</v>
      </c>
      <c r="I1006" s="24">
        <f t="shared" si="26"/>
        <v>4.923035270095719</v>
      </c>
    </row>
    <row r="1007" spans="1:9" ht="27" customHeight="1">
      <c r="A1007" s="222" t="s">
        <v>1010</v>
      </c>
      <c r="B1007" s="34"/>
      <c r="C1007" s="35" t="s">
        <v>1050</v>
      </c>
      <c r="D1007" s="35" t="s">
        <v>665</v>
      </c>
      <c r="E1007" s="35" t="s">
        <v>861</v>
      </c>
      <c r="F1007" s="23" t="s">
        <v>1011</v>
      </c>
      <c r="G1007" s="49">
        <v>17728.9</v>
      </c>
      <c r="H1007" s="24" t="e">
        <f>SUM(#REF!)</f>
        <v>#REF!</v>
      </c>
      <c r="I1007" s="24" t="e">
        <f t="shared" si="26"/>
        <v>#REF!</v>
      </c>
    </row>
    <row r="1008" spans="1:9" ht="15">
      <c r="A1008" s="224" t="s">
        <v>785</v>
      </c>
      <c r="B1008" s="45"/>
      <c r="C1008" s="35" t="s">
        <v>1050</v>
      </c>
      <c r="D1008" s="35" t="s">
        <v>665</v>
      </c>
      <c r="E1008" s="46" t="s">
        <v>786</v>
      </c>
      <c r="F1008" s="26"/>
      <c r="G1008" s="49">
        <f>SUM(G1009)</f>
        <v>5213.6</v>
      </c>
      <c r="H1008" s="24"/>
      <c r="I1008" s="24"/>
    </row>
    <row r="1009" spans="1:9" ht="42.75">
      <c r="A1009" s="222" t="s">
        <v>743</v>
      </c>
      <c r="B1009" s="45"/>
      <c r="C1009" s="35" t="s">
        <v>1050</v>
      </c>
      <c r="D1009" s="35" t="s">
        <v>665</v>
      </c>
      <c r="E1009" s="46" t="s">
        <v>717</v>
      </c>
      <c r="F1009" s="26"/>
      <c r="G1009" s="49">
        <f>SUM(G1010)</f>
        <v>5213.6</v>
      </c>
      <c r="H1009" s="24"/>
      <c r="I1009" s="24"/>
    </row>
    <row r="1010" spans="1:9" ht="19.5" customHeight="1">
      <c r="A1010" s="222" t="s">
        <v>1010</v>
      </c>
      <c r="B1010" s="34"/>
      <c r="C1010" s="35" t="s">
        <v>1050</v>
      </c>
      <c r="D1010" s="35" t="s">
        <v>665</v>
      </c>
      <c r="E1010" s="46" t="s">
        <v>717</v>
      </c>
      <c r="F1010" s="23" t="s">
        <v>1011</v>
      </c>
      <c r="G1010" s="49">
        <v>5213.6</v>
      </c>
      <c r="H1010" s="24"/>
      <c r="I1010" s="24"/>
    </row>
    <row r="1011" spans="1:9" s="377" customFormat="1" ht="21.75" customHeight="1">
      <c r="A1011" s="236" t="s">
        <v>1197</v>
      </c>
      <c r="B1011" s="30"/>
      <c r="C1011" s="72" t="s">
        <v>793</v>
      </c>
      <c r="D1011" s="72" t="s">
        <v>1198</v>
      </c>
      <c r="E1011" s="72"/>
      <c r="F1011" s="44"/>
      <c r="G1011" s="49">
        <f>SUM(G1012)+G1035</f>
        <v>32043.5</v>
      </c>
      <c r="H1011" s="49" t="e">
        <f>SUM(H1012+H1026+#REF!+H1296+H1323)</f>
        <v>#REF!</v>
      </c>
      <c r="I1011" s="49" t="e">
        <f t="shared" si="26"/>
        <v>#REF!</v>
      </c>
    </row>
    <row r="1012" spans="1:9" s="36" customFormat="1" ht="18" customHeight="1">
      <c r="A1012" s="236" t="s">
        <v>820</v>
      </c>
      <c r="B1012" s="21"/>
      <c r="C1012" s="72" t="s">
        <v>793</v>
      </c>
      <c r="D1012" s="72" t="s">
        <v>1013</v>
      </c>
      <c r="E1012" s="72"/>
      <c r="F1012" s="44"/>
      <c r="G1012" s="49">
        <f>SUM(G1013+G1023+G1029)+G1019</f>
        <v>18135.5</v>
      </c>
      <c r="H1012" s="49">
        <f>SUM(H1026+H1258+H1261+H1268+H1023)</f>
        <v>53118.9</v>
      </c>
      <c r="I1012" s="24">
        <f t="shared" si="26"/>
        <v>292.9001130379642</v>
      </c>
    </row>
    <row r="1013" spans="1:9" s="36" customFormat="1" ht="18" customHeight="1">
      <c r="A1013" s="236" t="s">
        <v>1103</v>
      </c>
      <c r="B1013" s="21"/>
      <c r="C1013" s="22" t="s">
        <v>793</v>
      </c>
      <c r="D1013" s="35" t="s">
        <v>1013</v>
      </c>
      <c r="E1013" s="22" t="s">
        <v>1104</v>
      </c>
      <c r="F1013" s="44"/>
      <c r="G1013" s="49">
        <f>SUM(G1014)</f>
        <v>5862.5</v>
      </c>
      <c r="H1013" s="49"/>
      <c r="I1013" s="24"/>
    </row>
    <row r="1014" spans="1:9" s="36" customFormat="1" ht="21.75" customHeight="1">
      <c r="A1014" s="224" t="s">
        <v>1100</v>
      </c>
      <c r="B1014" s="21"/>
      <c r="C1014" s="22" t="s">
        <v>793</v>
      </c>
      <c r="D1014" s="35" t="s">
        <v>1013</v>
      </c>
      <c r="E1014" s="22" t="s">
        <v>1101</v>
      </c>
      <c r="F1014" s="23"/>
      <c r="G1014" s="49">
        <f>SUM(G1017)+G1015</f>
        <v>5862.5</v>
      </c>
      <c r="H1014" s="49"/>
      <c r="I1014" s="24"/>
    </row>
    <row r="1015" spans="1:9" s="36" customFormat="1" ht="30" customHeight="1">
      <c r="A1015" s="224" t="s">
        <v>1272</v>
      </c>
      <c r="B1015" s="21"/>
      <c r="C1015" s="22" t="s">
        <v>793</v>
      </c>
      <c r="D1015" s="35" t="s">
        <v>1013</v>
      </c>
      <c r="E1015" s="22" t="s">
        <v>1260</v>
      </c>
      <c r="F1015" s="23"/>
      <c r="G1015" s="49">
        <f>SUM(G1016)</f>
        <v>1425.6</v>
      </c>
      <c r="H1015" s="49"/>
      <c r="I1015" s="24"/>
    </row>
    <row r="1016" spans="1:9" s="36" customFormat="1" ht="21.75" customHeight="1">
      <c r="A1016" s="222" t="s">
        <v>378</v>
      </c>
      <c r="B1016" s="21"/>
      <c r="C1016" s="22" t="s">
        <v>793</v>
      </c>
      <c r="D1016" s="35" t="s">
        <v>1013</v>
      </c>
      <c r="E1016" s="22" t="s">
        <v>1260</v>
      </c>
      <c r="F1016" s="23" t="s">
        <v>379</v>
      </c>
      <c r="G1016" s="49">
        <v>1425.6</v>
      </c>
      <c r="H1016" s="49"/>
      <c r="I1016" s="24"/>
    </row>
    <row r="1017" spans="1:9" s="36" customFormat="1" ht="28.5" customHeight="1">
      <c r="A1017" s="224" t="s">
        <v>1216</v>
      </c>
      <c r="B1017" s="21"/>
      <c r="C1017" s="35" t="s">
        <v>793</v>
      </c>
      <c r="D1017" s="35" t="s">
        <v>1013</v>
      </c>
      <c r="E1017" s="22" t="s">
        <v>1102</v>
      </c>
      <c r="F1017" s="26"/>
      <c r="G1017" s="49">
        <f>SUM(G1018)</f>
        <v>4436.9</v>
      </c>
      <c r="H1017" s="49"/>
      <c r="I1017" s="24"/>
    </row>
    <row r="1018" spans="1:9" s="36" customFormat="1" ht="15" customHeight="1">
      <c r="A1018" s="224" t="s">
        <v>243</v>
      </c>
      <c r="B1018" s="21"/>
      <c r="C1018" s="35" t="s">
        <v>793</v>
      </c>
      <c r="D1018" s="35" t="s">
        <v>1013</v>
      </c>
      <c r="E1018" s="22" t="s">
        <v>1102</v>
      </c>
      <c r="F1018" s="26" t="s">
        <v>245</v>
      </c>
      <c r="G1018" s="49">
        <v>4436.9</v>
      </c>
      <c r="H1018" s="49"/>
      <c r="I1018" s="24"/>
    </row>
    <row r="1019" spans="1:9" s="36" customFormat="1" ht="19.5" customHeight="1">
      <c r="A1019" s="222" t="s">
        <v>720</v>
      </c>
      <c r="B1019" s="21"/>
      <c r="C1019" s="22" t="s">
        <v>793</v>
      </c>
      <c r="D1019" s="22" t="s">
        <v>1013</v>
      </c>
      <c r="E1019" s="22" t="s">
        <v>723</v>
      </c>
      <c r="F1019" s="26"/>
      <c r="G1019" s="49">
        <f>SUM(G1020)</f>
        <v>3020.4</v>
      </c>
      <c r="H1019" s="49"/>
      <c r="I1019" s="24"/>
    </row>
    <row r="1020" spans="1:9" s="36" customFormat="1" ht="33" customHeight="1">
      <c r="A1020" s="222" t="s">
        <v>722</v>
      </c>
      <c r="B1020" s="21"/>
      <c r="C1020" s="35" t="s">
        <v>793</v>
      </c>
      <c r="D1020" s="35" t="s">
        <v>1013</v>
      </c>
      <c r="E1020" s="22" t="s">
        <v>721</v>
      </c>
      <c r="F1020" s="23"/>
      <c r="G1020" s="24">
        <f>SUM(G1021)</f>
        <v>3020.4</v>
      </c>
      <c r="H1020" s="49"/>
      <c r="I1020" s="24"/>
    </row>
    <row r="1021" spans="1:9" s="36" customFormat="1" ht="19.5" customHeight="1">
      <c r="A1021" s="222" t="s">
        <v>1010</v>
      </c>
      <c r="B1021" s="21"/>
      <c r="C1021" s="35" t="s">
        <v>793</v>
      </c>
      <c r="D1021" s="35" t="s">
        <v>1013</v>
      </c>
      <c r="E1021" s="22" t="s">
        <v>721</v>
      </c>
      <c r="F1021" s="26" t="s">
        <v>1011</v>
      </c>
      <c r="G1021" s="24">
        <v>3020.4</v>
      </c>
      <c r="H1021" s="49"/>
      <c r="I1021" s="24"/>
    </row>
    <row r="1022" spans="1:9" s="36" customFormat="1" ht="19.5" customHeight="1" hidden="1">
      <c r="A1022" s="222" t="s">
        <v>378</v>
      </c>
      <c r="B1022" s="77"/>
      <c r="C1022" s="35" t="s">
        <v>793</v>
      </c>
      <c r="D1022" s="35" t="s">
        <v>1013</v>
      </c>
      <c r="E1022" s="22" t="s">
        <v>969</v>
      </c>
      <c r="F1022" s="88" t="s">
        <v>379</v>
      </c>
      <c r="G1022" s="49"/>
      <c r="H1022" s="49"/>
      <c r="I1022" s="24"/>
    </row>
    <row r="1023" spans="1:9" ht="19.5" customHeight="1">
      <c r="A1023" s="222" t="s">
        <v>785</v>
      </c>
      <c r="B1023" s="51"/>
      <c r="C1023" s="35" t="s">
        <v>793</v>
      </c>
      <c r="D1023" s="35" t="s">
        <v>1013</v>
      </c>
      <c r="E1023" s="35" t="s">
        <v>786</v>
      </c>
      <c r="F1023" s="88"/>
      <c r="G1023" s="49">
        <f>SUM(G1024)</f>
        <v>5738.2</v>
      </c>
      <c r="H1023" s="24"/>
      <c r="I1023" s="24"/>
    </row>
    <row r="1024" spans="1:9" ht="42.75">
      <c r="A1024" s="222" t="s">
        <v>1190</v>
      </c>
      <c r="B1024" s="77"/>
      <c r="C1024" s="35" t="s">
        <v>793</v>
      </c>
      <c r="D1024" s="35" t="s">
        <v>1013</v>
      </c>
      <c r="E1024" s="35" t="s">
        <v>652</v>
      </c>
      <c r="F1024" s="88"/>
      <c r="G1024" s="49">
        <f>SUM(G1025)+G1027</f>
        <v>5738.2</v>
      </c>
      <c r="H1024" s="24"/>
      <c r="I1024" s="24"/>
    </row>
    <row r="1025" spans="1:9" ht="28.5">
      <c r="A1025" s="222" t="s">
        <v>1191</v>
      </c>
      <c r="B1025" s="77"/>
      <c r="C1025" s="35" t="s">
        <v>793</v>
      </c>
      <c r="D1025" s="35" t="s">
        <v>1013</v>
      </c>
      <c r="E1025" s="35" t="s">
        <v>1192</v>
      </c>
      <c r="F1025" s="88"/>
      <c r="G1025" s="49">
        <f>SUM(G1026)</f>
        <v>5738.2</v>
      </c>
      <c r="H1025" s="24"/>
      <c r="I1025" s="24"/>
    </row>
    <row r="1026" spans="1:9" ht="15">
      <c r="A1026" s="224" t="s">
        <v>243</v>
      </c>
      <c r="B1026" s="77"/>
      <c r="C1026" s="35" t="s">
        <v>793</v>
      </c>
      <c r="D1026" s="35" t="s">
        <v>1013</v>
      </c>
      <c r="E1026" s="35" t="s">
        <v>1192</v>
      </c>
      <c r="F1026" s="23" t="s">
        <v>245</v>
      </c>
      <c r="G1026" s="49">
        <v>5738.2</v>
      </c>
      <c r="H1026" s="24"/>
      <c r="I1026" s="24"/>
    </row>
    <row r="1027" spans="1:9" ht="28.5" hidden="1">
      <c r="A1027" s="222" t="s">
        <v>1226</v>
      </c>
      <c r="B1027" s="77"/>
      <c r="C1027" s="35" t="s">
        <v>793</v>
      </c>
      <c r="D1027" s="35" t="s">
        <v>1013</v>
      </c>
      <c r="E1027" s="35" t="s">
        <v>244</v>
      </c>
      <c r="F1027" s="88"/>
      <c r="G1027" s="49">
        <f>SUM(G1028)</f>
        <v>0</v>
      </c>
      <c r="H1027" s="24"/>
      <c r="I1027" s="24"/>
    </row>
    <row r="1028" spans="1:9" ht="15" hidden="1">
      <c r="A1028" s="222" t="s">
        <v>243</v>
      </c>
      <c r="B1028" s="77"/>
      <c r="C1028" s="35" t="s">
        <v>793</v>
      </c>
      <c r="D1028" s="35" t="s">
        <v>1013</v>
      </c>
      <c r="E1028" s="35" t="s">
        <v>244</v>
      </c>
      <c r="F1028" s="88" t="s">
        <v>245</v>
      </c>
      <c r="G1028" s="49"/>
      <c r="H1028" s="24"/>
      <c r="I1028" s="24"/>
    </row>
    <row r="1029" spans="1:9" ht="15">
      <c r="A1029" s="234" t="s">
        <v>1046</v>
      </c>
      <c r="B1029" s="21"/>
      <c r="C1029" s="35" t="s">
        <v>793</v>
      </c>
      <c r="D1029" s="35" t="s">
        <v>1013</v>
      </c>
      <c r="E1029" s="35" t="s">
        <v>1047</v>
      </c>
      <c r="F1029" s="26"/>
      <c r="G1029" s="24">
        <f>SUM(G1030)</f>
        <v>3514.4</v>
      </c>
      <c r="H1029" s="24"/>
      <c r="I1029" s="24"/>
    </row>
    <row r="1030" spans="1:9" ht="14.25" customHeight="1">
      <c r="A1030" s="236" t="s">
        <v>1010</v>
      </c>
      <c r="B1030" s="21"/>
      <c r="C1030" s="35" t="s">
        <v>793</v>
      </c>
      <c r="D1030" s="35" t="s">
        <v>1013</v>
      </c>
      <c r="E1030" s="35" t="s">
        <v>1047</v>
      </c>
      <c r="F1030" s="26" t="s">
        <v>1011</v>
      </c>
      <c r="G1030" s="24">
        <f>SUM(G1031:G1032)</f>
        <v>3514.4</v>
      </c>
      <c r="H1030" s="24"/>
      <c r="I1030" s="24"/>
    </row>
    <row r="1031" spans="1:9" ht="42" customHeight="1" hidden="1">
      <c r="A1031" s="236" t="s">
        <v>395</v>
      </c>
      <c r="B1031" s="21"/>
      <c r="C1031" s="35" t="s">
        <v>793</v>
      </c>
      <c r="D1031" s="35" t="s">
        <v>1013</v>
      </c>
      <c r="E1031" s="35" t="s">
        <v>396</v>
      </c>
      <c r="F1031" s="26" t="s">
        <v>1011</v>
      </c>
      <c r="G1031" s="24"/>
      <c r="H1031" s="24"/>
      <c r="I1031" s="24"/>
    </row>
    <row r="1032" spans="1:9" ht="28.5">
      <c r="A1032" s="236" t="s">
        <v>1073</v>
      </c>
      <c r="B1032" s="21"/>
      <c r="C1032" s="35" t="s">
        <v>793</v>
      </c>
      <c r="D1032" s="35" t="s">
        <v>1013</v>
      </c>
      <c r="E1032" s="31" t="s">
        <v>871</v>
      </c>
      <c r="F1032" s="23" t="s">
        <v>1011</v>
      </c>
      <c r="G1032" s="24">
        <f>SUM(G1033:G1034)</f>
        <v>3514.4</v>
      </c>
      <c r="H1032" s="24"/>
      <c r="I1032" s="24"/>
    </row>
    <row r="1033" spans="1:9" ht="32.25" customHeight="1">
      <c r="A1033" s="222" t="s">
        <v>1191</v>
      </c>
      <c r="B1033" s="34"/>
      <c r="C1033" s="35" t="s">
        <v>793</v>
      </c>
      <c r="D1033" s="35" t="s">
        <v>1013</v>
      </c>
      <c r="E1033" s="31" t="s">
        <v>249</v>
      </c>
      <c r="F1033" s="23" t="s">
        <v>1011</v>
      </c>
      <c r="G1033" s="49">
        <v>3514.4</v>
      </c>
      <c r="H1033" s="24"/>
      <c r="I1033" s="24"/>
    </row>
    <row r="1034" spans="1:9" ht="31.5" customHeight="1" hidden="1">
      <c r="A1034" s="228" t="s">
        <v>1251</v>
      </c>
      <c r="B1034" s="34"/>
      <c r="C1034" s="35" t="s">
        <v>793</v>
      </c>
      <c r="D1034" s="35" t="s">
        <v>1013</v>
      </c>
      <c r="E1034" s="31" t="s">
        <v>1128</v>
      </c>
      <c r="F1034" s="23" t="s">
        <v>1011</v>
      </c>
      <c r="G1034" s="49"/>
      <c r="H1034" s="24"/>
      <c r="I1034" s="24"/>
    </row>
    <row r="1035" spans="1:9" ht="17.25" customHeight="1">
      <c r="A1035" s="224" t="s">
        <v>1129</v>
      </c>
      <c r="B1035" s="21"/>
      <c r="C1035" s="31" t="s">
        <v>793</v>
      </c>
      <c r="D1035" s="72" t="s">
        <v>1037</v>
      </c>
      <c r="E1035" s="72"/>
      <c r="F1035" s="27"/>
      <c r="G1035" s="49">
        <f>SUM(G1036)</f>
        <v>13908</v>
      </c>
      <c r="H1035" s="49">
        <f>SUM(H1036)</f>
        <v>0</v>
      </c>
      <c r="I1035" s="24">
        <f>SUM(H1035/G1035*100)</f>
        <v>0</v>
      </c>
    </row>
    <row r="1036" spans="1:9" s="36" customFormat="1" ht="50.25" customHeight="1">
      <c r="A1036" s="222" t="s">
        <v>1238</v>
      </c>
      <c r="B1036" s="21"/>
      <c r="C1036" s="31" t="s">
        <v>793</v>
      </c>
      <c r="D1036" s="72" t="s">
        <v>1037</v>
      </c>
      <c r="E1036" s="22" t="s">
        <v>1239</v>
      </c>
      <c r="F1036" s="23"/>
      <c r="G1036" s="24">
        <f>SUM(G1037)</f>
        <v>13908</v>
      </c>
      <c r="H1036" s="49"/>
      <c r="I1036" s="24"/>
    </row>
    <row r="1037" spans="1:9" s="36" customFormat="1" ht="60.75" customHeight="1">
      <c r="A1037" s="224" t="s">
        <v>968</v>
      </c>
      <c r="B1037" s="21"/>
      <c r="C1037" s="31" t="s">
        <v>793</v>
      </c>
      <c r="D1037" s="72" t="s">
        <v>1037</v>
      </c>
      <c r="E1037" s="22" t="s">
        <v>969</v>
      </c>
      <c r="F1037" s="26"/>
      <c r="G1037" s="24">
        <f>SUM(G1038)</f>
        <v>13908</v>
      </c>
      <c r="H1037" s="49"/>
      <c r="I1037" s="24"/>
    </row>
    <row r="1038" spans="1:9" s="36" customFormat="1" ht="16.5" customHeight="1">
      <c r="A1038" s="222" t="s">
        <v>378</v>
      </c>
      <c r="B1038" s="77"/>
      <c r="C1038" s="31" t="s">
        <v>793</v>
      </c>
      <c r="D1038" s="72" t="s">
        <v>1037</v>
      </c>
      <c r="E1038" s="22" t="s">
        <v>969</v>
      </c>
      <c r="F1038" s="88" t="s">
        <v>379</v>
      </c>
      <c r="G1038" s="49">
        <v>13908</v>
      </c>
      <c r="H1038" s="49"/>
      <c r="I1038" s="24"/>
    </row>
    <row r="1039" spans="1:9" s="255" customFormat="1" ht="15" hidden="1">
      <c r="A1039" s="236" t="s">
        <v>230</v>
      </c>
      <c r="B1039" s="30"/>
      <c r="C1039" s="31" t="s">
        <v>585</v>
      </c>
      <c r="D1039" s="31"/>
      <c r="E1039" s="31"/>
      <c r="F1039" s="88"/>
      <c r="G1039" s="49">
        <f>SUM(G1040)</f>
        <v>0</v>
      </c>
      <c r="H1039" s="49" t="e">
        <f>SUM(H1040+#REF!+H1053+H1062+H1078+H1102)</f>
        <v>#REF!</v>
      </c>
      <c r="I1039" s="49" t="e">
        <f>SUM(H1039/G1039*100)</f>
        <v>#REF!</v>
      </c>
    </row>
    <row r="1040" spans="1:9" ht="15" hidden="1">
      <c r="A1040" s="222" t="s">
        <v>1334</v>
      </c>
      <c r="B1040" s="21"/>
      <c r="C1040" s="22" t="s">
        <v>585</v>
      </c>
      <c r="D1040" s="22" t="s">
        <v>1050</v>
      </c>
      <c r="E1040" s="35"/>
      <c r="F1040" s="26"/>
      <c r="G1040" s="49">
        <f>SUM(G1041)</f>
        <v>0</v>
      </c>
      <c r="H1040" s="24"/>
      <c r="I1040" s="24"/>
    </row>
    <row r="1041" spans="1:9" ht="15" hidden="1">
      <c r="A1041" s="234" t="s">
        <v>1046</v>
      </c>
      <c r="B1041" s="34"/>
      <c r="C1041" s="22" t="s">
        <v>585</v>
      </c>
      <c r="D1041" s="22" t="s">
        <v>1050</v>
      </c>
      <c r="E1041" s="35" t="s">
        <v>1047</v>
      </c>
      <c r="F1041" s="26"/>
      <c r="G1041" s="49">
        <f>SUM(G1042)</f>
        <v>0</v>
      </c>
      <c r="H1041" s="24" t="e">
        <f>SUM(#REF!)+#REF!+#REF!</f>
        <v>#REF!</v>
      </c>
      <c r="I1041" s="24" t="e">
        <f>SUM(H1041/G1041*100)</f>
        <v>#REF!</v>
      </c>
    </row>
    <row r="1042" spans="1:9" ht="28.5" hidden="1">
      <c r="A1042" s="222" t="s">
        <v>1196</v>
      </c>
      <c r="B1042" s="21"/>
      <c r="C1042" s="22" t="s">
        <v>585</v>
      </c>
      <c r="D1042" s="22" t="s">
        <v>1050</v>
      </c>
      <c r="E1042" s="35" t="s">
        <v>886</v>
      </c>
      <c r="F1042" s="88"/>
      <c r="G1042" s="49">
        <f>SUM(G1043)</f>
        <v>0</v>
      </c>
      <c r="H1042" s="49">
        <f>SUM(H1043)</f>
        <v>1042.3</v>
      </c>
      <c r="I1042" s="24" t="e">
        <f>SUM(H1042/G1042*100)</f>
        <v>#DIV/0!</v>
      </c>
    </row>
    <row r="1043" spans="1:9" ht="15" hidden="1">
      <c r="A1043" s="228" t="s">
        <v>917</v>
      </c>
      <c r="B1043" s="21"/>
      <c r="C1043" s="22" t="s">
        <v>585</v>
      </c>
      <c r="D1043" s="22" t="s">
        <v>1050</v>
      </c>
      <c r="E1043" s="35" t="s">
        <v>886</v>
      </c>
      <c r="F1043" s="88" t="s">
        <v>1054</v>
      </c>
      <c r="G1043" s="49"/>
      <c r="H1043" s="49">
        <v>1042.3</v>
      </c>
      <c r="I1043" s="24" t="e">
        <f>SUM(H1043/G1043*100)</f>
        <v>#DIV/0!</v>
      </c>
    </row>
    <row r="1044" spans="1:9" ht="37.5" customHeight="1">
      <c r="A1044" s="235" t="s">
        <v>403</v>
      </c>
      <c r="B1044" s="82" t="s">
        <v>1230</v>
      </c>
      <c r="C1044" s="41"/>
      <c r="D1044" s="80"/>
      <c r="E1044" s="80"/>
      <c r="F1044" s="81"/>
      <c r="G1044" s="141">
        <f>SUM(G1045+G1054+G1108)</f>
        <v>62228.7</v>
      </c>
      <c r="H1044" s="141" t="e">
        <f>SUM(#REF!+H1210)</f>
        <v>#REF!</v>
      </c>
      <c r="I1044" s="24" t="e">
        <f>SUM(H1044/G1044*100)</f>
        <v>#REF!</v>
      </c>
    </row>
    <row r="1045" spans="1:9" ht="19.5" customHeight="1" hidden="1">
      <c r="A1045" s="222" t="s">
        <v>662</v>
      </c>
      <c r="B1045" s="21"/>
      <c r="C1045" s="22" t="s">
        <v>663</v>
      </c>
      <c r="D1045" s="22"/>
      <c r="E1045" s="22"/>
      <c r="F1045" s="23"/>
      <c r="G1045" s="24">
        <f>SUM(G1046+G1050)</f>
        <v>0</v>
      </c>
      <c r="H1045" s="141"/>
      <c r="I1045" s="24"/>
    </row>
    <row r="1046" spans="1:9" ht="19.5" customHeight="1" hidden="1">
      <c r="A1046" s="222" t="s">
        <v>273</v>
      </c>
      <c r="B1046" s="21"/>
      <c r="C1046" s="22" t="s">
        <v>663</v>
      </c>
      <c r="D1046" s="22" t="s">
        <v>1037</v>
      </c>
      <c r="E1046" s="22"/>
      <c r="F1046" s="23"/>
      <c r="G1046" s="24">
        <f>SUM(G1047)</f>
        <v>0</v>
      </c>
      <c r="H1046" s="141"/>
      <c r="I1046" s="24"/>
    </row>
    <row r="1047" spans="1:9" ht="19.5" customHeight="1" hidden="1">
      <c r="A1047" s="222" t="s">
        <v>1006</v>
      </c>
      <c r="B1047" s="21"/>
      <c r="C1047" s="22" t="s">
        <v>663</v>
      </c>
      <c r="D1047" s="22" t="s">
        <v>1037</v>
      </c>
      <c r="E1047" s="22" t="s">
        <v>1007</v>
      </c>
      <c r="F1047" s="26"/>
      <c r="G1047" s="24">
        <f>SUM(G1048)</f>
        <v>0</v>
      </c>
      <c r="H1047" s="141"/>
      <c r="I1047" s="24"/>
    </row>
    <row r="1048" spans="1:9" ht="19.5" customHeight="1" hidden="1">
      <c r="A1048" s="222" t="s">
        <v>1014</v>
      </c>
      <c r="B1048" s="21"/>
      <c r="C1048" s="22" t="s">
        <v>663</v>
      </c>
      <c r="D1048" s="22" t="s">
        <v>1037</v>
      </c>
      <c r="E1048" s="22" t="s">
        <v>1016</v>
      </c>
      <c r="F1048" s="26"/>
      <c r="G1048" s="24">
        <f>SUM(G1049)</f>
        <v>0</v>
      </c>
      <c r="H1048" s="141"/>
      <c r="I1048" s="24"/>
    </row>
    <row r="1049" spans="1:9" ht="19.5" customHeight="1" hidden="1">
      <c r="A1049" s="222" t="s">
        <v>1010</v>
      </c>
      <c r="B1049" s="21"/>
      <c r="C1049" s="22" t="s">
        <v>663</v>
      </c>
      <c r="D1049" s="22" t="s">
        <v>1037</v>
      </c>
      <c r="E1049" s="22" t="s">
        <v>1016</v>
      </c>
      <c r="F1049" s="23" t="s">
        <v>1011</v>
      </c>
      <c r="G1049" s="24"/>
      <c r="H1049" s="141"/>
      <c r="I1049" s="24"/>
    </row>
    <row r="1050" spans="1:9" ht="15" hidden="1">
      <c r="A1050" s="222" t="s">
        <v>1019</v>
      </c>
      <c r="B1050" s="21"/>
      <c r="C1050" s="22" t="s">
        <v>663</v>
      </c>
      <c r="D1050" s="22" t="s">
        <v>571</v>
      </c>
      <c r="E1050" s="22"/>
      <c r="F1050" s="26"/>
      <c r="G1050" s="24">
        <f>SUM(G1051)</f>
        <v>0</v>
      </c>
      <c r="H1050" s="24">
        <f>SUM(H1051)</f>
        <v>186.6</v>
      </c>
      <c r="I1050" s="24" t="e">
        <f aca="true" t="shared" si="27" ref="I1050:I1060">SUM(H1050/G1050*100)</f>
        <v>#DIV/0!</v>
      </c>
    </row>
    <row r="1051" spans="1:9" ht="28.5" hidden="1">
      <c r="A1051" s="224" t="s">
        <v>1021</v>
      </c>
      <c r="B1051" s="21"/>
      <c r="C1051" s="22" t="s">
        <v>663</v>
      </c>
      <c r="D1051" s="22" t="s">
        <v>571</v>
      </c>
      <c r="E1051" s="22" t="s">
        <v>1022</v>
      </c>
      <c r="F1051" s="27"/>
      <c r="G1051" s="24">
        <f>SUM(G1053)</f>
        <v>0</v>
      </c>
      <c r="H1051" s="24">
        <f>SUM(H1053)</f>
        <v>186.6</v>
      </c>
      <c r="I1051" s="24" t="e">
        <f t="shared" si="27"/>
        <v>#DIV/0!</v>
      </c>
    </row>
    <row r="1052" spans="1:9" ht="15" hidden="1">
      <c r="A1052" s="224" t="s">
        <v>1023</v>
      </c>
      <c r="B1052" s="21"/>
      <c r="C1052" s="22" t="s">
        <v>663</v>
      </c>
      <c r="D1052" s="22" t="s">
        <v>571</v>
      </c>
      <c r="E1052" s="22" t="s">
        <v>241</v>
      </c>
      <c r="F1052" s="27"/>
      <c r="G1052" s="24">
        <f>SUM(G1053)</f>
        <v>0</v>
      </c>
      <c r="H1052" s="24">
        <f>SUM(H1053)</f>
        <v>186.6</v>
      </c>
      <c r="I1052" s="24" t="e">
        <f t="shared" si="27"/>
        <v>#DIV/0!</v>
      </c>
    </row>
    <row r="1053" spans="1:9" ht="19.5" customHeight="1" hidden="1">
      <c r="A1053" s="222" t="s">
        <v>1010</v>
      </c>
      <c r="B1053" s="21"/>
      <c r="C1053" s="22" t="s">
        <v>663</v>
      </c>
      <c r="D1053" s="22" t="s">
        <v>571</v>
      </c>
      <c r="E1053" s="22" t="s">
        <v>241</v>
      </c>
      <c r="F1053" s="27" t="s">
        <v>1011</v>
      </c>
      <c r="G1053" s="24">
        <f>276.8-276.8</f>
        <v>0</v>
      </c>
      <c r="H1053" s="24">
        <v>186.6</v>
      </c>
      <c r="I1053" s="24" t="e">
        <f t="shared" si="27"/>
        <v>#DIV/0!</v>
      </c>
    </row>
    <row r="1054" spans="1:9" s="255" customFormat="1" ht="15">
      <c r="A1054" s="236" t="s">
        <v>1025</v>
      </c>
      <c r="B1054" s="30"/>
      <c r="C1054" s="31" t="s">
        <v>1026</v>
      </c>
      <c r="D1054" s="31"/>
      <c r="E1054" s="31"/>
      <c r="F1054" s="88"/>
      <c r="G1054" s="24">
        <f>SUM(G1055,G1071,G1098)</f>
        <v>52536.1</v>
      </c>
      <c r="H1054" s="49" t="e">
        <f>SUM(H1055+H1130+H1261+H1293)</f>
        <v>#REF!</v>
      </c>
      <c r="I1054" s="49" t="e">
        <f t="shared" si="27"/>
        <v>#REF!</v>
      </c>
    </row>
    <row r="1055" spans="1:9" s="83" customFormat="1" ht="15.75" customHeight="1">
      <c r="A1055" s="222" t="s">
        <v>478</v>
      </c>
      <c r="B1055" s="82"/>
      <c r="C1055" s="35" t="s">
        <v>1026</v>
      </c>
      <c r="D1055" s="35" t="s">
        <v>665</v>
      </c>
      <c r="E1055" s="35"/>
      <c r="F1055" s="26"/>
      <c r="G1055" s="24">
        <f>SUM(G1059+G1068+G1056)</f>
        <v>47722.7</v>
      </c>
      <c r="H1055" s="24" t="e">
        <f>SUM(H1110+#REF!+H1153+H1191)+H1203+H1146+H1165+H1162+H1059+H1209</f>
        <v>#REF!</v>
      </c>
      <c r="I1055" s="24" t="e">
        <f t="shared" si="27"/>
        <v>#REF!</v>
      </c>
    </row>
    <row r="1056" spans="1:9" s="83" customFormat="1" ht="28.5" customHeight="1">
      <c r="A1056" s="222" t="s">
        <v>1021</v>
      </c>
      <c r="B1056" s="21"/>
      <c r="C1056" s="35" t="s">
        <v>1026</v>
      </c>
      <c r="D1056" s="35" t="s">
        <v>665</v>
      </c>
      <c r="E1056" s="22" t="s">
        <v>1022</v>
      </c>
      <c r="F1056" s="27"/>
      <c r="G1056" s="24">
        <f>SUM(G1057)</f>
        <v>316</v>
      </c>
      <c r="H1056" s="24"/>
      <c r="I1056" s="24"/>
    </row>
    <row r="1057" spans="1:9" s="83" customFormat="1" ht="30.75" customHeight="1">
      <c r="A1057" s="239" t="s">
        <v>745</v>
      </c>
      <c r="B1057" s="21"/>
      <c r="C1057" s="35" t="s">
        <v>1026</v>
      </c>
      <c r="D1057" s="35" t="s">
        <v>665</v>
      </c>
      <c r="E1057" s="22" t="s">
        <v>746</v>
      </c>
      <c r="F1057" s="26"/>
      <c r="G1057" s="24">
        <f>SUM(G1058)</f>
        <v>316</v>
      </c>
      <c r="H1057" s="24"/>
      <c r="I1057" s="24"/>
    </row>
    <row r="1058" spans="1:9" s="83" customFormat="1" ht="15.75" customHeight="1">
      <c r="A1058" s="234" t="s">
        <v>1080</v>
      </c>
      <c r="B1058" s="21"/>
      <c r="C1058" s="35" t="s">
        <v>1026</v>
      </c>
      <c r="D1058" s="35" t="s">
        <v>665</v>
      </c>
      <c r="E1058" s="22" t="s">
        <v>746</v>
      </c>
      <c r="F1058" s="88" t="s">
        <v>978</v>
      </c>
      <c r="G1058" s="24">
        <v>316</v>
      </c>
      <c r="H1058" s="24"/>
      <c r="I1058" s="24"/>
    </row>
    <row r="1059" spans="1:9" ht="18" customHeight="1">
      <c r="A1059" s="222" t="s">
        <v>432</v>
      </c>
      <c r="B1059" s="21"/>
      <c r="C1059" s="35" t="s">
        <v>1026</v>
      </c>
      <c r="D1059" s="35" t="s">
        <v>665</v>
      </c>
      <c r="E1059" s="35" t="s">
        <v>433</v>
      </c>
      <c r="F1059" s="26"/>
      <c r="G1059" s="24">
        <f>SUM(G1060)</f>
        <v>47176.7</v>
      </c>
      <c r="H1059" s="24">
        <f>SUM(H1060)</f>
        <v>58066.5</v>
      </c>
      <c r="I1059" s="24">
        <f t="shared" si="27"/>
        <v>123.08300495795595</v>
      </c>
    </row>
    <row r="1060" spans="1:9" ht="28.5" customHeight="1">
      <c r="A1060" s="222" t="s">
        <v>811</v>
      </c>
      <c r="B1060" s="82"/>
      <c r="C1060" s="35" t="s">
        <v>1026</v>
      </c>
      <c r="D1060" s="35" t="s">
        <v>665</v>
      </c>
      <c r="E1060" s="35" t="s">
        <v>971</v>
      </c>
      <c r="F1060" s="26"/>
      <c r="G1060" s="24">
        <f>SUM(G1061)+G1063</f>
        <v>47176.7</v>
      </c>
      <c r="H1060" s="24">
        <f>SUM(H1062+H1112+H1110)</f>
        <v>58066.5</v>
      </c>
      <c r="I1060" s="24">
        <f t="shared" si="27"/>
        <v>123.08300495795595</v>
      </c>
    </row>
    <row r="1061" spans="1:9" ht="35.25" customHeight="1">
      <c r="A1061" s="222" t="s">
        <v>997</v>
      </c>
      <c r="B1061" s="82"/>
      <c r="C1061" s="35" t="s">
        <v>1026</v>
      </c>
      <c r="D1061" s="35" t="s">
        <v>665</v>
      </c>
      <c r="E1061" s="35" t="s">
        <v>972</v>
      </c>
      <c r="F1061" s="26"/>
      <c r="G1061" s="24">
        <f>SUM(G1062)</f>
        <v>47076.7</v>
      </c>
      <c r="H1061" s="24"/>
      <c r="I1061" s="24"/>
    </row>
    <row r="1062" spans="1:9" ht="51.75" customHeight="1">
      <c r="A1062" s="234" t="s">
        <v>812</v>
      </c>
      <c r="B1062" s="51"/>
      <c r="C1062" s="35" t="s">
        <v>1026</v>
      </c>
      <c r="D1062" s="35" t="s">
        <v>665</v>
      </c>
      <c r="E1062" s="35" t="s">
        <v>972</v>
      </c>
      <c r="F1062" s="27" t="s">
        <v>897</v>
      </c>
      <c r="G1062" s="24">
        <v>47076.7</v>
      </c>
      <c r="H1062" s="24">
        <v>56722</v>
      </c>
      <c r="I1062" s="24">
        <f>SUM(H1062/G1062*100)</f>
        <v>120.48847943887317</v>
      </c>
    </row>
    <row r="1063" spans="1:9" ht="15.75" customHeight="1">
      <c r="A1063" s="234" t="s">
        <v>1126</v>
      </c>
      <c r="B1063" s="82"/>
      <c r="C1063" s="35" t="s">
        <v>1026</v>
      </c>
      <c r="D1063" s="35" t="s">
        <v>665</v>
      </c>
      <c r="E1063" s="35" t="s">
        <v>1094</v>
      </c>
      <c r="F1063" s="26"/>
      <c r="G1063" s="24">
        <f>SUM(G1066)+G1064</f>
        <v>100</v>
      </c>
      <c r="H1063" s="24"/>
      <c r="I1063" s="24"/>
    </row>
    <row r="1064" spans="1:9" ht="31.5" customHeight="1">
      <c r="A1064" s="234" t="s">
        <v>578</v>
      </c>
      <c r="B1064" s="82"/>
      <c r="C1064" s="35" t="s">
        <v>1026</v>
      </c>
      <c r="D1064" s="35" t="s">
        <v>665</v>
      </c>
      <c r="E1064" s="35" t="s">
        <v>1273</v>
      </c>
      <c r="F1064" s="26"/>
      <c r="G1064" s="24">
        <f>SUM(G1065)</f>
        <v>40</v>
      </c>
      <c r="H1064" s="24"/>
      <c r="I1064" s="24"/>
    </row>
    <row r="1065" spans="1:9" ht="15.75" customHeight="1">
      <c r="A1065" s="234" t="s">
        <v>1080</v>
      </c>
      <c r="B1065" s="82"/>
      <c r="C1065" s="35" t="s">
        <v>1026</v>
      </c>
      <c r="D1065" s="35" t="s">
        <v>665</v>
      </c>
      <c r="E1065" s="35" t="s">
        <v>1273</v>
      </c>
      <c r="F1065" s="26" t="s">
        <v>978</v>
      </c>
      <c r="G1065" s="24">
        <v>40</v>
      </c>
      <c r="H1065" s="24"/>
      <c r="I1065" s="24"/>
    </row>
    <row r="1066" spans="1:9" ht="15.75" customHeight="1">
      <c r="A1066" s="222" t="s">
        <v>1261</v>
      </c>
      <c r="B1066" s="82"/>
      <c r="C1066" s="35" t="s">
        <v>1026</v>
      </c>
      <c r="D1066" s="35" t="s">
        <v>665</v>
      </c>
      <c r="E1066" s="35" t="s">
        <v>1267</v>
      </c>
      <c r="F1066" s="26"/>
      <c r="G1066" s="24">
        <f>SUM(G1067)</f>
        <v>60</v>
      </c>
      <c r="H1066" s="24"/>
      <c r="I1066" s="24"/>
    </row>
    <row r="1067" spans="1:9" ht="27.75" customHeight="1">
      <c r="A1067" s="234" t="s">
        <v>1080</v>
      </c>
      <c r="B1067" s="82"/>
      <c r="C1067" s="35" t="s">
        <v>1026</v>
      </c>
      <c r="D1067" s="35" t="s">
        <v>665</v>
      </c>
      <c r="E1067" s="35" t="s">
        <v>1267</v>
      </c>
      <c r="F1067" s="26" t="s">
        <v>978</v>
      </c>
      <c r="G1067" s="24">
        <v>60</v>
      </c>
      <c r="H1067" s="24"/>
      <c r="I1067" s="24"/>
    </row>
    <row r="1068" spans="1:9" ht="15">
      <c r="A1068" s="234" t="s">
        <v>1046</v>
      </c>
      <c r="B1068" s="86"/>
      <c r="C1068" s="35" t="s">
        <v>1026</v>
      </c>
      <c r="D1068" s="35" t="s">
        <v>665</v>
      </c>
      <c r="E1068" s="35" t="s">
        <v>1047</v>
      </c>
      <c r="F1068" s="27"/>
      <c r="G1068" s="24">
        <f>SUM(G1069)</f>
        <v>230</v>
      </c>
      <c r="H1068" s="24" t="e">
        <f>SUM(#REF!)</f>
        <v>#REF!</v>
      </c>
      <c r="I1068" s="24" t="e">
        <f>SUM(H1068/G1068*100)</f>
        <v>#REF!</v>
      </c>
    </row>
    <row r="1069" spans="1:9" ht="47.25" customHeight="1">
      <c r="A1069" s="212" t="s">
        <v>1244</v>
      </c>
      <c r="B1069" s="86"/>
      <c r="C1069" s="35" t="s">
        <v>1026</v>
      </c>
      <c r="D1069" s="35" t="s">
        <v>665</v>
      </c>
      <c r="E1069" s="35" t="s">
        <v>383</v>
      </c>
      <c r="F1069" s="27"/>
      <c r="G1069" s="24">
        <f>SUM(G1070)</f>
        <v>230</v>
      </c>
      <c r="H1069" s="24"/>
      <c r="I1069" s="24"/>
    </row>
    <row r="1070" spans="1:9" ht="22.5" customHeight="1">
      <c r="A1070" s="234" t="s">
        <v>1080</v>
      </c>
      <c r="B1070" s="86"/>
      <c r="C1070" s="35" t="s">
        <v>1026</v>
      </c>
      <c r="D1070" s="35" t="s">
        <v>665</v>
      </c>
      <c r="E1070" s="35" t="s">
        <v>383</v>
      </c>
      <c r="F1070" s="27" t="s">
        <v>978</v>
      </c>
      <c r="G1070" s="24">
        <v>230</v>
      </c>
      <c r="H1070" s="24"/>
      <c r="I1070" s="24"/>
    </row>
    <row r="1071" spans="1:9" ht="23.25" customHeight="1">
      <c r="A1071" s="222" t="s">
        <v>1027</v>
      </c>
      <c r="B1071" s="28"/>
      <c r="C1071" s="22" t="s">
        <v>1026</v>
      </c>
      <c r="D1071" s="22" t="s">
        <v>1026</v>
      </c>
      <c r="E1071" s="22"/>
      <c r="F1071" s="23"/>
      <c r="G1071" s="24">
        <f>SUM(G1076)+G1089+G1085+G1092+G1072</f>
        <v>3215.1</v>
      </c>
      <c r="H1071" s="24" t="e">
        <f>SUM(H1076+H1109+H1129+H1072)</f>
        <v>#REF!</v>
      </c>
      <c r="I1071" s="24" t="e">
        <f aca="true" t="shared" si="28" ref="I1071:I1080">SUM(H1071/G1071*100)</f>
        <v>#REF!</v>
      </c>
    </row>
    <row r="1072" spans="1:9" ht="28.5">
      <c r="A1072" s="222" t="s">
        <v>1021</v>
      </c>
      <c r="B1072" s="21"/>
      <c r="C1072" s="35" t="s">
        <v>1026</v>
      </c>
      <c r="D1072" s="35" t="s">
        <v>1026</v>
      </c>
      <c r="E1072" s="22" t="s">
        <v>1022</v>
      </c>
      <c r="F1072" s="27"/>
      <c r="G1072" s="24">
        <f>SUM(G1073)</f>
        <v>35</v>
      </c>
      <c r="H1072" s="24">
        <f>SUM(H1073)</f>
        <v>1563.8</v>
      </c>
      <c r="I1072" s="24">
        <f t="shared" si="28"/>
        <v>4468</v>
      </c>
    </row>
    <row r="1073" spans="1:9" ht="28.5">
      <c r="A1073" s="239" t="s">
        <v>745</v>
      </c>
      <c r="B1073" s="21"/>
      <c r="C1073" s="35" t="s">
        <v>1026</v>
      </c>
      <c r="D1073" s="35" t="s">
        <v>1026</v>
      </c>
      <c r="E1073" s="22" t="s">
        <v>746</v>
      </c>
      <c r="F1073" s="26"/>
      <c r="G1073" s="24">
        <f>SUM(G1074)</f>
        <v>35</v>
      </c>
      <c r="H1073" s="24">
        <f>SUM(H1074+H1075)</f>
        <v>1563.8</v>
      </c>
      <c r="I1073" s="24">
        <f t="shared" si="28"/>
        <v>4468</v>
      </c>
    </row>
    <row r="1074" spans="1:9" ht="17.25" customHeight="1">
      <c r="A1074" s="228" t="s">
        <v>895</v>
      </c>
      <c r="B1074" s="21"/>
      <c r="C1074" s="35" t="s">
        <v>1026</v>
      </c>
      <c r="D1074" s="35" t="s">
        <v>1026</v>
      </c>
      <c r="E1074" s="22" t="s">
        <v>746</v>
      </c>
      <c r="F1074" s="88" t="s">
        <v>238</v>
      </c>
      <c r="G1074" s="24">
        <v>35</v>
      </c>
      <c r="H1074" s="24">
        <v>964</v>
      </c>
      <c r="I1074" s="24">
        <f t="shared" si="28"/>
        <v>2754.2857142857147</v>
      </c>
    </row>
    <row r="1075" spans="1:9" ht="0.75" customHeight="1" hidden="1">
      <c r="A1075" s="234" t="s">
        <v>1301</v>
      </c>
      <c r="B1075" s="34"/>
      <c r="C1075" s="22" t="s">
        <v>1026</v>
      </c>
      <c r="D1075" s="22" t="s">
        <v>1026</v>
      </c>
      <c r="E1075" s="22" t="s">
        <v>546</v>
      </c>
      <c r="F1075" s="26" t="s">
        <v>1302</v>
      </c>
      <c r="G1075" s="24"/>
      <c r="H1075" s="24">
        <v>599.8</v>
      </c>
      <c r="I1075" s="24" t="e">
        <f t="shared" si="28"/>
        <v>#DIV/0!</v>
      </c>
    </row>
    <row r="1076" spans="1:9" ht="17.25" customHeight="1">
      <c r="A1076" s="228" t="s">
        <v>1303</v>
      </c>
      <c r="B1076" s="34"/>
      <c r="C1076" s="35" t="s">
        <v>1026</v>
      </c>
      <c r="D1076" s="35" t="s">
        <v>1026</v>
      </c>
      <c r="E1076" s="35" t="s">
        <v>1304</v>
      </c>
      <c r="F1076" s="26"/>
      <c r="G1076" s="24">
        <f>SUM(G1077+G1083)+G1079</f>
        <v>2345.6</v>
      </c>
      <c r="H1076" s="24" t="e">
        <f>SUM(H1077+#REF!+#REF!)</f>
        <v>#REF!</v>
      </c>
      <c r="I1076" s="24" t="e">
        <f t="shared" si="28"/>
        <v>#REF!</v>
      </c>
    </row>
    <row r="1077" spans="1:9" ht="19.5" customHeight="1" hidden="1">
      <c r="A1077" s="228" t="s">
        <v>1305</v>
      </c>
      <c r="B1077" s="35"/>
      <c r="C1077" s="35" t="s">
        <v>1026</v>
      </c>
      <c r="D1077" s="35" t="s">
        <v>1026</v>
      </c>
      <c r="E1077" s="35" t="s">
        <v>1306</v>
      </c>
      <c r="F1077" s="26"/>
      <c r="G1077" s="24">
        <f>SUM(G1078,G1081)</f>
        <v>0</v>
      </c>
      <c r="H1077" s="24" t="e">
        <f>SUM(H1078:H1084)</f>
        <v>#REF!</v>
      </c>
      <c r="I1077" s="24" t="e">
        <f t="shared" si="28"/>
        <v>#REF!</v>
      </c>
    </row>
    <row r="1078" spans="1:9" ht="19.5" customHeight="1" hidden="1">
      <c r="A1078" s="234" t="s">
        <v>895</v>
      </c>
      <c r="B1078" s="34"/>
      <c r="C1078" s="35" t="s">
        <v>1026</v>
      </c>
      <c r="D1078" s="35" t="s">
        <v>1026</v>
      </c>
      <c r="E1078" s="35" t="s">
        <v>1306</v>
      </c>
      <c r="F1078" s="26" t="s">
        <v>238</v>
      </c>
      <c r="G1078" s="24">
        <f>1393.8-1393.8</f>
        <v>0</v>
      </c>
      <c r="H1078" s="24">
        <v>341.9</v>
      </c>
      <c r="I1078" s="24" t="e">
        <f t="shared" si="28"/>
        <v>#DIV/0!</v>
      </c>
    </row>
    <row r="1079" spans="1:9" ht="33" customHeight="1">
      <c r="A1079" s="228" t="s">
        <v>281</v>
      </c>
      <c r="B1079" s="35"/>
      <c r="C1079" s="35" t="s">
        <v>1026</v>
      </c>
      <c r="D1079" s="35" t="s">
        <v>1026</v>
      </c>
      <c r="E1079" s="35" t="s">
        <v>1257</v>
      </c>
      <c r="F1079" s="26"/>
      <c r="G1079" s="24">
        <f>SUM(G1080)</f>
        <v>445.9</v>
      </c>
      <c r="H1079" s="24" t="e">
        <f>SUM(H1080:H1099)</f>
        <v>#REF!</v>
      </c>
      <c r="I1079" s="24" t="e">
        <f t="shared" si="28"/>
        <v>#REF!</v>
      </c>
    </row>
    <row r="1080" spans="1:9" ht="18.75" customHeight="1">
      <c r="A1080" s="234" t="s">
        <v>895</v>
      </c>
      <c r="B1080" s="34"/>
      <c r="C1080" s="35" t="s">
        <v>1026</v>
      </c>
      <c r="D1080" s="35" t="s">
        <v>1026</v>
      </c>
      <c r="E1080" s="35" t="s">
        <v>1257</v>
      </c>
      <c r="F1080" s="26" t="s">
        <v>238</v>
      </c>
      <c r="G1080" s="24">
        <v>445.9</v>
      </c>
      <c r="H1080" s="24">
        <v>341.9</v>
      </c>
      <c r="I1080" s="24">
        <f t="shared" si="28"/>
        <v>76.67638483965014</v>
      </c>
    </row>
    <row r="1081" spans="1:9" ht="42.75" customHeight="1" hidden="1">
      <c r="A1081" s="234" t="s">
        <v>1308</v>
      </c>
      <c r="B1081" s="34"/>
      <c r="C1081" s="35" t="s">
        <v>1026</v>
      </c>
      <c r="D1081" s="35" t="s">
        <v>1026</v>
      </c>
      <c r="E1081" s="35" t="s">
        <v>1309</v>
      </c>
      <c r="F1081" s="26"/>
      <c r="G1081" s="24">
        <f>SUM(G1082)</f>
        <v>0</v>
      </c>
      <c r="H1081" s="24"/>
      <c r="I1081" s="24"/>
    </row>
    <row r="1082" spans="1:9" ht="19.5" customHeight="1" hidden="1">
      <c r="A1082" s="234" t="s">
        <v>237</v>
      </c>
      <c r="B1082" s="34"/>
      <c r="C1082" s="35" t="s">
        <v>1026</v>
      </c>
      <c r="D1082" s="35" t="s">
        <v>1026</v>
      </c>
      <c r="E1082" s="35" t="s">
        <v>1309</v>
      </c>
      <c r="F1082" s="26" t="s">
        <v>238</v>
      </c>
      <c r="G1082" s="24"/>
      <c r="H1082" s="24"/>
      <c r="I1082" s="24"/>
    </row>
    <row r="1083" spans="1:9" ht="30.75" customHeight="1">
      <c r="A1083" s="222" t="s">
        <v>894</v>
      </c>
      <c r="B1083" s="34"/>
      <c r="C1083" s="35" t="s">
        <v>1026</v>
      </c>
      <c r="D1083" s="35" t="s">
        <v>1026</v>
      </c>
      <c r="E1083" s="35" t="s">
        <v>1310</v>
      </c>
      <c r="F1083" s="26"/>
      <c r="G1083" s="24">
        <f>SUM(G1084)</f>
        <v>1899.7</v>
      </c>
      <c r="H1083" s="24">
        <f>SUM(H1084)</f>
        <v>1026.3</v>
      </c>
      <c r="I1083" s="24">
        <f aca="true" t="shared" si="29" ref="I1083:I1089">SUM(H1083/G1083*100)</f>
        <v>54.02431962941516</v>
      </c>
    </row>
    <row r="1084" spans="1:9" ht="18" customHeight="1">
      <c r="A1084" s="234" t="s">
        <v>895</v>
      </c>
      <c r="B1084" s="34"/>
      <c r="C1084" s="35" t="s">
        <v>1026</v>
      </c>
      <c r="D1084" s="35" t="s">
        <v>1026</v>
      </c>
      <c r="E1084" s="35" t="s">
        <v>1310</v>
      </c>
      <c r="F1084" s="26" t="s">
        <v>238</v>
      </c>
      <c r="G1084" s="24">
        <v>1899.7</v>
      </c>
      <c r="H1084" s="24">
        <v>1026.3</v>
      </c>
      <c r="I1084" s="24">
        <f t="shared" si="29"/>
        <v>54.02431962941516</v>
      </c>
    </row>
    <row r="1085" spans="1:9" ht="15">
      <c r="A1085" s="224" t="s">
        <v>1311</v>
      </c>
      <c r="B1085" s="28"/>
      <c r="C1085" s="22" t="s">
        <v>1026</v>
      </c>
      <c r="D1085" s="22" t="s">
        <v>1026</v>
      </c>
      <c r="E1085" s="22" t="s">
        <v>1029</v>
      </c>
      <c r="F1085" s="23"/>
      <c r="G1085" s="24">
        <f>SUM(G1086)</f>
        <v>537.1</v>
      </c>
      <c r="H1085" s="24">
        <f>SUM(H1087+H1089+H1091)</f>
        <v>2757.3</v>
      </c>
      <c r="I1085" s="24">
        <f t="shared" si="29"/>
        <v>513.3680878793521</v>
      </c>
    </row>
    <row r="1086" spans="1:9" ht="28.5">
      <c r="A1086" s="239" t="s">
        <v>992</v>
      </c>
      <c r="B1086" s="243"/>
      <c r="C1086" s="35" t="s">
        <v>1026</v>
      </c>
      <c r="D1086" s="35" t="s">
        <v>1026</v>
      </c>
      <c r="E1086" s="35" t="s">
        <v>993</v>
      </c>
      <c r="F1086" s="26"/>
      <c r="G1086" s="24">
        <f>SUM(G1087)</f>
        <v>537.1</v>
      </c>
      <c r="H1086" s="24">
        <f>SUM(H1087)</f>
        <v>2757.3</v>
      </c>
      <c r="I1086" s="24">
        <f t="shared" si="29"/>
        <v>513.3680878793521</v>
      </c>
    </row>
    <row r="1087" spans="1:9" ht="55.5" customHeight="1">
      <c r="A1087" s="239" t="s">
        <v>994</v>
      </c>
      <c r="B1087" s="243"/>
      <c r="C1087" s="35" t="s">
        <v>1026</v>
      </c>
      <c r="D1087" s="35" t="s">
        <v>1026</v>
      </c>
      <c r="E1087" s="35" t="s">
        <v>995</v>
      </c>
      <c r="F1087" s="26"/>
      <c r="G1087" s="24">
        <f>SUM(G1088)</f>
        <v>537.1</v>
      </c>
      <c r="H1087" s="24">
        <v>2757.3</v>
      </c>
      <c r="I1087" s="24">
        <f t="shared" si="29"/>
        <v>513.3680878793521</v>
      </c>
    </row>
    <row r="1088" spans="1:9" ht="22.5" customHeight="1">
      <c r="A1088" s="222" t="s">
        <v>1010</v>
      </c>
      <c r="B1088" s="243"/>
      <c r="C1088" s="35" t="s">
        <v>1026</v>
      </c>
      <c r="D1088" s="35" t="s">
        <v>1026</v>
      </c>
      <c r="E1088" s="35" t="s">
        <v>995</v>
      </c>
      <c r="F1088" s="26" t="s">
        <v>1011</v>
      </c>
      <c r="G1088" s="24">
        <v>537.1</v>
      </c>
      <c r="H1088" s="24">
        <f>SUM(H1089)</f>
        <v>0</v>
      </c>
      <c r="I1088" s="24">
        <f t="shared" si="29"/>
        <v>0</v>
      </c>
    </row>
    <row r="1089" spans="1:9" ht="18.75" customHeight="1">
      <c r="A1089" s="222" t="s">
        <v>785</v>
      </c>
      <c r="B1089" s="51"/>
      <c r="C1089" s="35" t="s">
        <v>1026</v>
      </c>
      <c r="D1089" s="35" t="s">
        <v>1026</v>
      </c>
      <c r="E1089" s="35" t="s">
        <v>786</v>
      </c>
      <c r="F1089" s="27"/>
      <c r="G1089" s="24">
        <f>SUM(G1090)</f>
        <v>177</v>
      </c>
      <c r="H1089" s="24">
        <f>SUM(H1090)</f>
        <v>0</v>
      </c>
      <c r="I1089" s="24">
        <f t="shared" si="29"/>
        <v>0</v>
      </c>
    </row>
    <row r="1090" spans="1:9" ht="42.75" customHeight="1">
      <c r="A1090" s="279" t="s">
        <v>1258</v>
      </c>
      <c r="B1090" s="92"/>
      <c r="C1090" s="31" t="s">
        <v>1026</v>
      </c>
      <c r="D1090" s="31" t="s">
        <v>1026</v>
      </c>
      <c r="E1090" s="31" t="s">
        <v>1259</v>
      </c>
      <c r="F1090" s="88"/>
      <c r="G1090" s="49">
        <f>SUM(G1091)</f>
        <v>177</v>
      </c>
      <c r="H1090" s="24"/>
      <c r="I1090" s="24"/>
    </row>
    <row r="1091" spans="1:9" ht="18" customHeight="1">
      <c r="A1091" s="279" t="s">
        <v>1301</v>
      </c>
      <c r="B1091" s="92"/>
      <c r="C1091" s="31" t="s">
        <v>1026</v>
      </c>
      <c r="D1091" s="31" t="s">
        <v>1026</v>
      </c>
      <c r="E1091" s="31" t="s">
        <v>1259</v>
      </c>
      <c r="F1091" s="88" t="s">
        <v>1302</v>
      </c>
      <c r="G1091" s="49">
        <v>177</v>
      </c>
      <c r="H1091" s="24"/>
      <c r="I1091" s="24"/>
    </row>
    <row r="1092" spans="1:9" ht="15">
      <c r="A1092" s="234" t="s">
        <v>1046</v>
      </c>
      <c r="B1092" s="86"/>
      <c r="C1092" s="35" t="s">
        <v>1026</v>
      </c>
      <c r="D1092" s="35" t="s">
        <v>1026</v>
      </c>
      <c r="E1092" s="35" t="s">
        <v>1047</v>
      </c>
      <c r="F1092" s="27"/>
      <c r="G1092" s="24">
        <f>SUM(G1095)+G1093</f>
        <v>120.4</v>
      </c>
      <c r="H1092" s="24" t="e">
        <f>SUM(#REF!)</f>
        <v>#REF!</v>
      </c>
      <c r="I1092" s="24" t="e">
        <f>SUM(H1092/G1092*100)</f>
        <v>#REF!</v>
      </c>
    </row>
    <row r="1093" spans="1:9" ht="42.75" hidden="1">
      <c r="A1093" s="212" t="s">
        <v>1244</v>
      </c>
      <c r="B1093" s="86"/>
      <c r="C1093" s="35" t="s">
        <v>1026</v>
      </c>
      <c r="D1093" s="35" t="s">
        <v>1026</v>
      </c>
      <c r="E1093" s="35" t="s">
        <v>383</v>
      </c>
      <c r="F1093" s="27"/>
      <c r="G1093" s="24">
        <f>SUM(G1094)</f>
        <v>0</v>
      </c>
      <c r="H1093" s="24"/>
      <c r="I1093" s="24"/>
    </row>
    <row r="1094" spans="1:9" ht="15" hidden="1">
      <c r="A1094" s="234" t="s">
        <v>895</v>
      </c>
      <c r="B1094" s="86"/>
      <c r="C1094" s="35" t="s">
        <v>1026</v>
      </c>
      <c r="D1094" s="35" t="s">
        <v>1026</v>
      </c>
      <c r="E1094" s="35" t="s">
        <v>383</v>
      </c>
      <c r="F1094" s="27" t="s">
        <v>238</v>
      </c>
      <c r="G1094" s="24"/>
      <c r="H1094" s="24"/>
      <c r="I1094" s="24"/>
    </row>
    <row r="1095" spans="1:9" ht="42.75">
      <c r="A1095" s="212" t="s">
        <v>523</v>
      </c>
      <c r="B1095" s="86"/>
      <c r="C1095" s="35" t="s">
        <v>1026</v>
      </c>
      <c r="D1095" s="35" t="s">
        <v>1026</v>
      </c>
      <c r="E1095" s="35" t="s">
        <v>522</v>
      </c>
      <c r="F1095" s="27"/>
      <c r="G1095" s="24">
        <f>SUM(G1096:G1097)</f>
        <v>120.4</v>
      </c>
      <c r="H1095" s="24"/>
      <c r="I1095" s="24"/>
    </row>
    <row r="1096" spans="1:9" ht="22.5" customHeight="1">
      <c r="A1096" s="234" t="s">
        <v>1301</v>
      </c>
      <c r="B1096" s="86"/>
      <c r="C1096" s="35" t="s">
        <v>1026</v>
      </c>
      <c r="D1096" s="35" t="s">
        <v>1026</v>
      </c>
      <c r="E1096" s="35" t="s">
        <v>522</v>
      </c>
      <c r="F1096" s="27" t="s">
        <v>1302</v>
      </c>
      <c r="G1096" s="24">
        <v>50.5</v>
      </c>
      <c r="H1096" s="24"/>
      <c r="I1096" s="24"/>
    </row>
    <row r="1097" spans="1:9" ht="22.5" customHeight="1">
      <c r="A1097" s="234" t="s">
        <v>1080</v>
      </c>
      <c r="B1097" s="86"/>
      <c r="C1097" s="35" t="s">
        <v>1026</v>
      </c>
      <c r="D1097" s="35" t="s">
        <v>1026</v>
      </c>
      <c r="E1097" s="35" t="s">
        <v>522</v>
      </c>
      <c r="F1097" s="27" t="s">
        <v>978</v>
      </c>
      <c r="G1097" s="24">
        <v>69.9</v>
      </c>
      <c r="H1097" s="24"/>
      <c r="I1097" s="24"/>
    </row>
    <row r="1098" spans="1:9" ht="15">
      <c r="A1098" s="234" t="s">
        <v>1318</v>
      </c>
      <c r="B1098" s="34"/>
      <c r="C1098" s="35" t="s">
        <v>1026</v>
      </c>
      <c r="D1098" s="35" t="s">
        <v>389</v>
      </c>
      <c r="E1098" s="35"/>
      <c r="F1098" s="26"/>
      <c r="G1098" s="24">
        <f>SUM(G1099)</f>
        <v>1598.3</v>
      </c>
      <c r="H1098" s="24"/>
      <c r="I1098" s="24"/>
    </row>
    <row r="1099" spans="1:9" ht="15">
      <c r="A1099" s="234" t="s">
        <v>1046</v>
      </c>
      <c r="B1099" s="86"/>
      <c r="C1099" s="35" t="s">
        <v>1026</v>
      </c>
      <c r="D1099" s="35" t="s">
        <v>389</v>
      </c>
      <c r="E1099" s="35" t="s">
        <v>1047</v>
      </c>
      <c r="F1099" s="27"/>
      <c r="G1099" s="24">
        <f>SUM(G1100,G1102,G1103,G1104)+G1106</f>
        <v>1598.3</v>
      </c>
      <c r="H1099" s="24" t="e">
        <f>SUM(#REF!)</f>
        <v>#REF!</v>
      </c>
      <c r="I1099" s="24" t="e">
        <f>SUM(H1099/G1099*100)</f>
        <v>#REF!</v>
      </c>
    </row>
    <row r="1100" spans="1:9" ht="42.75">
      <c r="A1100" s="212" t="s">
        <v>1096</v>
      </c>
      <c r="B1100" s="86"/>
      <c r="C1100" s="35" t="s">
        <v>1026</v>
      </c>
      <c r="D1100" s="35" t="s">
        <v>389</v>
      </c>
      <c r="E1100" s="35" t="s">
        <v>513</v>
      </c>
      <c r="F1100" s="27"/>
      <c r="G1100" s="24">
        <f>SUM(G1101)</f>
        <v>204.5</v>
      </c>
      <c r="H1100" s="24"/>
      <c r="I1100" s="24"/>
    </row>
    <row r="1101" spans="1:9" ht="22.5" customHeight="1">
      <c r="A1101" s="234" t="s">
        <v>1301</v>
      </c>
      <c r="B1101" s="86"/>
      <c r="C1101" s="35" t="s">
        <v>1026</v>
      </c>
      <c r="D1101" s="35" t="s">
        <v>389</v>
      </c>
      <c r="E1101" s="35" t="s">
        <v>513</v>
      </c>
      <c r="F1101" s="27" t="s">
        <v>1302</v>
      </c>
      <c r="G1101" s="24">
        <v>204.5</v>
      </c>
      <c r="H1101" s="24"/>
      <c r="I1101" s="24"/>
    </row>
    <row r="1102" spans="1:9" ht="19.5" customHeight="1" hidden="1">
      <c r="A1102" s="234" t="s">
        <v>516</v>
      </c>
      <c r="B1102" s="86"/>
      <c r="C1102" s="35" t="s">
        <v>1026</v>
      </c>
      <c r="D1102" s="35" t="s">
        <v>389</v>
      </c>
      <c r="E1102" s="35" t="s">
        <v>517</v>
      </c>
      <c r="F1102" s="27"/>
      <c r="G1102" s="24"/>
      <c r="H1102" s="24"/>
      <c r="I1102" s="24"/>
    </row>
    <row r="1103" spans="1:9" ht="19.5" customHeight="1" hidden="1">
      <c r="A1103" s="234" t="s">
        <v>518</v>
      </c>
      <c r="B1103" s="86"/>
      <c r="C1103" s="35" t="s">
        <v>1026</v>
      </c>
      <c r="D1103" s="35" t="s">
        <v>389</v>
      </c>
      <c r="E1103" s="35" t="s">
        <v>519</v>
      </c>
      <c r="F1103" s="27"/>
      <c r="G1103" s="24"/>
      <c r="H1103" s="24"/>
      <c r="I1103" s="24"/>
    </row>
    <row r="1104" spans="1:9" ht="20.25" customHeight="1">
      <c r="A1104" s="234" t="s">
        <v>1003</v>
      </c>
      <c r="B1104" s="86"/>
      <c r="C1104" s="35" t="s">
        <v>1026</v>
      </c>
      <c r="D1104" s="35" t="s">
        <v>389</v>
      </c>
      <c r="E1104" s="35" t="s">
        <v>1002</v>
      </c>
      <c r="F1104" s="27"/>
      <c r="G1104" s="24">
        <f>SUM(G1105)</f>
        <v>1393.8</v>
      </c>
      <c r="H1104" s="24"/>
      <c r="I1104" s="24"/>
    </row>
    <row r="1105" spans="1:9" ht="18" customHeight="1">
      <c r="A1105" s="234" t="s">
        <v>1301</v>
      </c>
      <c r="B1105" s="86"/>
      <c r="C1105" s="35" t="s">
        <v>1026</v>
      </c>
      <c r="D1105" s="35" t="s">
        <v>389</v>
      </c>
      <c r="E1105" s="35" t="s">
        <v>1002</v>
      </c>
      <c r="F1105" s="27" t="s">
        <v>1302</v>
      </c>
      <c r="G1105" s="24">
        <v>1393.8</v>
      </c>
      <c r="H1105" s="24"/>
      <c r="I1105" s="24"/>
    </row>
    <row r="1106" spans="1:9" ht="42.75" hidden="1">
      <c r="A1106" s="234" t="s">
        <v>575</v>
      </c>
      <c r="B1106" s="86"/>
      <c r="C1106" s="35" t="s">
        <v>1026</v>
      </c>
      <c r="D1106" s="35" t="s">
        <v>389</v>
      </c>
      <c r="E1106" s="35" t="s">
        <v>576</v>
      </c>
      <c r="F1106" s="27"/>
      <c r="G1106" s="24">
        <f>SUM(G1107)</f>
        <v>0</v>
      </c>
      <c r="H1106" s="24"/>
      <c r="I1106" s="24"/>
    </row>
    <row r="1107" spans="1:9" ht="19.5" customHeight="1" hidden="1">
      <c r="A1107" s="234" t="s">
        <v>1126</v>
      </c>
      <c r="B1107" s="51"/>
      <c r="C1107" s="35" t="s">
        <v>1026</v>
      </c>
      <c r="D1107" s="35" t="s">
        <v>389</v>
      </c>
      <c r="E1107" s="35" t="s">
        <v>576</v>
      </c>
      <c r="F1107" s="27" t="s">
        <v>978</v>
      </c>
      <c r="G1107" s="24"/>
      <c r="H1107" s="24"/>
      <c r="I1107" s="24"/>
    </row>
    <row r="1108" spans="1:9" s="255" customFormat="1" ht="18.75" customHeight="1">
      <c r="A1108" s="236" t="s">
        <v>230</v>
      </c>
      <c r="B1108" s="30"/>
      <c r="C1108" s="31" t="s">
        <v>585</v>
      </c>
      <c r="D1108" s="31"/>
      <c r="E1108" s="31"/>
      <c r="F1108" s="88"/>
      <c r="G1108" s="49">
        <f>SUM(G1109+G1125+G1121)</f>
        <v>9692.6</v>
      </c>
      <c r="H1108" s="49" t="e">
        <f>SUM(H1109+#REF!+H1148+H1153+H1163+H1201)</f>
        <v>#REF!</v>
      </c>
      <c r="I1108" s="49" t="e">
        <f>SUM(H1108/G1108*100)</f>
        <v>#REF!</v>
      </c>
    </row>
    <row r="1109" spans="1:9" ht="17.25" customHeight="1">
      <c r="A1109" s="222" t="s">
        <v>1333</v>
      </c>
      <c r="B1109" s="21"/>
      <c r="C1109" s="22" t="s">
        <v>585</v>
      </c>
      <c r="D1109" s="22" t="s">
        <v>663</v>
      </c>
      <c r="E1109" s="22"/>
      <c r="F1109" s="23"/>
      <c r="G1109" s="24">
        <f>SUM(G1110,G1112,G1115)</f>
        <v>5673.6</v>
      </c>
      <c r="H1109" s="24">
        <f>SUM(H1112+H1125+H1110)</f>
        <v>1344.5</v>
      </c>
      <c r="I1109" s="24">
        <f>SUM(H1109/G1109*100)</f>
        <v>23.697476029328822</v>
      </c>
    </row>
    <row r="1110" spans="1:9" ht="19.5" customHeight="1" hidden="1">
      <c r="A1110" s="234" t="s">
        <v>545</v>
      </c>
      <c r="B1110" s="21"/>
      <c r="C1110" s="22" t="s">
        <v>389</v>
      </c>
      <c r="D1110" s="22" t="s">
        <v>1039</v>
      </c>
      <c r="E1110" s="35" t="s">
        <v>546</v>
      </c>
      <c r="F1110" s="26"/>
      <c r="G1110" s="24">
        <f>SUM(G1111)</f>
        <v>0</v>
      </c>
      <c r="H1110" s="24">
        <f>SUM(H1111)</f>
        <v>79.5</v>
      </c>
      <c r="I1110" s="24"/>
    </row>
    <row r="1111" spans="1:9" ht="19.5" customHeight="1" hidden="1">
      <c r="A1111" s="222" t="s">
        <v>1010</v>
      </c>
      <c r="B1111" s="21"/>
      <c r="C1111" s="22" t="s">
        <v>389</v>
      </c>
      <c r="D1111" s="22" t="s">
        <v>1039</v>
      </c>
      <c r="E1111" s="35" t="s">
        <v>546</v>
      </c>
      <c r="F1111" s="26" t="s">
        <v>1011</v>
      </c>
      <c r="G1111" s="24">
        <f>50.3-50.3</f>
        <v>0</v>
      </c>
      <c r="H1111" s="24">
        <v>79.5</v>
      </c>
      <c r="I1111" s="24"/>
    </row>
    <row r="1112" spans="1:9" ht="15" hidden="1">
      <c r="A1112" s="222" t="s">
        <v>1324</v>
      </c>
      <c r="B1112" s="21"/>
      <c r="C1112" s="22" t="s">
        <v>585</v>
      </c>
      <c r="D1112" s="22" t="s">
        <v>663</v>
      </c>
      <c r="E1112" s="41" t="s">
        <v>1292</v>
      </c>
      <c r="F1112" s="23"/>
      <c r="G1112" s="24">
        <f>SUM(G1113)</f>
        <v>0</v>
      </c>
      <c r="H1112" s="24">
        <f>SUM(H1113)</f>
        <v>1265</v>
      </c>
      <c r="I1112" s="24" t="e">
        <f>SUM(H1112/G1112*100)</f>
        <v>#DIV/0!</v>
      </c>
    </row>
    <row r="1113" spans="1:9" ht="19.5" customHeight="1" hidden="1">
      <c r="A1113" s="222" t="s">
        <v>485</v>
      </c>
      <c r="B1113" s="21"/>
      <c r="C1113" s="22" t="s">
        <v>585</v>
      </c>
      <c r="D1113" s="22" t="s">
        <v>663</v>
      </c>
      <c r="E1113" s="41" t="s">
        <v>1293</v>
      </c>
      <c r="F1113" s="23"/>
      <c r="G1113" s="24">
        <f>SUM(G1114)</f>
        <v>0</v>
      </c>
      <c r="H1113" s="24">
        <f>SUM(H1114)</f>
        <v>1265</v>
      </c>
      <c r="I1113" s="24" t="e">
        <f>SUM(H1113/G1113*100)</f>
        <v>#DIV/0!</v>
      </c>
    </row>
    <row r="1114" spans="1:9" ht="19.5" customHeight="1" hidden="1">
      <c r="A1114" s="222" t="s">
        <v>1010</v>
      </c>
      <c r="B1114" s="21"/>
      <c r="C1114" s="22" t="s">
        <v>585</v>
      </c>
      <c r="D1114" s="22" t="s">
        <v>663</v>
      </c>
      <c r="E1114" s="41" t="s">
        <v>1293</v>
      </c>
      <c r="F1114" s="23" t="s">
        <v>1011</v>
      </c>
      <c r="G1114" s="24">
        <f>3278.8-3278.8</f>
        <v>0</v>
      </c>
      <c r="H1114" s="24">
        <v>1265</v>
      </c>
      <c r="I1114" s="24" t="e">
        <f>SUM(H1114/G1114*100)</f>
        <v>#DIV/0!</v>
      </c>
    </row>
    <row r="1115" spans="1:9" ht="23.25" customHeight="1">
      <c r="A1115" s="234" t="s">
        <v>1046</v>
      </c>
      <c r="B1115" s="21"/>
      <c r="C1115" s="22" t="s">
        <v>585</v>
      </c>
      <c r="D1115" s="22" t="s">
        <v>663</v>
      </c>
      <c r="E1115" s="41" t="s">
        <v>1047</v>
      </c>
      <c r="F1115" s="23"/>
      <c r="G1115" s="24">
        <f>SUM(G1116)+G1119</f>
        <v>5673.6</v>
      </c>
      <c r="H1115" s="24"/>
      <c r="I1115" s="24"/>
    </row>
    <row r="1116" spans="1:9" ht="28.5">
      <c r="A1116" s="222" t="s">
        <v>394</v>
      </c>
      <c r="B1116" s="21"/>
      <c r="C1116" s="22" t="s">
        <v>585</v>
      </c>
      <c r="D1116" s="22" t="s">
        <v>663</v>
      </c>
      <c r="E1116" s="41" t="s">
        <v>1004</v>
      </c>
      <c r="F1116" s="23"/>
      <c r="G1116" s="24">
        <f>SUM(G1117:G1118)</f>
        <v>3170</v>
      </c>
      <c r="H1116" s="24"/>
      <c r="I1116" s="24"/>
    </row>
    <row r="1117" spans="1:9" ht="40.5" customHeight="1">
      <c r="A1117" s="222" t="s">
        <v>958</v>
      </c>
      <c r="B1117" s="21"/>
      <c r="C1117" s="22" t="s">
        <v>585</v>
      </c>
      <c r="D1117" s="22" t="s">
        <v>663</v>
      </c>
      <c r="E1117" s="41" t="s">
        <v>1004</v>
      </c>
      <c r="F1117" s="23" t="s">
        <v>354</v>
      </c>
      <c r="G1117" s="24">
        <v>3010</v>
      </c>
      <c r="H1117" s="24"/>
      <c r="I1117" s="24"/>
    </row>
    <row r="1118" spans="1:9" ht="21.75" customHeight="1">
      <c r="A1118" s="234" t="s">
        <v>1080</v>
      </c>
      <c r="B1118" s="21"/>
      <c r="C1118" s="22" t="s">
        <v>585</v>
      </c>
      <c r="D1118" s="22" t="s">
        <v>663</v>
      </c>
      <c r="E1118" s="41" t="s">
        <v>1004</v>
      </c>
      <c r="F1118" s="23" t="s">
        <v>978</v>
      </c>
      <c r="G1118" s="24">
        <v>160</v>
      </c>
      <c r="H1118" s="24"/>
      <c r="I1118" s="24"/>
    </row>
    <row r="1119" spans="1:9" ht="40.5" customHeight="1">
      <c r="A1119" s="222" t="s">
        <v>1095</v>
      </c>
      <c r="B1119" s="21"/>
      <c r="C1119" s="22" t="s">
        <v>585</v>
      </c>
      <c r="D1119" s="22" t="s">
        <v>663</v>
      </c>
      <c r="E1119" s="41" t="s">
        <v>576</v>
      </c>
      <c r="F1119" s="23"/>
      <c r="G1119" s="24">
        <f>SUM(G1120)</f>
        <v>2503.6</v>
      </c>
      <c r="H1119" s="24"/>
      <c r="I1119" s="24"/>
    </row>
    <row r="1120" spans="1:9" ht="24" customHeight="1">
      <c r="A1120" s="234" t="s">
        <v>1080</v>
      </c>
      <c r="B1120" s="21"/>
      <c r="C1120" s="22" t="s">
        <v>585</v>
      </c>
      <c r="D1120" s="22" t="s">
        <v>663</v>
      </c>
      <c r="E1120" s="41" t="s">
        <v>576</v>
      </c>
      <c r="F1120" s="23" t="s">
        <v>978</v>
      </c>
      <c r="G1120" s="24">
        <v>2503.6</v>
      </c>
      <c r="H1120" s="24"/>
      <c r="I1120" s="24"/>
    </row>
    <row r="1121" spans="1:9" ht="15">
      <c r="A1121" s="222" t="s">
        <v>1123</v>
      </c>
      <c r="B1121" s="21"/>
      <c r="C1121" s="22" t="s">
        <v>585</v>
      </c>
      <c r="D1121" s="22" t="s">
        <v>665</v>
      </c>
      <c r="E1121" s="35"/>
      <c r="F1121" s="26"/>
      <c r="G1121" s="24">
        <f>SUM(G1122)</f>
        <v>363.5</v>
      </c>
      <c r="H1121" s="24"/>
      <c r="I1121" s="24"/>
    </row>
    <row r="1122" spans="1:9" ht="18.75" customHeight="1">
      <c r="A1122" s="222" t="s">
        <v>785</v>
      </c>
      <c r="B1122" s="21"/>
      <c r="C1122" s="22" t="s">
        <v>585</v>
      </c>
      <c r="D1122" s="22" t="s">
        <v>665</v>
      </c>
      <c r="E1122" s="22" t="s">
        <v>786</v>
      </c>
      <c r="F1122" s="26"/>
      <c r="G1122" s="24">
        <f>SUM(G1123)</f>
        <v>363.5</v>
      </c>
      <c r="H1122" s="141"/>
      <c r="I1122" s="24"/>
    </row>
    <row r="1123" spans="1:9" ht="33" customHeight="1">
      <c r="A1123" s="222" t="s">
        <v>1124</v>
      </c>
      <c r="B1123" s="21"/>
      <c r="C1123" s="22" t="s">
        <v>585</v>
      </c>
      <c r="D1123" s="22" t="s">
        <v>665</v>
      </c>
      <c r="E1123" s="22" t="s">
        <v>351</v>
      </c>
      <c r="F1123" s="26"/>
      <c r="G1123" s="24">
        <f>SUM(G1124)</f>
        <v>363.5</v>
      </c>
      <c r="H1123" s="141"/>
      <c r="I1123" s="24"/>
    </row>
    <row r="1124" spans="1:9" ht="22.5" customHeight="1">
      <c r="A1124" s="234" t="s">
        <v>1080</v>
      </c>
      <c r="B1124" s="21"/>
      <c r="C1124" s="22" t="s">
        <v>585</v>
      </c>
      <c r="D1124" s="22" t="s">
        <v>665</v>
      </c>
      <c r="E1124" s="22" t="s">
        <v>351</v>
      </c>
      <c r="F1124" s="23" t="s">
        <v>978</v>
      </c>
      <c r="G1124" s="24">
        <v>363.5</v>
      </c>
      <c r="H1124" s="141"/>
      <c r="I1124" s="24"/>
    </row>
    <row r="1125" spans="1:9" ht="15">
      <c r="A1125" s="222" t="s">
        <v>1334</v>
      </c>
      <c r="B1125" s="21"/>
      <c r="C1125" s="22" t="s">
        <v>585</v>
      </c>
      <c r="D1125" s="22" t="s">
        <v>1050</v>
      </c>
      <c r="E1125" s="35"/>
      <c r="F1125" s="26"/>
      <c r="G1125" s="24">
        <f>SUM(G1129+G1132)+G1126</f>
        <v>3655.5</v>
      </c>
      <c r="H1125" s="24"/>
      <c r="I1125" s="24"/>
    </row>
    <row r="1126" spans="1:9" ht="28.5">
      <c r="A1126" s="222" t="s">
        <v>1021</v>
      </c>
      <c r="B1126" s="21"/>
      <c r="C1126" s="22" t="s">
        <v>585</v>
      </c>
      <c r="D1126" s="22" t="s">
        <v>1050</v>
      </c>
      <c r="E1126" s="22" t="s">
        <v>1022</v>
      </c>
      <c r="F1126" s="27"/>
      <c r="G1126" s="24">
        <f>SUM(G1127)</f>
        <v>35</v>
      </c>
      <c r="H1126" s="24"/>
      <c r="I1126" s="24"/>
    </row>
    <row r="1127" spans="1:9" ht="28.5">
      <c r="A1127" s="239" t="s">
        <v>745</v>
      </c>
      <c r="B1127" s="21"/>
      <c r="C1127" s="22" t="s">
        <v>585</v>
      </c>
      <c r="D1127" s="22" t="s">
        <v>1050</v>
      </c>
      <c r="E1127" s="22" t="s">
        <v>746</v>
      </c>
      <c r="F1127" s="26"/>
      <c r="G1127" s="24">
        <f>SUM(G1128)</f>
        <v>35</v>
      </c>
      <c r="H1127" s="24"/>
      <c r="I1127" s="24"/>
    </row>
    <row r="1128" spans="1:9" ht="15">
      <c r="A1128" s="222" t="s">
        <v>1010</v>
      </c>
      <c r="B1128" s="21"/>
      <c r="C1128" s="22" t="s">
        <v>585</v>
      </c>
      <c r="D1128" s="22" t="s">
        <v>1050</v>
      </c>
      <c r="E1128" s="22" t="s">
        <v>746</v>
      </c>
      <c r="F1128" s="88" t="s">
        <v>1011</v>
      </c>
      <c r="G1128" s="24">
        <v>35</v>
      </c>
      <c r="H1128" s="24"/>
      <c r="I1128" s="24"/>
    </row>
    <row r="1129" spans="1:9" ht="37.5" customHeight="1">
      <c r="A1129" s="222" t="s">
        <v>1006</v>
      </c>
      <c r="B1129" s="21"/>
      <c r="C1129" s="22" t="s">
        <v>585</v>
      </c>
      <c r="D1129" s="22" t="s">
        <v>1050</v>
      </c>
      <c r="E1129" s="22" t="s">
        <v>1007</v>
      </c>
      <c r="F1129" s="26"/>
      <c r="G1129" s="24">
        <f>SUM(G1130)</f>
        <v>3620.5</v>
      </c>
      <c r="H1129" s="141"/>
      <c r="I1129" s="24"/>
    </row>
    <row r="1130" spans="1:9" ht="20.25" customHeight="1">
      <c r="A1130" s="222" t="s">
        <v>1014</v>
      </c>
      <c r="B1130" s="21"/>
      <c r="C1130" s="22" t="s">
        <v>585</v>
      </c>
      <c r="D1130" s="22" t="s">
        <v>1050</v>
      </c>
      <c r="E1130" s="22" t="s">
        <v>1016</v>
      </c>
      <c r="F1130" s="26"/>
      <c r="G1130" s="24">
        <f>SUM(G1131)</f>
        <v>3620.5</v>
      </c>
      <c r="H1130" s="141"/>
      <c r="I1130" s="24"/>
    </row>
    <row r="1131" spans="1:9" ht="21.75" customHeight="1">
      <c r="A1131" s="222" t="s">
        <v>1010</v>
      </c>
      <c r="B1131" s="21"/>
      <c r="C1131" s="22" t="s">
        <v>585</v>
      </c>
      <c r="D1131" s="22" t="s">
        <v>1050</v>
      </c>
      <c r="E1131" s="22" t="s">
        <v>1016</v>
      </c>
      <c r="F1131" s="23" t="s">
        <v>1011</v>
      </c>
      <c r="G1131" s="24">
        <v>3620.5</v>
      </c>
      <c r="H1131" s="141"/>
      <c r="I1131" s="24"/>
    </row>
    <row r="1132" spans="1:9" ht="15" hidden="1">
      <c r="A1132" s="234" t="s">
        <v>1046</v>
      </c>
      <c r="B1132" s="86"/>
      <c r="C1132" s="22" t="s">
        <v>585</v>
      </c>
      <c r="D1132" s="22" t="s">
        <v>1050</v>
      </c>
      <c r="E1132" s="35" t="s">
        <v>1047</v>
      </c>
      <c r="F1132" s="27"/>
      <c r="G1132" s="24">
        <f>SUM(G1135)+G1133</f>
        <v>0</v>
      </c>
      <c r="H1132" s="24">
        <f>SUM(H1133)</f>
        <v>79.5</v>
      </c>
      <c r="I1132" s="24"/>
    </row>
    <row r="1133" spans="1:9" ht="42.75" hidden="1">
      <c r="A1133" s="212" t="s">
        <v>1244</v>
      </c>
      <c r="B1133" s="86"/>
      <c r="C1133" s="22" t="s">
        <v>585</v>
      </c>
      <c r="D1133" s="22" t="s">
        <v>1050</v>
      </c>
      <c r="E1133" s="35" t="s">
        <v>383</v>
      </c>
      <c r="F1133" s="27"/>
      <c r="G1133" s="24">
        <f>SUM(G1134)</f>
        <v>0</v>
      </c>
      <c r="H1133" s="24">
        <v>79.5</v>
      </c>
      <c r="I1133" s="24"/>
    </row>
    <row r="1134" spans="1:9" ht="15" hidden="1">
      <c r="A1134" s="222" t="s">
        <v>1010</v>
      </c>
      <c r="B1134" s="86"/>
      <c r="C1134" s="22" t="s">
        <v>585</v>
      </c>
      <c r="D1134" s="22" t="s">
        <v>1050</v>
      </c>
      <c r="E1134" s="35" t="s">
        <v>383</v>
      </c>
      <c r="F1134" s="27" t="s">
        <v>1011</v>
      </c>
      <c r="G1134" s="24"/>
      <c r="H1134" s="24">
        <f>SUM(H1136)</f>
        <v>186.6</v>
      </c>
      <c r="I1134" s="24" t="e">
        <f>SUM(H1134/G1134*100)</f>
        <v>#DIV/0!</v>
      </c>
    </row>
    <row r="1135" spans="1:9" ht="15" hidden="1">
      <c r="A1135" s="224" t="s">
        <v>1023</v>
      </c>
      <c r="B1135" s="21"/>
      <c r="C1135" s="22" t="s">
        <v>585</v>
      </c>
      <c r="D1135" s="22" t="s">
        <v>1050</v>
      </c>
      <c r="E1135" s="22" t="s">
        <v>241</v>
      </c>
      <c r="F1135" s="27"/>
      <c r="G1135" s="24">
        <f>SUM(G1136)</f>
        <v>0</v>
      </c>
      <c r="H1135" s="24">
        <f>SUM(H1136)</f>
        <v>186.6</v>
      </c>
      <c r="I1135" s="24" t="e">
        <f>SUM(H1135/G1135*100)</f>
        <v>#DIV/0!</v>
      </c>
    </row>
    <row r="1136" spans="1:9" ht="19.5" customHeight="1" hidden="1">
      <c r="A1136" s="222" t="s">
        <v>1010</v>
      </c>
      <c r="B1136" s="21"/>
      <c r="C1136" s="22" t="s">
        <v>585</v>
      </c>
      <c r="D1136" s="22" t="s">
        <v>1050</v>
      </c>
      <c r="E1136" s="22" t="s">
        <v>241</v>
      </c>
      <c r="F1136" s="27" t="s">
        <v>1011</v>
      </c>
      <c r="G1136" s="24"/>
      <c r="H1136" s="24">
        <v>186.6</v>
      </c>
      <c r="I1136" s="24" t="e">
        <f>SUM(H1136/G1136*100)</f>
        <v>#DIV/0!</v>
      </c>
    </row>
    <row r="1137" spans="1:9" ht="19.5" customHeight="1" hidden="1">
      <c r="A1137" s="235" t="s">
        <v>302</v>
      </c>
      <c r="B1137" s="82" t="s">
        <v>303</v>
      </c>
      <c r="C1137" s="41"/>
      <c r="D1137" s="80"/>
      <c r="E1137" s="80"/>
      <c r="F1137" s="81"/>
      <c r="G1137" s="141">
        <f>SUM(G1138)</f>
        <v>0</v>
      </c>
      <c r="H1137" s="141">
        <f>SUM(H1138)</f>
        <v>36922.5</v>
      </c>
      <c r="I1137" s="40" t="e">
        <f aca="true" t="shared" si="30" ref="I1137:I1230">SUM(H1137/G1137*100)</f>
        <v>#DIV/0!</v>
      </c>
    </row>
    <row r="1138" spans="1:9" ht="19.5" customHeight="1" hidden="1">
      <c r="A1138" s="222" t="s">
        <v>1061</v>
      </c>
      <c r="B1138" s="21"/>
      <c r="C1138" s="22" t="s">
        <v>1013</v>
      </c>
      <c r="D1138" s="22"/>
      <c r="E1138" s="22"/>
      <c r="F1138" s="23"/>
      <c r="G1138" s="24">
        <f>SUM(G1139)</f>
        <v>0</v>
      </c>
      <c r="H1138" s="24">
        <f>SUM(H1139)</f>
        <v>36922.5</v>
      </c>
      <c r="I1138" s="24" t="e">
        <f t="shared" si="30"/>
        <v>#DIV/0!</v>
      </c>
    </row>
    <row r="1139" spans="1:9" ht="18.75" customHeight="1" hidden="1">
      <c r="A1139" s="222" t="s">
        <v>1062</v>
      </c>
      <c r="B1139" s="21"/>
      <c r="C1139" s="22" t="s">
        <v>1013</v>
      </c>
      <c r="D1139" s="22" t="s">
        <v>665</v>
      </c>
      <c r="E1139" s="22"/>
      <c r="F1139" s="23"/>
      <c r="G1139" s="24">
        <f>SUM(G1140+G1157)</f>
        <v>0</v>
      </c>
      <c r="H1139" s="24">
        <f>SUM(H1140+H1157)</f>
        <v>36922.5</v>
      </c>
      <c r="I1139" s="24" t="e">
        <f t="shared" si="30"/>
        <v>#DIV/0!</v>
      </c>
    </row>
    <row r="1140" spans="1:9" ht="19.5" customHeight="1" hidden="1">
      <c r="A1140" s="224" t="s">
        <v>1063</v>
      </c>
      <c r="B1140" s="21"/>
      <c r="C1140" s="22" t="s">
        <v>1013</v>
      </c>
      <c r="D1140" s="22" t="s">
        <v>665</v>
      </c>
      <c r="E1140" s="41" t="s">
        <v>251</v>
      </c>
      <c r="F1140" s="23"/>
      <c r="G1140" s="24">
        <f>SUM(G1141+G1143+G1145+G1147+G1150+G1155)</f>
        <v>0</v>
      </c>
      <c r="H1140" s="24">
        <f>SUM(H1141+H1143+H1145+H1147+H1150+H1155)</f>
        <v>36646.8</v>
      </c>
      <c r="I1140" s="24" t="e">
        <f t="shared" si="30"/>
        <v>#DIV/0!</v>
      </c>
    </row>
    <row r="1141" spans="1:9" ht="31.5" customHeight="1" hidden="1">
      <c r="A1141" s="224" t="s">
        <v>252</v>
      </c>
      <c r="B1141" s="21"/>
      <c r="C1141" s="22" t="s">
        <v>1013</v>
      </c>
      <c r="D1141" s="22" t="s">
        <v>665</v>
      </c>
      <c r="E1141" s="41" t="s">
        <v>253</v>
      </c>
      <c r="F1141" s="23"/>
      <c r="G1141" s="24">
        <f>SUM(G1142)</f>
        <v>0</v>
      </c>
      <c r="H1141" s="24">
        <f>SUM(H1142)</f>
        <v>2461.2</v>
      </c>
      <c r="I1141" s="24" t="e">
        <f t="shared" si="30"/>
        <v>#DIV/0!</v>
      </c>
    </row>
    <row r="1142" spans="1:9" ht="28.5" hidden="1">
      <c r="A1142" s="224" t="s">
        <v>254</v>
      </c>
      <c r="B1142" s="21"/>
      <c r="C1142" s="22" t="s">
        <v>1013</v>
      </c>
      <c r="D1142" s="22" t="s">
        <v>665</v>
      </c>
      <c r="E1142" s="41" t="s">
        <v>253</v>
      </c>
      <c r="F1142" s="23" t="s">
        <v>255</v>
      </c>
      <c r="G1142" s="24"/>
      <c r="H1142" s="24">
        <v>2461.2</v>
      </c>
      <c r="I1142" s="24" t="e">
        <f t="shared" si="30"/>
        <v>#DIV/0!</v>
      </c>
    </row>
    <row r="1143" spans="1:9" ht="19.5" customHeight="1" hidden="1">
      <c r="A1143" s="224" t="s">
        <v>256</v>
      </c>
      <c r="B1143" s="21"/>
      <c r="C1143" s="22" t="s">
        <v>1013</v>
      </c>
      <c r="D1143" s="22" t="s">
        <v>665</v>
      </c>
      <c r="E1143" s="41" t="s">
        <v>257</v>
      </c>
      <c r="F1143" s="23"/>
      <c r="G1143" s="24">
        <f>SUM(G1144)</f>
        <v>0</v>
      </c>
      <c r="H1143" s="24">
        <f>SUM(H1144)</f>
        <v>25107.2</v>
      </c>
      <c r="I1143" s="24" t="e">
        <f t="shared" si="30"/>
        <v>#DIV/0!</v>
      </c>
    </row>
    <row r="1144" spans="1:9" ht="19.5" customHeight="1" hidden="1">
      <c r="A1144" s="224" t="s">
        <v>254</v>
      </c>
      <c r="B1144" s="21"/>
      <c r="C1144" s="22" t="s">
        <v>1013</v>
      </c>
      <c r="D1144" s="22" t="s">
        <v>665</v>
      </c>
      <c r="E1144" s="41" t="s">
        <v>257</v>
      </c>
      <c r="F1144" s="23" t="s">
        <v>255</v>
      </c>
      <c r="G1144" s="24"/>
      <c r="H1144" s="24">
        <v>25107.2</v>
      </c>
      <c r="I1144" s="24" t="e">
        <f t="shared" si="30"/>
        <v>#DIV/0!</v>
      </c>
    </row>
    <row r="1145" spans="1:9" ht="19.5" customHeight="1" hidden="1">
      <c r="A1145" s="224" t="s">
        <v>258</v>
      </c>
      <c r="B1145" s="21"/>
      <c r="C1145" s="22" t="s">
        <v>1013</v>
      </c>
      <c r="D1145" s="22" t="s">
        <v>665</v>
      </c>
      <c r="E1145" s="41" t="s">
        <v>259</v>
      </c>
      <c r="F1145" s="23"/>
      <c r="G1145" s="24">
        <f>SUM(G1146)</f>
        <v>0</v>
      </c>
      <c r="H1145" s="24">
        <f>SUM(H1146)</f>
        <v>7951.2</v>
      </c>
      <c r="I1145" s="24" t="e">
        <f t="shared" si="30"/>
        <v>#DIV/0!</v>
      </c>
    </row>
    <row r="1146" spans="1:9" ht="19.5" customHeight="1" hidden="1">
      <c r="A1146" s="224" t="s">
        <v>254</v>
      </c>
      <c r="B1146" s="21"/>
      <c r="C1146" s="22" t="s">
        <v>1013</v>
      </c>
      <c r="D1146" s="22" t="s">
        <v>665</v>
      </c>
      <c r="E1146" s="41" t="s">
        <v>259</v>
      </c>
      <c r="F1146" s="23" t="s">
        <v>255</v>
      </c>
      <c r="G1146" s="24"/>
      <c r="H1146" s="24">
        <v>7951.2</v>
      </c>
      <c r="I1146" s="24" t="e">
        <f t="shared" si="30"/>
        <v>#DIV/0!</v>
      </c>
    </row>
    <row r="1147" spans="1:9" s="89" customFormat="1" ht="15" hidden="1">
      <c r="A1147" s="224" t="s">
        <v>260</v>
      </c>
      <c r="B1147" s="21"/>
      <c r="C1147" s="22" t="s">
        <v>1013</v>
      </c>
      <c r="D1147" s="22" t="s">
        <v>665</v>
      </c>
      <c r="E1147" s="41" t="s">
        <v>261</v>
      </c>
      <c r="F1147" s="23"/>
      <c r="G1147" s="24">
        <f>SUM(G1148)</f>
        <v>0</v>
      </c>
      <c r="H1147" s="24">
        <f>SUM(H1148)</f>
        <v>73.1</v>
      </c>
      <c r="I1147" s="24" t="e">
        <f t="shared" si="30"/>
        <v>#DIV/0!</v>
      </c>
    </row>
    <row r="1148" spans="1:9" s="89" customFormat="1" ht="19.5" customHeight="1" hidden="1">
      <c r="A1148" s="224" t="s">
        <v>367</v>
      </c>
      <c r="B1148" s="21"/>
      <c r="C1148" s="22" t="s">
        <v>1013</v>
      </c>
      <c r="D1148" s="22" t="s">
        <v>665</v>
      </c>
      <c r="E1148" s="41" t="s">
        <v>368</v>
      </c>
      <c r="F1148" s="23"/>
      <c r="G1148" s="24">
        <f>SUM(G1149)</f>
        <v>0</v>
      </c>
      <c r="H1148" s="24">
        <f>SUM(H1149)</f>
        <v>73.1</v>
      </c>
      <c r="I1148" s="24" t="e">
        <f t="shared" si="30"/>
        <v>#DIV/0!</v>
      </c>
    </row>
    <row r="1149" spans="1:9" s="89" customFormat="1" ht="28.5" hidden="1">
      <c r="A1149" s="224" t="s">
        <v>254</v>
      </c>
      <c r="B1149" s="21"/>
      <c r="C1149" s="22" t="s">
        <v>1013</v>
      </c>
      <c r="D1149" s="22" t="s">
        <v>665</v>
      </c>
      <c r="E1149" s="41" t="s">
        <v>368</v>
      </c>
      <c r="F1149" s="23" t="s">
        <v>255</v>
      </c>
      <c r="G1149" s="24"/>
      <c r="H1149" s="24">
        <v>73.1</v>
      </c>
      <c r="I1149" s="24" t="e">
        <f t="shared" si="30"/>
        <v>#DIV/0!</v>
      </c>
    </row>
    <row r="1150" spans="1:9" s="89" customFormat="1" ht="19.5" customHeight="1" hidden="1">
      <c r="A1150" s="222" t="s">
        <v>369</v>
      </c>
      <c r="B1150" s="21"/>
      <c r="C1150" s="22" t="s">
        <v>370</v>
      </c>
      <c r="D1150" s="22" t="s">
        <v>665</v>
      </c>
      <c r="E1150" s="41" t="s">
        <v>371</v>
      </c>
      <c r="F1150" s="23"/>
      <c r="G1150" s="24">
        <f>SUM(G1151+G1153)</f>
        <v>0</v>
      </c>
      <c r="H1150" s="24">
        <f>SUM(H1151+H1153)</f>
        <v>66.8</v>
      </c>
      <c r="I1150" s="24" t="e">
        <f t="shared" si="30"/>
        <v>#DIV/0!</v>
      </c>
    </row>
    <row r="1151" spans="1:9" ht="19.5" customHeight="1" hidden="1">
      <c r="A1151" s="224" t="s">
        <v>372</v>
      </c>
      <c r="B1151" s="21"/>
      <c r="C1151" s="22" t="s">
        <v>370</v>
      </c>
      <c r="D1151" s="22" t="s">
        <v>665</v>
      </c>
      <c r="E1151" s="41" t="s">
        <v>373</v>
      </c>
      <c r="F1151" s="23"/>
      <c r="G1151" s="24">
        <f>SUM(G1152)</f>
        <v>0</v>
      </c>
      <c r="H1151" s="24">
        <f>SUM(H1152)</f>
        <v>0</v>
      </c>
      <c r="I1151" s="24" t="e">
        <f t="shared" si="30"/>
        <v>#DIV/0!</v>
      </c>
    </row>
    <row r="1152" spans="1:9" ht="19.5" customHeight="1" hidden="1">
      <c r="A1152" s="224" t="s">
        <v>254</v>
      </c>
      <c r="B1152" s="21"/>
      <c r="C1152" s="22" t="s">
        <v>370</v>
      </c>
      <c r="D1152" s="22" t="s">
        <v>665</v>
      </c>
      <c r="E1152" s="41" t="s">
        <v>373</v>
      </c>
      <c r="F1152" s="23" t="s">
        <v>255</v>
      </c>
      <c r="G1152" s="24"/>
      <c r="H1152" s="24"/>
      <c r="I1152" s="24" t="e">
        <f t="shared" si="30"/>
        <v>#DIV/0!</v>
      </c>
    </row>
    <row r="1153" spans="1:9" ht="19.5" customHeight="1" hidden="1">
      <c r="A1153" s="224" t="s">
        <v>374</v>
      </c>
      <c r="B1153" s="21"/>
      <c r="C1153" s="22" t="s">
        <v>370</v>
      </c>
      <c r="D1153" s="22" t="s">
        <v>665</v>
      </c>
      <c r="E1153" s="41" t="s">
        <v>375</v>
      </c>
      <c r="F1153" s="23"/>
      <c r="G1153" s="24">
        <f>SUM(G1154)</f>
        <v>0</v>
      </c>
      <c r="H1153" s="24">
        <f>SUM(H1154)</f>
        <v>66.8</v>
      </c>
      <c r="I1153" s="24" t="e">
        <f t="shared" si="30"/>
        <v>#DIV/0!</v>
      </c>
    </row>
    <row r="1154" spans="1:9" ht="19.5" customHeight="1" hidden="1">
      <c r="A1154" s="224" t="s">
        <v>254</v>
      </c>
      <c r="B1154" s="21"/>
      <c r="C1154" s="22" t="s">
        <v>370</v>
      </c>
      <c r="D1154" s="22" t="s">
        <v>665</v>
      </c>
      <c r="E1154" s="41" t="s">
        <v>375</v>
      </c>
      <c r="F1154" s="23" t="s">
        <v>255</v>
      </c>
      <c r="G1154" s="24"/>
      <c r="H1154" s="24">
        <v>66.8</v>
      </c>
      <c r="I1154" s="24" t="e">
        <f t="shared" si="30"/>
        <v>#DIV/0!</v>
      </c>
    </row>
    <row r="1155" spans="1:9" ht="19.5" customHeight="1" hidden="1">
      <c r="A1155" s="222" t="s">
        <v>376</v>
      </c>
      <c r="B1155" s="21"/>
      <c r="C1155" s="22" t="s">
        <v>370</v>
      </c>
      <c r="D1155" s="22" t="s">
        <v>665</v>
      </c>
      <c r="E1155" s="41" t="s">
        <v>377</v>
      </c>
      <c r="F1155" s="23"/>
      <c r="G1155" s="24">
        <f>SUM(G1156)</f>
        <v>0</v>
      </c>
      <c r="H1155" s="24">
        <f>SUM(H1156)</f>
        <v>987.3</v>
      </c>
      <c r="I1155" s="24" t="e">
        <f t="shared" si="30"/>
        <v>#DIV/0!</v>
      </c>
    </row>
    <row r="1156" spans="1:9" ht="19.5" customHeight="1" hidden="1">
      <c r="A1156" s="224" t="s">
        <v>378</v>
      </c>
      <c r="B1156" s="21"/>
      <c r="C1156" s="22" t="s">
        <v>370</v>
      </c>
      <c r="D1156" s="22" t="s">
        <v>665</v>
      </c>
      <c r="E1156" s="41" t="s">
        <v>377</v>
      </c>
      <c r="F1156" s="23" t="s">
        <v>379</v>
      </c>
      <c r="G1156" s="24"/>
      <c r="H1156" s="24">
        <v>987.3</v>
      </c>
      <c r="I1156" s="24" t="e">
        <f t="shared" si="30"/>
        <v>#DIV/0!</v>
      </c>
    </row>
    <row r="1157" spans="1:9" ht="19.5" customHeight="1" hidden="1">
      <c r="A1157" s="233" t="s">
        <v>1046</v>
      </c>
      <c r="B1157" s="42"/>
      <c r="C1157" s="42" t="s">
        <v>1013</v>
      </c>
      <c r="D1157" s="42" t="s">
        <v>665</v>
      </c>
      <c r="E1157" s="43" t="s">
        <v>1047</v>
      </c>
      <c r="F1157" s="44"/>
      <c r="G1157" s="24">
        <f>SUM(G1158)</f>
        <v>0</v>
      </c>
      <c r="H1157" s="24">
        <f>SUM(H1158)</f>
        <v>275.7</v>
      </c>
      <c r="I1157" s="24" t="e">
        <f t="shared" si="30"/>
        <v>#DIV/0!</v>
      </c>
    </row>
    <row r="1158" spans="1:9" ht="19.5" customHeight="1" hidden="1">
      <c r="A1158" s="224" t="s">
        <v>254</v>
      </c>
      <c r="B1158" s="45"/>
      <c r="C1158" s="46" t="s">
        <v>1013</v>
      </c>
      <c r="D1158" s="46" t="s">
        <v>665</v>
      </c>
      <c r="E1158" s="46" t="s">
        <v>380</v>
      </c>
      <c r="F1158" s="47" t="s">
        <v>255</v>
      </c>
      <c r="G1158" s="24">
        <f>SUM(G1159)</f>
        <v>0</v>
      </c>
      <c r="H1158" s="24">
        <f>SUM(H1159)</f>
        <v>275.7</v>
      </c>
      <c r="I1158" s="24" t="e">
        <f t="shared" si="30"/>
        <v>#DIV/0!</v>
      </c>
    </row>
    <row r="1159" spans="1:9" ht="19.5" customHeight="1" hidden="1">
      <c r="A1159" s="236" t="s">
        <v>637</v>
      </c>
      <c r="B1159" s="48"/>
      <c r="C1159" s="46" t="s">
        <v>1013</v>
      </c>
      <c r="D1159" s="46" t="s">
        <v>665</v>
      </c>
      <c r="E1159" s="46" t="s">
        <v>381</v>
      </c>
      <c r="F1159" s="47" t="s">
        <v>255</v>
      </c>
      <c r="G1159" s="49"/>
      <c r="H1159" s="49">
        <v>275.7</v>
      </c>
      <c r="I1159" s="24" t="e">
        <f t="shared" si="30"/>
        <v>#DIV/0!</v>
      </c>
    </row>
    <row r="1160" spans="1:9" ht="21" customHeight="1">
      <c r="A1160" s="235" t="s">
        <v>404</v>
      </c>
      <c r="B1160" s="82" t="s">
        <v>304</v>
      </c>
      <c r="C1160" s="150"/>
      <c r="D1160" s="150"/>
      <c r="E1160" s="150"/>
      <c r="F1160" s="151"/>
      <c r="G1160" s="141">
        <f>SUM(G1165+G1392)</f>
        <v>1290796.7999999998</v>
      </c>
      <c r="H1160" s="141" t="e">
        <f>SUM(H1165+H1392)</f>
        <v>#REF!</v>
      </c>
      <c r="I1160" s="40" t="e">
        <f t="shared" si="30"/>
        <v>#REF!</v>
      </c>
    </row>
    <row r="1161" spans="1:9" ht="19.5" customHeight="1" hidden="1">
      <c r="A1161" s="222" t="s">
        <v>1036</v>
      </c>
      <c r="B1161" s="21"/>
      <c r="C1161" s="22" t="s">
        <v>1037</v>
      </c>
      <c r="D1161" s="22"/>
      <c r="E1161" s="22"/>
      <c r="F1161" s="23"/>
      <c r="G1161" s="24">
        <f aca="true" t="shared" si="31" ref="G1161:H1163">SUM(G1162)</f>
        <v>0</v>
      </c>
      <c r="H1161" s="24">
        <f t="shared" si="31"/>
        <v>0</v>
      </c>
      <c r="I1161" s="24" t="e">
        <f t="shared" si="30"/>
        <v>#DIV/0!</v>
      </c>
    </row>
    <row r="1162" spans="1:9" ht="19.5" customHeight="1" hidden="1">
      <c r="A1162" s="222" t="s">
        <v>457</v>
      </c>
      <c r="B1162" s="21"/>
      <c r="C1162" s="22" t="s">
        <v>1037</v>
      </c>
      <c r="D1162" s="35" t="s">
        <v>663</v>
      </c>
      <c r="E1162" s="80"/>
      <c r="F1162" s="81"/>
      <c r="G1162" s="24">
        <f t="shared" si="31"/>
        <v>0</v>
      </c>
      <c r="H1162" s="24">
        <f t="shared" si="31"/>
        <v>0</v>
      </c>
      <c r="I1162" s="24" t="e">
        <f t="shared" si="30"/>
        <v>#DIV/0!</v>
      </c>
    </row>
    <row r="1163" spans="1:9" ht="19.5" customHeight="1" hidden="1">
      <c r="A1163" s="222" t="s">
        <v>458</v>
      </c>
      <c r="B1163" s="21"/>
      <c r="C1163" s="22" t="s">
        <v>1037</v>
      </c>
      <c r="D1163" s="35" t="s">
        <v>663</v>
      </c>
      <c r="E1163" s="41" t="s">
        <v>459</v>
      </c>
      <c r="F1163" s="81"/>
      <c r="G1163" s="24">
        <f t="shared" si="31"/>
        <v>0</v>
      </c>
      <c r="H1163" s="24">
        <f t="shared" si="31"/>
        <v>0</v>
      </c>
      <c r="I1163" s="24" t="e">
        <f t="shared" si="30"/>
        <v>#DIV/0!</v>
      </c>
    </row>
    <row r="1164" spans="1:9" ht="15" hidden="1">
      <c r="A1164" s="222" t="s">
        <v>460</v>
      </c>
      <c r="B1164" s="21"/>
      <c r="C1164" s="22" t="s">
        <v>1037</v>
      </c>
      <c r="D1164" s="35" t="s">
        <v>663</v>
      </c>
      <c r="E1164" s="41" t="s">
        <v>459</v>
      </c>
      <c r="F1164" s="81">
        <v>273</v>
      </c>
      <c r="G1164" s="24"/>
      <c r="H1164" s="24"/>
      <c r="I1164" s="24" t="e">
        <f t="shared" si="30"/>
        <v>#DIV/0!</v>
      </c>
    </row>
    <row r="1165" spans="1:9" ht="18.75" customHeight="1">
      <c r="A1165" s="222" t="s">
        <v>1025</v>
      </c>
      <c r="B1165" s="21"/>
      <c r="C1165" s="35" t="s">
        <v>1026</v>
      </c>
      <c r="D1165" s="35"/>
      <c r="E1165" s="35"/>
      <c r="F1165" s="26"/>
      <c r="G1165" s="24">
        <f>SUM(G1166+G1228+G1320+G1349)</f>
        <v>1262233.7999999998</v>
      </c>
      <c r="H1165" s="24" t="e">
        <f>SUM(H1166+H1228+H1320+H1349)</f>
        <v>#REF!</v>
      </c>
      <c r="I1165" s="24" t="e">
        <f t="shared" si="30"/>
        <v>#REF!</v>
      </c>
    </row>
    <row r="1166" spans="1:9" ht="20.25" customHeight="1">
      <c r="A1166" s="222" t="s">
        <v>461</v>
      </c>
      <c r="B1166" s="82"/>
      <c r="C1166" s="35" t="s">
        <v>1026</v>
      </c>
      <c r="D1166" s="35" t="s">
        <v>663</v>
      </c>
      <c r="E1166" s="35"/>
      <c r="F1166" s="26"/>
      <c r="G1166" s="24">
        <f>SUM(G1175+G1220)+G1213+G1167+G1171</f>
        <v>486060</v>
      </c>
      <c r="H1166" s="24">
        <f>SUM(H1188+H1213)</f>
        <v>9549.8</v>
      </c>
      <c r="I1166" s="24">
        <f t="shared" si="30"/>
        <v>1.9647368637616753</v>
      </c>
    </row>
    <row r="1167" spans="1:9" ht="30" customHeight="1">
      <c r="A1167" s="222" t="s">
        <v>1021</v>
      </c>
      <c r="B1167" s="21"/>
      <c r="C1167" s="35" t="s">
        <v>1026</v>
      </c>
      <c r="D1167" s="35" t="s">
        <v>663</v>
      </c>
      <c r="E1167" s="22" t="s">
        <v>1022</v>
      </c>
      <c r="F1167" s="27"/>
      <c r="G1167" s="24">
        <f>SUM(G1168)</f>
        <v>5815.8</v>
      </c>
      <c r="H1167" s="24"/>
      <c r="I1167" s="24"/>
    </row>
    <row r="1168" spans="1:9" ht="30.75" customHeight="1">
      <c r="A1168" s="239" t="s">
        <v>745</v>
      </c>
      <c r="B1168" s="21"/>
      <c r="C1168" s="35" t="s">
        <v>1026</v>
      </c>
      <c r="D1168" s="35" t="s">
        <v>663</v>
      </c>
      <c r="E1168" s="22" t="s">
        <v>746</v>
      </c>
      <c r="F1168" s="26"/>
      <c r="G1168" s="24">
        <f>SUM(G1169:G1170)</f>
        <v>5815.8</v>
      </c>
      <c r="H1168" s="24"/>
      <c r="I1168" s="24"/>
    </row>
    <row r="1169" spans="1:9" ht="20.25" customHeight="1">
      <c r="A1169" s="228" t="s">
        <v>895</v>
      </c>
      <c r="B1169" s="21"/>
      <c r="C1169" s="35" t="s">
        <v>1026</v>
      </c>
      <c r="D1169" s="35" t="s">
        <v>663</v>
      </c>
      <c r="E1169" s="22" t="s">
        <v>746</v>
      </c>
      <c r="F1169" s="88" t="s">
        <v>238</v>
      </c>
      <c r="G1169" s="24">
        <f>1123.8+86.4</f>
        <v>1210.2</v>
      </c>
      <c r="H1169" s="24"/>
      <c r="I1169" s="24"/>
    </row>
    <row r="1170" spans="1:9" ht="20.25" customHeight="1">
      <c r="A1170" s="234" t="s">
        <v>1080</v>
      </c>
      <c r="B1170" s="21"/>
      <c r="C1170" s="35" t="s">
        <v>1026</v>
      </c>
      <c r="D1170" s="35" t="s">
        <v>663</v>
      </c>
      <c r="E1170" s="22" t="s">
        <v>746</v>
      </c>
      <c r="F1170" s="23" t="s">
        <v>978</v>
      </c>
      <c r="G1170" s="24">
        <f>4692-86.4</f>
        <v>4605.6</v>
      </c>
      <c r="H1170" s="24"/>
      <c r="I1170" s="24"/>
    </row>
    <row r="1171" spans="1:9" ht="20.25" customHeight="1">
      <c r="A1171" s="236" t="s">
        <v>1103</v>
      </c>
      <c r="B1171" s="21"/>
      <c r="C1171" s="35" t="s">
        <v>1026</v>
      </c>
      <c r="D1171" s="35" t="s">
        <v>663</v>
      </c>
      <c r="E1171" s="22" t="s">
        <v>1104</v>
      </c>
      <c r="F1171" s="23"/>
      <c r="G1171" s="24">
        <f>SUM(G1172)</f>
        <v>354</v>
      </c>
      <c r="H1171" s="24"/>
      <c r="I1171" s="24"/>
    </row>
    <row r="1172" spans="1:9" ht="20.25" customHeight="1">
      <c r="A1172" s="234" t="s">
        <v>726</v>
      </c>
      <c r="B1172" s="21"/>
      <c r="C1172" s="35" t="s">
        <v>1026</v>
      </c>
      <c r="D1172" s="35" t="s">
        <v>663</v>
      </c>
      <c r="E1172" s="22" t="s">
        <v>727</v>
      </c>
      <c r="F1172" s="23"/>
      <c r="G1172" s="24">
        <f>SUM(G1173:G1174)</f>
        <v>354</v>
      </c>
      <c r="H1172" s="24"/>
      <c r="I1172" s="24"/>
    </row>
    <row r="1173" spans="1:9" ht="20.25" customHeight="1">
      <c r="A1173" s="228" t="s">
        <v>895</v>
      </c>
      <c r="B1173" s="21"/>
      <c r="C1173" s="35" t="s">
        <v>1026</v>
      </c>
      <c r="D1173" s="35" t="s">
        <v>663</v>
      </c>
      <c r="E1173" s="22" t="s">
        <v>727</v>
      </c>
      <c r="F1173" s="88" t="s">
        <v>238</v>
      </c>
      <c r="G1173" s="24">
        <v>12</v>
      </c>
      <c r="H1173" s="24"/>
      <c r="I1173" s="24"/>
    </row>
    <row r="1174" spans="1:9" ht="20.25" customHeight="1">
      <c r="A1174" s="234" t="s">
        <v>1080</v>
      </c>
      <c r="B1174" s="21"/>
      <c r="C1174" s="35" t="s">
        <v>1026</v>
      </c>
      <c r="D1174" s="35" t="s">
        <v>663</v>
      </c>
      <c r="E1174" s="22" t="s">
        <v>727</v>
      </c>
      <c r="F1174" s="23" t="s">
        <v>978</v>
      </c>
      <c r="G1174" s="24">
        <v>342</v>
      </c>
      <c r="H1174" s="24"/>
      <c r="I1174" s="24"/>
    </row>
    <row r="1175" spans="1:9" ht="21" customHeight="1">
      <c r="A1175" s="222" t="s">
        <v>462</v>
      </c>
      <c r="B1175" s="82"/>
      <c r="C1175" s="35" t="s">
        <v>1026</v>
      </c>
      <c r="D1175" s="35" t="s">
        <v>663</v>
      </c>
      <c r="E1175" s="35" t="s">
        <v>463</v>
      </c>
      <c r="F1175" s="26"/>
      <c r="G1175" s="24">
        <f>SUM(G1176+G1190)</f>
        <v>451041.3</v>
      </c>
      <c r="H1175" s="24">
        <f>SUM(H1176)</f>
        <v>56722</v>
      </c>
      <c r="I1175" s="24">
        <f>SUM(H1175/G1175*100)</f>
        <v>12.575788514266875</v>
      </c>
    </row>
    <row r="1176" spans="1:9" ht="28.5" customHeight="1">
      <c r="A1176" s="222" t="s">
        <v>811</v>
      </c>
      <c r="B1176" s="82"/>
      <c r="C1176" s="35" t="s">
        <v>1026</v>
      </c>
      <c r="D1176" s="35" t="s">
        <v>663</v>
      </c>
      <c r="E1176" s="35" t="s">
        <v>983</v>
      </c>
      <c r="F1176" s="26"/>
      <c r="G1176" s="24">
        <f>SUM(G1179)+G1188+G1181+G1177</f>
        <v>396185</v>
      </c>
      <c r="H1176" s="24">
        <f>SUM(H1180+H1263+H1261)</f>
        <v>56722</v>
      </c>
      <c r="I1176" s="24">
        <f>SUM(H1176/G1176*100)</f>
        <v>14.317048853439681</v>
      </c>
    </row>
    <row r="1177" spans="1:9" ht="49.5" customHeight="1">
      <c r="A1177" s="222" t="s">
        <v>1253</v>
      </c>
      <c r="B1177" s="82"/>
      <c r="C1177" s="35" t="s">
        <v>1026</v>
      </c>
      <c r="D1177" s="35" t="s">
        <v>663</v>
      </c>
      <c r="E1177" s="35" t="s">
        <v>1254</v>
      </c>
      <c r="F1177" s="26"/>
      <c r="G1177" s="24">
        <f>SUM(G1178)</f>
        <v>486.6</v>
      </c>
      <c r="H1177" s="24"/>
      <c r="I1177" s="24"/>
    </row>
    <row r="1178" spans="1:9" ht="21.75" customHeight="1">
      <c r="A1178" s="222" t="s">
        <v>1126</v>
      </c>
      <c r="B1178" s="82"/>
      <c r="C1178" s="35" t="s">
        <v>1026</v>
      </c>
      <c r="D1178" s="35" t="s">
        <v>663</v>
      </c>
      <c r="E1178" s="35" t="s">
        <v>1254</v>
      </c>
      <c r="F1178" s="26" t="s">
        <v>978</v>
      </c>
      <c r="G1178" s="24">
        <v>486.6</v>
      </c>
      <c r="H1178" s="24"/>
      <c r="I1178" s="24"/>
    </row>
    <row r="1179" spans="1:9" ht="36" customHeight="1">
      <c r="A1179" s="222" t="s">
        <v>1232</v>
      </c>
      <c r="B1179" s="82"/>
      <c r="C1179" s="35" t="s">
        <v>1026</v>
      </c>
      <c r="D1179" s="35" t="s">
        <v>663</v>
      </c>
      <c r="E1179" s="35" t="s">
        <v>984</v>
      </c>
      <c r="F1179" s="26"/>
      <c r="G1179" s="24">
        <f>SUM(G1180)</f>
        <v>390533.7</v>
      </c>
      <c r="H1179" s="24"/>
      <c r="I1179" s="24"/>
    </row>
    <row r="1180" spans="1:9" ht="49.5" customHeight="1">
      <c r="A1180" s="234" t="s">
        <v>1125</v>
      </c>
      <c r="B1180" s="51"/>
      <c r="C1180" s="35" t="s">
        <v>1026</v>
      </c>
      <c r="D1180" s="35" t="s">
        <v>663</v>
      </c>
      <c r="E1180" s="35" t="s">
        <v>984</v>
      </c>
      <c r="F1180" s="27" t="s">
        <v>897</v>
      </c>
      <c r="G1180" s="24">
        <v>390533.7</v>
      </c>
      <c r="H1180" s="24">
        <v>56722</v>
      </c>
      <c r="I1180" s="24">
        <f>SUM(H1180/G1180*100)</f>
        <v>14.524226718462451</v>
      </c>
    </row>
    <row r="1181" spans="1:9" ht="23.25" customHeight="1">
      <c r="A1181" s="234" t="s">
        <v>1126</v>
      </c>
      <c r="B1181" s="82"/>
      <c r="C1181" s="35" t="s">
        <v>1026</v>
      </c>
      <c r="D1181" s="35" t="s">
        <v>663</v>
      </c>
      <c r="E1181" s="35" t="s">
        <v>1098</v>
      </c>
      <c r="F1181" s="26"/>
      <c r="G1181" s="24">
        <f>SUM(G1187,G1183,G1185)</f>
        <v>3013.2</v>
      </c>
      <c r="H1181" s="24"/>
      <c r="I1181" s="24"/>
    </row>
    <row r="1182" spans="1:9" ht="30" customHeight="1">
      <c r="A1182" s="234" t="s">
        <v>1081</v>
      </c>
      <c r="B1182" s="82"/>
      <c r="C1182" s="35" t="s">
        <v>1026</v>
      </c>
      <c r="D1182" s="35" t="s">
        <v>663</v>
      </c>
      <c r="E1182" s="35" t="s">
        <v>1240</v>
      </c>
      <c r="F1182" s="26"/>
      <c r="G1182" s="24">
        <f>SUM(G1183)</f>
        <v>420</v>
      </c>
      <c r="H1182" s="24"/>
      <c r="I1182" s="24"/>
    </row>
    <row r="1183" spans="1:9" ht="30" customHeight="1">
      <c r="A1183" s="234" t="s">
        <v>1080</v>
      </c>
      <c r="B1183" s="82"/>
      <c r="C1183" s="35" t="s">
        <v>1026</v>
      </c>
      <c r="D1183" s="35" t="s">
        <v>663</v>
      </c>
      <c r="E1183" s="35" t="s">
        <v>1240</v>
      </c>
      <c r="F1183" s="26" t="s">
        <v>978</v>
      </c>
      <c r="G1183" s="24">
        <v>420</v>
      </c>
      <c r="H1183" s="24"/>
      <c r="I1183" s="24"/>
    </row>
    <row r="1184" spans="1:9" ht="30" customHeight="1">
      <c r="A1184" s="234" t="s">
        <v>578</v>
      </c>
      <c r="B1184" s="82"/>
      <c r="C1184" s="35" t="s">
        <v>1026</v>
      </c>
      <c r="D1184" s="35" t="s">
        <v>663</v>
      </c>
      <c r="E1184" s="35" t="s">
        <v>1241</v>
      </c>
      <c r="F1184" s="26"/>
      <c r="G1184" s="24">
        <f>SUM(G1185)</f>
        <v>371.5</v>
      </c>
      <c r="H1184" s="24"/>
      <c r="I1184" s="24"/>
    </row>
    <row r="1185" spans="1:9" ht="30" customHeight="1">
      <c r="A1185" s="234" t="s">
        <v>1080</v>
      </c>
      <c r="B1185" s="82"/>
      <c r="C1185" s="35" t="s">
        <v>1026</v>
      </c>
      <c r="D1185" s="35" t="s">
        <v>663</v>
      </c>
      <c r="E1185" s="35" t="s">
        <v>1241</v>
      </c>
      <c r="F1185" s="26" t="s">
        <v>978</v>
      </c>
      <c r="G1185" s="24">
        <v>371.5</v>
      </c>
      <c r="H1185" s="24"/>
      <c r="I1185" s="24"/>
    </row>
    <row r="1186" spans="1:9" ht="23.25" customHeight="1">
      <c r="A1186" s="222" t="s">
        <v>1261</v>
      </c>
      <c r="B1186" s="82"/>
      <c r="C1186" s="35" t="s">
        <v>1026</v>
      </c>
      <c r="D1186" s="35" t="s">
        <v>663</v>
      </c>
      <c r="E1186" s="35" t="s">
        <v>1268</v>
      </c>
      <c r="F1186" s="26"/>
      <c r="G1186" s="24">
        <f>SUM(G1187)</f>
        <v>2221.7</v>
      </c>
      <c r="H1186" s="24"/>
      <c r="I1186" s="24"/>
    </row>
    <row r="1187" spans="1:9" ht="25.5" customHeight="1">
      <c r="A1187" s="234" t="s">
        <v>1080</v>
      </c>
      <c r="B1187" s="82"/>
      <c r="C1187" s="35" t="s">
        <v>1026</v>
      </c>
      <c r="D1187" s="35" t="s">
        <v>663</v>
      </c>
      <c r="E1187" s="35" t="s">
        <v>1268</v>
      </c>
      <c r="F1187" s="26" t="s">
        <v>978</v>
      </c>
      <c r="G1187" s="24">
        <v>2221.7</v>
      </c>
      <c r="H1187" s="24"/>
      <c r="I1187" s="24"/>
    </row>
    <row r="1188" spans="1:9" ht="32.25" customHeight="1">
      <c r="A1188" s="234" t="s">
        <v>472</v>
      </c>
      <c r="B1188" s="21"/>
      <c r="C1188" s="52" t="s">
        <v>1026</v>
      </c>
      <c r="D1188" s="52" t="s">
        <v>663</v>
      </c>
      <c r="E1188" s="52" t="s">
        <v>986</v>
      </c>
      <c r="F1188" s="26"/>
      <c r="G1188" s="24">
        <f>SUM(G1189)</f>
        <v>2151.5</v>
      </c>
      <c r="H1188" s="24"/>
      <c r="I1188" s="24"/>
    </row>
    <row r="1189" spans="1:9" ht="24" customHeight="1">
      <c r="A1189" s="228" t="s">
        <v>1126</v>
      </c>
      <c r="B1189" s="51"/>
      <c r="C1189" s="35" t="s">
        <v>1026</v>
      </c>
      <c r="D1189" s="35" t="s">
        <v>663</v>
      </c>
      <c r="E1189" s="52" t="s">
        <v>986</v>
      </c>
      <c r="F1189" s="27" t="s">
        <v>978</v>
      </c>
      <c r="G1189" s="24">
        <v>2151.5</v>
      </c>
      <c r="H1189" s="24">
        <v>56722</v>
      </c>
      <c r="I1189" s="24">
        <f>SUM(H1189/G1189*100)</f>
        <v>2636.3932140367187</v>
      </c>
    </row>
    <row r="1190" spans="1:9" ht="28.5">
      <c r="A1190" s="222" t="s">
        <v>894</v>
      </c>
      <c r="B1190" s="82"/>
      <c r="C1190" s="35" t="s">
        <v>1026</v>
      </c>
      <c r="D1190" s="35" t="s">
        <v>663</v>
      </c>
      <c r="E1190" s="35" t="s">
        <v>464</v>
      </c>
      <c r="F1190" s="26"/>
      <c r="G1190" s="24">
        <f>SUM(G1198+G1191)+G1192+G1194</f>
        <v>54856.3</v>
      </c>
      <c r="H1190" s="24">
        <f>SUM(H1191+H1202+H1208+H1210)+H1199</f>
        <v>213007.5</v>
      </c>
      <c r="I1190" s="24">
        <f t="shared" si="30"/>
        <v>388.3008879563514</v>
      </c>
    </row>
    <row r="1191" spans="1:9" ht="18.75" customHeight="1">
      <c r="A1191" s="234" t="s">
        <v>895</v>
      </c>
      <c r="B1191" s="51"/>
      <c r="C1191" s="52" t="s">
        <v>1026</v>
      </c>
      <c r="D1191" s="52" t="s">
        <v>663</v>
      </c>
      <c r="E1191" s="52" t="s">
        <v>464</v>
      </c>
      <c r="F1191" s="27" t="s">
        <v>238</v>
      </c>
      <c r="G1191" s="24">
        <v>54233.4</v>
      </c>
      <c r="H1191" s="24">
        <v>187516.5</v>
      </c>
      <c r="I1191" s="24">
        <f t="shared" si="30"/>
        <v>345.75833342552744</v>
      </c>
    </row>
    <row r="1192" spans="1:9" ht="57" customHeight="1">
      <c r="A1192" s="222" t="s">
        <v>1253</v>
      </c>
      <c r="B1192" s="51"/>
      <c r="C1192" s="52" t="s">
        <v>1026</v>
      </c>
      <c r="D1192" s="52" t="s">
        <v>663</v>
      </c>
      <c r="E1192" s="52" t="s">
        <v>467</v>
      </c>
      <c r="F1192" s="27"/>
      <c r="G1192" s="24">
        <f>SUM(G1193)</f>
        <v>176.3</v>
      </c>
      <c r="H1192" s="24"/>
      <c r="I1192" s="24"/>
    </row>
    <row r="1193" spans="1:9" ht="18.75" customHeight="1">
      <c r="A1193" s="234" t="s">
        <v>895</v>
      </c>
      <c r="B1193" s="51"/>
      <c r="C1193" s="52" t="s">
        <v>1026</v>
      </c>
      <c r="D1193" s="52" t="s">
        <v>663</v>
      </c>
      <c r="E1193" s="52" t="s">
        <v>467</v>
      </c>
      <c r="F1193" s="27" t="s">
        <v>238</v>
      </c>
      <c r="G1193" s="24">
        <v>176.3</v>
      </c>
      <c r="H1193" s="24">
        <v>187516.5</v>
      </c>
      <c r="I1193" s="24">
        <f>SUM(H1193/G1193*100)</f>
        <v>106362.16676120248</v>
      </c>
    </row>
    <row r="1194" spans="1:9" s="36" customFormat="1" ht="32.25" customHeight="1">
      <c r="A1194" s="228" t="s">
        <v>1242</v>
      </c>
      <c r="B1194" s="34"/>
      <c r="C1194" s="35" t="s">
        <v>1026</v>
      </c>
      <c r="D1194" s="35" t="s">
        <v>663</v>
      </c>
      <c r="E1194" s="35" t="s">
        <v>1243</v>
      </c>
      <c r="F1194" s="26"/>
      <c r="G1194" s="24">
        <f>SUM(G1195:G1196)</f>
        <v>61.4</v>
      </c>
      <c r="H1194" s="24"/>
      <c r="I1194" s="24"/>
    </row>
    <row r="1195" spans="1:9" s="36" customFormat="1" ht="18.75" customHeight="1">
      <c r="A1195" s="228" t="s">
        <v>895</v>
      </c>
      <c r="B1195" s="140"/>
      <c r="C1195" s="35" t="s">
        <v>1026</v>
      </c>
      <c r="D1195" s="35" t="s">
        <v>663</v>
      </c>
      <c r="E1195" s="35" t="s">
        <v>1243</v>
      </c>
      <c r="F1195" s="26" t="s">
        <v>238</v>
      </c>
      <c r="G1195" s="24">
        <v>8.4</v>
      </c>
      <c r="H1195" s="24">
        <v>187516.5</v>
      </c>
      <c r="I1195" s="24">
        <f>SUM(H1195/G1195*100)</f>
        <v>2232339.2857142854</v>
      </c>
    </row>
    <row r="1196" spans="1:9" s="36" customFormat="1" ht="18.75" customHeight="1">
      <c r="A1196" s="228" t="s">
        <v>1126</v>
      </c>
      <c r="B1196" s="51"/>
      <c r="C1196" s="35" t="s">
        <v>1026</v>
      </c>
      <c r="D1196" s="35" t="s">
        <v>663</v>
      </c>
      <c r="E1196" s="35" t="s">
        <v>1243</v>
      </c>
      <c r="F1196" s="27" t="s">
        <v>978</v>
      </c>
      <c r="G1196" s="24">
        <v>53</v>
      </c>
      <c r="H1196" s="24"/>
      <c r="I1196" s="24"/>
    </row>
    <row r="1197" spans="1:9" ht="32.25" customHeight="1">
      <c r="A1197" s="234" t="s">
        <v>472</v>
      </c>
      <c r="B1197" s="21"/>
      <c r="C1197" s="52" t="s">
        <v>1026</v>
      </c>
      <c r="D1197" s="52" t="s">
        <v>663</v>
      </c>
      <c r="E1197" s="52" t="s">
        <v>473</v>
      </c>
      <c r="F1197" s="26"/>
      <c r="G1197" s="24">
        <f>SUM(G1198)</f>
        <v>385.2</v>
      </c>
      <c r="H1197" s="24"/>
      <c r="I1197" s="24"/>
    </row>
    <row r="1198" spans="1:9" ht="18.75" customHeight="1">
      <c r="A1198" s="234" t="s">
        <v>895</v>
      </c>
      <c r="B1198" s="51"/>
      <c r="C1198" s="52" t="s">
        <v>1026</v>
      </c>
      <c r="D1198" s="52" t="s">
        <v>663</v>
      </c>
      <c r="E1198" s="52" t="s">
        <v>473</v>
      </c>
      <c r="F1198" s="27" t="s">
        <v>238</v>
      </c>
      <c r="G1198" s="24">
        <v>385.2</v>
      </c>
      <c r="H1198" s="24">
        <v>187516.5</v>
      </c>
      <c r="I1198" s="24">
        <f>SUM(H1198/G1198*100)</f>
        <v>48680.29595015576</v>
      </c>
    </row>
    <row r="1199" spans="1:9" ht="19.5" customHeight="1" hidden="1">
      <c r="A1199" s="234" t="s">
        <v>1253</v>
      </c>
      <c r="B1199" s="51"/>
      <c r="C1199" s="52" t="s">
        <v>1026</v>
      </c>
      <c r="D1199" s="52" t="s">
        <v>663</v>
      </c>
      <c r="E1199" s="52" t="s">
        <v>467</v>
      </c>
      <c r="F1199" s="27"/>
      <c r="G1199" s="24">
        <f>SUM(G1200)</f>
        <v>0</v>
      </c>
      <c r="H1199" s="24">
        <f>SUM(H1200)</f>
        <v>120.3</v>
      </c>
      <c r="I1199" s="24" t="e">
        <f t="shared" si="30"/>
        <v>#DIV/0!</v>
      </c>
    </row>
    <row r="1200" spans="1:9" ht="19.5" customHeight="1" hidden="1">
      <c r="A1200" s="234" t="s">
        <v>468</v>
      </c>
      <c r="B1200" s="51"/>
      <c r="C1200" s="52" t="s">
        <v>1026</v>
      </c>
      <c r="D1200" s="52" t="s">
        <v>663</v>
      </c>
      <c r="E1200" s="52" t="s">
        <v>467</v>
      </c>
      <c r="F1200" s="27" t="s">
        <v>469</v>
      </c>
      <c r="G1200" s="24"/>
      <c r="H1200" s="24">
        <v>120.3</v>
      </c>
      <c r="I1200" s="24" t="e">
        <f t="shared" si="30"/>
        <v>#DIV/0!</v>
      </c>
    </row>
    <row r="1201" spans="1:9" ht="19.5" customHeight="1" hidden="1">
      <c r="A1201" s="234" t="s">
        <v>465</v>
      </c>
      <c r="B1201" s="51"/>
      <c r="C1201" s="52" t="s">
        <v>1026</v>
      </c>
      <c r="D1201" s="52" t="s">
        <v>663</v>
      </c>
      <c r="E1201" s="52" t="s">
        <v>464</v>
      </c>
      <c r="F1201" s="26" t="s">
        <v>466</v>
      </c>
      <c r="G1201" s="24"/>
      <c r="H1201" s="24"/>
      <c r="I1201" s="24" t="e">
        <f t="shared" si="30"/>
        <v>#DIV/0!</v>
      </c>
    </row>
    <row r="1202" spans="1:9" ht="19.5" customHeight="1" hidden="1">
      <c r="A1202" s="234" t="s">
        <v>470</v>
      </c>
      <c r="B1202" s="21"/>
      <c r="C1202" s="52" t="s">
        <v>1026</v>
      </c>
      <c r="D1202" s="52" t="s">
        <v>663</v>
      </c>
      <c r="E1202" s="52" t="s">
        <v>471</v>
      </c>
      <c r="F1202" s="26"/>
      <c r="G1202" s="24">
        <f>SUM(G1203)</f>
        <v>0</v>
      </c>
      <c r="H1202" s="24">
        <f>SUM(H1203)</f>
        <v>24134</v>
      </c>
      <c r="I1202" s="24" t="e">
        <f t="shared" si="30"/>
        <v>#DIV/0!</v>
      </c>
    </row>
    <row r="1203" spans="1:9" ht="19.5" customHeight="1" hidden="1">
      <c r="A1203" s="234" t="s">
        <v>895</v>
      </c>
      <c r="B1203" s="21"/>
      <c r="C1203" s="52" t="s">
        <v>1026</v>
      </c>
      <c r="D1203" s="52" t="s">
        <v>663</v>
      </c>
      <c r="E1203" s="52" t="s">
        <v>471</v>
      </c>
      <c r="F1203" s="26" t="s">
        <v>238</v>
      </c>
      <c r="G1203" s="24"/>
      <c r="H1203" s="24">
        <v>24134</v>
      </c>
      <c r="I1203" s="24" t="e">
        <f t="shared" si="30"/>
        <v>#DIV/0!</v>
      </c>
    </row>
    <row r="1204" spans="1:9" ht="19.5" customHeight="1" hidden="1">
      <c r="A1204" s="234" t="s">
        <v>472</v>
      </c>
      <c r="B1204" s="21"/>
      <c r="C1204" s="52" t="s">
        <v>1026</v>
      </c>
      <c r="D1204" s="52" t="s">
        <v>663</v>
      </c>
      <c r="E1204" s="52" t="s">
        <v>985</v>
      </c>
      <c r="F1204" s="26"/>
      <c r="G1204" s="24"/>
      <c r="H1204" s="24"/>
      <c r="I1204" s="24"/>
    </row>
    <row r="1205" spans="1:9" ht="19.5" customHeight="1" hidden="1">
      <c r="A1205" s="234"/>
      <c r="B1205" s="21"/>
      <c r="C1205" s="52"/>
      <c r="D1205" s="52"/>
      <c r="E1205" s="52"/>
      <c r="F1205" s="26"/>
      <c r="G1205" s="24"/>
      <c r="H1205" s="24"/>
      <c r="I1205" s="24"/>
    </row>
    <row r="1206" spans="1:9" ht="19.5" customHeight="1" hidden="1">
      <c r="A1206" s="234" t="s">
        <v>973</v>
      </c>
      <c r="B1206" s="51"/>
      <c r="C1206" s="35" t="s">
        <v>1026</v>
      </c>
      <c r="D1206" s="35" t="s">
        <v>663</v>
      </c>
      <c r="E1206" s="35" t="s">
        <v>984</v>
      </c>
      <c r="F1206" s="27" t="s">
        <v>897</v>
      </c>
      <c r="G1206" s="24"/>
      <c r="H1206" s="24">
        <v>56722</v>
      </c>
      <c r="I1206" s="24" t="e">
        <f>SUM(H1206/G1206*100)</f>
        <v>#DIV/0!</v>
      </c>
    </row>
    <row r="1207" spans="1:9" ht="19.5" customHeight="1" hidden="1">
      <c r="A1207" s="234"/>
      <c r="B1207" s="21"/>
      <c r="C1207" s="52"/>
      <c r="D1207" s="52"/>
      <c r="E1207" s="52"/>
      <c r="F1207" s="26"/>
      <c r="G1207" s="24"/>
      <c r="H1207" s="24"/>
      <c r="I1207" s="24"/>
    </row>
    <row r="1208" spans="1:9" ht="19.5" customHeight="1" hidden="1">
      <c r="A1208" s="234" t="s">
        <v>472</v>
      </c>
      <c r="B1208" s="21"/>
      <c r="C1208" s="52" t="s">
        <v>1026</v>
      </c>
      <c r="D1208" s="52" t="s">
        <v>663</v>
      </c>
      <c r="E1208" s="52" t="s">
        <v>473</v>
      </c>
      <c r="F1208" s="26"/>
      <c r="G1208" s="24">
        <f>SUM(G1209)</f>
        <v>0</v>
      </c>
      <c r="H1208" s="24">
        <f>SUM(H1209)</f>
        <v>1236.7</v>
      </c>
      <c r="I1208" s="24" t="e">
        <f t="shared" si="30"/>
        <v>#DIV/0!</v>
      </c>
    </row>
    <row r="1209" spans="1:9" ht="19.5" customHeight="1" hidden="1">
      <c r="A1209" s="234" t="s">
        <v>895</v>
      </c>
      <c r="B1209" s="21"/>
      <c r="C1209" s="52" t="s">
        <v>1026</v>
      </c>
      <c r="D1209" s="52" t="s">
        <v>663</v>
      </c>
      <c r="E1209" s="52" t="s">
        <v>473</v>
      </c>
      <c r="F1209" s="26" t="s">
        <v>238</v>
      </c>
      <c r="G1209" s="24"/>
      <c r="H1209" s="24">
        <v>1236.7</v>
      </c>
      <c r="I1209" s="24" t="e">
        <f t="shared" si="30"/>
        <v>#DIV/0!</v>
      </c>
    </row>
    <row r="1210" spans="1:9" ht="19.5" customHeight="1" hidden="1">
      <c r="A1210" s="222" t="s">
        <v>474</v>
      </c>
      <c r="B1210" s="28"/>
      <c r="C1210" s="52" t="s">
        <v>1026</v>
      </c>
      <c r="D1210" s="52" t="s">
        <v>663</v>
      </c>
      <c r="E1210" s="52" t="s">
        <v>475</v>
      </c>
      <c r="F1210" s="27"/>
      <c r="G1210" s="24">
        <f>SUM(G1212)</f>
        <v>0</v>
      </c>
      <c r="H1210" s="24">
        <f>SUM(H1212)</f>
        <v>0</v>
      </c>
      <c r="I1210" s="24" t="e">
        <f t="shared" si="30"/>
        <v>#DIV/0!</v>
      </c>
    </row>
    <row r="1211" spans="1:9" ht="19.5" customHeight="1" hidden="1">
      <c r="A1211" s="222" t="s">
        <v>424</v>
      </c>
      <c r="B1211" s="28"/>
      <c r="C1211" s="52" t="s">
        <v>1026</v>
      </c>
      <c r="D1211" s="52" t="s">
        <v>663</v>
      </c>
      <c r="E1211" s="52" t="s">
        <v>464</v>
      </c>
      <c r="F1211" s="27" t="s">
        <v>425</v>
      </c>
      <c r="G1211" s="24"/>
      <c r="H1211" s="24"/>
      <c r="I1211" s="24" t="e">
        <f t="shared" si="30"/>
        <v>#DIV/0!</v>
      </c>
    </row>
    <row r="1212" spans="1:9" ht="19.5" customHeight="1" hidden="1">
      <c r="A1212" s="234" t="s">
        <v>237</v>
      </c>
      <c r="B1212" s="28"/>
      <c r="C1212" s="52" t="s">
        <v>1026</v>
      </c>
      <c r="D1212" s="52" t="s">
        <v>663</v>
      </c>
      <c r="E1212" s="52" t="s">
        <v>475</v>
      </c>
      <c r="F1212" s="27" t="s">
        <v>238</v>
      </c>
      <c r="G1212" s="24"/>
      <c r="H1212" s="24"/>
      <c r="I1212" s="24" t="e">
        <f t="shared" si="30"/>
        <v>#DIV/0!</v>
      </c>
    </row>
    <row r="1213" spans="1:9" ht="18.75" customHeight="1">
      <c r="A1213" s="222" t="s">
        <v>785</v>
      </c>
      <c r="B1213" s="51"/>
      <c r="C1213" s="52" t="s">
        <v>1026</v>
      </c>
      <c r="D1213" s="52" t="s">
        <v>663</v>
      </c>
      <c r="E1213" s="35" t="s">
        <v>786</v>
      </c>
      <c r="F1213" s="27"/>
      <c r="G1213" s="24">
        <f>SUM(G1214)+G1217</f>
        <v>12081.2</v>
      </c>
      <c r="H1213" s="24">
        <f>SUM(H1214)</f>
        <v>9549.8</v>
      </c>
      <c r="I1213" s="24">
        <f t="shared" si="30"/>
        <v>79.04678343210938</v>
      </c>
    </row>
    <row r="1214" spans="1:9" ht="52.5" customHeight="1">
      <c r="A1214" s="222" t="s">
        <v>1072</v>
      </c>
      <c r="B1214" s="51"/>
      <c r="C1214" s="52" t="s">
        <v>1026</v>
      </c>
      <c r="D1214" s="52" t="s">
        <v>663</v>
      </c>
      <c r="E1214" s="35" t="s">
        <v>477</v>
      </c>
      <c r="F1214" s="27"/>
      <c r="G1214" s="24">
        <f>SUM(G1216+G1215)</f>
        <v>11970.2</v>
      </c>
      <c r="H1214" s="24">
        <f>SUM(H1215)</f>
        <v>9549.8</v>
      </c>
      <c r="I1214" s="24">
        <f t="shared" si="30"/>
        <v>79.77978646973315</v>
      </c>
    </row>
    <row r="1215" spans="1:9" ht="18.75" customHeight="1">
      <c r="A1215" s="234" t="s">
        <v>237</v>
      </c>
      <c r="B1215" s="51"/>
      <c r="C1215" s="52" t="s">
        <v>1026</v>
      </c>
      <c r="D1215" s="52" t="s">
        <v>663</v>
      </c>
      <c r="E1215" s="35" t="s">
        <v>477</v>
      </c>
      <c r="F1215" s="27" t="s">
        <v>238</v>
      </c>
      <c r="G1215" s="24">
        <v>1722.1</v>
      </c>
      <c r="H1215" s="24">
        <v>9549.8</v>
      </c>
      <c r="I1215" s="24">
        <f t="shared" si="30"/>
        <v>554.543870855351</v>
      </c>
    </row>
    <row r="1216" spans="1:9" ht="24" customHeight="1">
      <c r="A1216" s="228" t="s">
        <v>1126</v>
      </c>
      <c r="B1216" s="51"/>
      <c r="C1216" s="35" t="s">
        <v>1026</v>
      </c>
      <c r="D1216" s="35" t="s">
        <v>663</v>
      </c>
      <c r="E1216" s="35" t="s">
        <v>477</v>
      </c>
      <c r="F1216" s="27" t="s">
        <v>978</v>
      </c>
      <c r="G1216" s="24">
        <v>10248.1</v>
      </c>
      <c r="H1216" s="24">
        <v>56722</v>
      </c>
      <c r="I1216" s="24">
        <f>SUM(H1216/G1216*100)</f>
        <v>553.4879636225252</v>
      </c>
    </row>
    <row r="1217" spans="1:9" ht="35.25" customHeight="1">
      <c r="A1217" s="228" t="s">
        <v>749</v>
      </c>
      <c r="B1217" s="51"/>
      <c r="C1217" s="52" t="s">
        <v>1026</v>
      </c>
      <c r="D1217" s="52" t="s">
        <v>663</v>
      </c>
      <c r="E1217" s="35" t="s">
        <v>1067</v>
      </c>
      <c r="F1217" s="27"/>
      <c r="G1217" s="24">
        <f>SUM(G1218:G1219)</f>
        <v>111</v>
      </c>
      <c r="H1217" s="24"/>
      <c r="I1217" s="24"/>
    </row>
    <row r="1218" spans="1:9" ht="24" customHeight="1">
      <c r="A1218" s="234" t="s">
        <v>237</v>
      </c>
      <c r="B1218" s="51"/>
      <c r="C1218" s="52" t="s">
        <v>1026</v>
      </c>
      <c r="D1218" s="52" t="s">
        <v>663</v>
      </c>
      <c r="E1218" s="35" t="s">
        <v>1067</v>
      </c>
      <c r="F1218" s="27" t="s">
        <v>238</v>
      </c>
      <c r="G1218" s="24">
        <v>14</v>
      </c>
      <c r="H1218" s="24"/>
      <c r="I1218" s="24"/>
    </row>
    <row r="1219" spans="1:9" ht="24" customHeight="1">
      <c r="A1219" s="228" t="s">
        <v>1126</v>
      </c>
      <c r="B1219" s="51"/>
      <c r="C1219" s="35" t="s">
        <v>1026</v>
      </c>
      <c r="D1219" s="35" t="s">
        <v>663</v>
      </c>
      <c r="E1219" s="35" t="s">
        <v>1067</v>
      </c>
      <c r="F1219" s="27" t="s">
        <v>978</v>
      </c>
      <c r="G1219" s="24">
        <v>97</v>
      </c>
      <c r="H1219" s="24"/>
      <c r="I1219" s="24"/>
    </row>
    <row r="1220" spans="1:9" ht="18.75" customHeight="1">
      <c r="A1220" s="222" t="s">
        <v>1046</v>
      </c>
      <c r="B1220" s="82"/>
      <c r="C1220" s="31" t="s">
        <v>1026</v>
      </c>
      <c r="D1220" s="31" t="s">
        <v>663</v>
      </c>
      <c r="E1220" s="31" t="s">
        <v>1047</v>
      </c>
      <c r="F1220" s="88"/>
      <c r="G1220" s="24">
        <f>SUM(G1224)+G1221</f>
        <v>16767.7</v>
      </c>
      <c r="H1220" s="24"/>
      <c r="I1220" s="24"/>
    </row>
    <row r="1221" spans="1:9" s="36" customFormat="1" ht="42" customHeight="1">
      <c r="A1221" s="228" t="s">
        <v>1244</v>
      </c>
      <c r="B1221" s="140"/>
      <c r="C1221" s="31" t="s">
        <v>1026</v>
      </c>
      <c r="D1221" s="31" t="s">
        <v>663</v>
      </c>
      <c r="E1221" s="31" t="s">
        <v>383</v>
      </c>
      <c r="F1221" s="88"/>
      <c r="G1221" s="24">
        <f>SUM(G1223+G1222)</f>
        <v>2978.1</v>
      </c>
      <c r="H1221" s="24"/>
      <c r="I1221" s="24"/>
    </row>
    <row r="1222" spans="1:9" s="36" customFormat="1" ht="21" customHeight="1">
      <c r="A1222" s="228" t="s">
        <v>1301</v>
      </c>
      <c r="B1222" s="140"/>
      <c r="C1222" s="31" t="s">
        <v>1026</v>
      </c>
      <c r="D1222" s="31" t="s">
        <v>663</v>
      </c>
      <c r="E1222" s="31" t="s">
        <v>383</v>
      </c>
      <c r="F1222" s="88" t="s">
        <v>1302</v>
      </c>
      <c r="G1222" s="24">
        <v>196.1</v>
      </c>
      <c r="H1222" s="24"/>
      <c r="I1222" s="24"/>
    </row>
    <row r="1223" spans="1:9" s="36" customFormat="1" ht="18.75" customHeight="1">
      <c r="A1223" s="228" t="s">
        <v>1126</v>
      </c>
      <c r="B1223" s="140"/>
      <c r="C1223" s="31" t="s">
        <v>1026</v>
      </c>
      <c r="D1223" s="31" t="s">
        <v>663</v>
      </c>
      <c r="E1223" s="31" t="s">
        <v>383</v>
      </c>
      <c r="F1223" s="88" t="s">
        <v>978</v>
      </c>
      <c r="G1223" s="24">
        <v>2782</v>
      </c>
      <c r="H1223" s="24"/>
      <c r="I1223" s="24"/>
    </row>
    <row r="1224" spans="1:9" ht="35.25" customHeight="1">
      <c r="A1224" s="222" t="s">
        <v>898</v>
      </c>
      <c r="B1224" s="82"/>
      <c r="C1224" s="31" t="s">
        <v>1026</v>
      </c>
      <c r="D1224" s="31" t="s">
        <v>663</v>
      </c>
      <c r="E1224" s="31" t="s">
        <v>899</v>
      </c>
      <c r="F1224" s="88"/>
      <c r="G1224" s="24">
        <f>SUM(G1225+G1227)+G1226</f>
        <v>13789.6</v>
      </c>
      <c r="H1224" s="24"/>
      <c r="I1224" s="24"/>
    </row>
    <row r="1225" spans="1:9" ht="18.75" customHeight="1">
      <c r="A1225" s="228" t="s">
        <v>1301</v>
      </c>
      <c r="B1225" s="51"/>
      <c r="C1225" s="146" t="s">
        <v>1026</v>
      </c>
      <c r="D1225" s="146" t="s">
        <v>663</v>
      </c>
      <c r="E1225" s="31" t="s">
        <v>899</v>
      </c>
      <c r="F1225" s="147" t="s">
        <v>1302</v>
      </c>
      <c r="G1225" s="24">
        <v>1796</v>
      </c>
      <c r="H1225" s="24"/>
      <c r="I1225" s="24"/>
    </row>
    <row r="1226" spans="1:9" ht="49.5" customHeight="1">
      <c r="A1226" s="234" t="s">
        <v>1125</v>
      </c>
      <c r="B1226" s="51"/>
      <c r="C1226" s="146" t="s">
        <v>1026</v>
      </c>
      <c r="D1226" s="146" t="s">
        <v>663</v>
      </c>
      <c r="E1226" s="31" t="s">
        <v>899</v>
      </c>
      <c r="F1226" s="27" t="s">
        <v>897</v>
      </c>
      <c r="G1226" s="24">
        <v>3574</v>
      </c>
      <c r="H1226" s="24">
        <v>56722</v>
      </c>
      <c r="I1226" s="24">
        <f>SUM(H1226/G1226*100)</f>
        <v>1587.0733072188025</v>
      </c>
    </row>
    <row r="1227" spans="1:9" ht="27.75" customHeight="1">
      <c r="A1227" s="228" t="s">
        <v>1126</v>
      </c>
      <c r="B1227" s="51"/>
      <c r="C1227" s="146" t="s">
        <v>1026</v>
      </c>
      <c r="D1227" s="146" t="s">
        <v>663</v>
      </c>
      <c r="E1227" s="31" t="s">
        <v>899</v>
      </c>
      <c r="F1227" s="147" t="s">
        <v>978</v>
      </c>
      <c r="G1227" s="24">
        <v>8419.6</v>
      </c>
      <c r="H1227" s="24"/>
      <c r="I1227" s="24"/>
    </row>
    <row r="1228" spans="1:9" ht="19.5" customHeight="1">
      <c r="A1228" s="222" t="s">
        <v>478</v>
      </c>
      <c r="B1228" s="82"/>
      <c r="C1228" s="35" t="s">
        <v>1026</v>
      </c>
      <c r="D1228" s="35" t="s">
        <v>665</v>
      </c>
      <c r="E1228" s="35"/>
      <c r="F1228" s="26"/>
      <c r="G1228" s="24">
        <f>SUM(G1237+G1277+G1293+G1309)+G1302+G1229+G1306+G1234+G1316</f>
        <v>679074.2999999999</v>
      </c>
      <c r="H1228" s="24">
        <f>SUM(H1237+H1277+H1293+H1309)+H1302+H1229</f>
        <v>377334.5</v>
      </c>
      <c r="I1228" s="24">
        <f t="shared" si="30"/>
        <v>55.56601096522134</v>
      </c>
    </row>
    <row r="1229" spans="1:9" ht="30.75" customHeight="1">
      <c r="A1229" s="222" t="s">
        <v>1021</v>
      </c>
      <c r="B1229" s="21"/>
      <c r="C1229" s="35" t="s">
        <v>1026</v>
      </c>
      <c r="D1229" s="35" t="s">
        <v>665</v>
      </c>
      <c r="E1229" s="22" t="s">
        <v>1022</v>
      </c>
      <c r="F1229" s="27"/>
      <c r="G1229" s="24">
        <f>SUM(G1230)</f>
        <v>3086.1</v>
      </c>
      <c r="H1229" s="24">
        <f>SUM(H1230+H1232)</f>
        <v>0</v>
      </c>
      <c r="I1229" s="24">
        <f t="shared" si="30"/>
        <v>0</v>
      </c>
    </row>
    <row r="1230" spans="1:9" ht="30.75" customHeight="1">
      <c r="A1230" s="239" t="s">
        <v>745</v>
      </c>
      <c r="B1230" s="21"/>
      <c r="C1230" s="35" t="s">
        <v>1026</v>
      </c>
      <c r="D1230" s="35" t="s">
        <v>665</v>
      </c>
      <c r="E1230" s="22" t="s">
        <v>746</v>
      </c>
      <c r="F1230" s="26"/>
      <c r="G1230" s="24">
        <f>SUM(G1231:G1232)</f>
        <v>3086.1</v>
      </c>
      <c r="H1230" s="24">
        <f>SUM(H1231)</f>
        <v>0</v>
      </c>
      <c r="I1230" s="24">
        <f t="shared" si="30"/>
        <v>0</v>
      </c>
    </row>
    <row r="1231" spans="1:9" ht="19.5" customHeight="1">
      <c r="A1231" s="228" t="s">
        <v>895</v>
      </c>
      <c r="B1231" s="21"/>
      <c r="C1231" s="35" t="s">
        <v>1026</v>
      </c>
      <c r="D1231" s="35" t="s">
        <v>665</v>
      </c>
      <c r="E1231" s="22" t="s">
        <v>746</v>
      </c>
      <c r="F1231" s="88" t="s">
        <v>238</v>
      </c>
      <c r="G1231" s="24">
        <v>2078.1</v>
      </c>
      <c r="H1231" s="24"/>
      <c r="I1231" s="24">
        <f aca="true" t="shared" si="32" ref="I1231:I1311">SUM(H1231/G1231*100)</f>
        <v>0</v>
      </c>
    </row>
    <row r="1232" spans="1:9" ht="18.75" customHeight="1">
      <c r="A1232" s="228" t="s">
        <v>1126</v>
      </c>
      <c r="B1232" s="82"/>
      <c r="C1232" s="35" t="s">
        <v>1026</v>
      </c>
      <c r="D1232" s="35" t="s">
        <v>665</v>
      </c>
      <c r="E1232" s="22" t="s">
        <v>746</v>
      </c>
      <c r="F1232" s="26" t="s">
        <v>978</v>
      </c>
      <c r="G1232" s="24">
        <v>1008</v>
      </c>
      <c r="H1232" s="24"/>
      <c r="I1232" s="24"/>
    </row>
    <row r="1233" spans="1:9" ht="19.5" customHeight="1" hidden="1">
      <c r="A1233" s="234" t="s">
        <v>237</v>
      </c>
      <c r="B1233" s="82"/>
      <c r="C1233" s="35" t="s">
        <v>1026</v>
      </c>
      <c r="D1233" s="35" t="s">
        <v>665</v>
      </c>
      <c r="E1233" s="35" t="s">
        <v>546</v>
      </c>
      <c r="F1233" s="26" t="s">
        <v>238</v>
      </c>
      <c r="G1233" s="24"/>
      <c r="H1233" s="24"/>
      <c r="I1233" s="24" t="e">
        <f t="shared" si="32"/>
        <v>#DIV/0!</v>
      </c>
    </row>
    <row r="1234" spans="1:9" ht="19.5" customHeight="1">
      <c r="A1234" s="222" t="s">
        <v>1103</v>
      </c>
      <c r="B1234" s="82"/>
      <c r="C1234" s="35" t="s">
        <v>1026</v>
      </c>
      <c r="D1234" s="35" t="s">
        <v>665</v>
      </c>
      <c r="E1234" s="35" t="s">
        <v>1104</v>
      </c>
      <c r="F1234" s="26"/>
      <c r="G1234" s="24">
        <f>SUM(G1235)</f>
        <v>2000</v>
      </c>
      <c r="H1234" s="24"/>
      <c r="I1234" s="24"/>
    </row>
    <row r="1235" spans="1:9" ht="19.5" customHeight="1">
      <c r="A1235" s="222" t="s">
        <v>726</v>
      </c>
      <c r="B1235" s="82"/>
      <c r="C1235" s="35" t="s">
        <v>1026</v>
      </c>
      <c r="D1235" s="35" t="s">
        <v>665</v>
      </c>
      <c r="E1235" s="35" t="s">
        <v>727</v>
      </c>
      <c r="F1235" s="26"/>
      <c r="G1235" s="24">
        <f>SUM(G1236)</f>
        <v>2000</v>
      </c>
      <c r="H1235" s="24"/>
      <c r="I1235" s="24"/>
    </row>
    <row r="1236" spans="1:9" ht="19.5" customHeight="1">
      <c r="A1236" s="228" t="s">
        <v>1126</v>
      </c>
      <c r="B1236" s="82"/>
      <c r="C1236" s="35" t="s">
        <v>1026</v>
      </c>
      <c r="D1236" s="35" t="s">
        <v>665</v>
      </c>
      <c r="E1236" s="35" t="s">
        <v>727</v>
      </c>
      <c r="F1236" s="26" t="s">
        <v>978</v>
      </c>
      <c r="G1236" s="24">
        <v>2000</v>
      </c>
      <c r="H1236" s="24"/>
      <c r="I1236" s="24"/>
    </row>
    <row r="1237" spans="1:9" ht="23.25" customHeight="1">
      <c r="A1237" s="222" t="s">
        <v>479</v>
      </c>
      <c r="B1237" s="82"/>
      <c r="C1237" s="35" t="s">
        <v>1026</v>
      </c>
      <c r="D1237" s="35" t="s">
        <v>665</v>
      </c>
      <c r="E1237" s="35" t="s">
        <v>480</v>
      </c>
      <c r="F1237" s="26"/>
      <c r="G1237" s="24">
        <f>SUM(G1238+G1257)</f>
        <v>549806.2000000001</v>
      </c>
      <c r="H1237" s="24">
        <f>SUM(H1257)</f>
        <v>260382.6</v>
      </c>
      <c r="I1237" s="24">
        <f t="shared" si="32"/>
        <v>47.35897849096645</v>
      </c>
    </row>
    <row r="1238" spans="1:9" ht="28.5" customHeight="1">
      <c r="A1238" s="222" t="s">
        <v>811</v>
      </c>
      <c r="B1238" s="82"/>
      <c r="C1238" s="35" t="s">
        <v>1026</v>
      </c>
      <c r="D1238" s="35" t="s">
        <v>665</v>
      </c>
      <c r="E1238" s="35" t="s">
        <v>987</v>
      </c>
      <c r="F1238" s="26"/>
      <c r="G1238" s="24">
        <f>SUM(G1241+G1250+G1252+G1254)+G1243+G1239</f>
        <v>253443.4</v>
      </c>
      <c r="H1238" s="24">
        <f>SUM(H1242+H1305+H1303)</f>
        <v>56722</v>
      </c>
      <c r="I1238" s="24">
        <f>SUM(H1238/G1238*100)</f>
        <v>22.380539402485923</v>
      </c>
    </row>
    <row r="1239" spans="1:9" ht="46.5" customHeight="1">
      <c r="A1239" s="222" t="s">
        <v>1253</v>
      </c>
      <c r="B1239" s="82"/>
      <c r="C1239" s="35" t="s">
        <v>1026</v>
      </c>
      <c r="D1239" s="35" t="s">
        <v>665</v>
      </c>
      <c r="E1239" s="35" t="s">
        <v>1255</v>
      </c>
      <c r="F1239" s="26"/>
      <c r="G1239" s="24">
        <f>SUM(G1240)</f>
        <v>397.7</v>
      </c>
      <c r="H1239" s="24"/>
      <c r="I1239" s="24"/>
    </row>
    <row r="1240" spans="1:9" ht="28.5" customHeight="1">
      <c r="A1240" s="222" t="s">
        <v>1126</v>
      </c>
      <c r="B1240" s="82"/>
      <c r="C1240" s="35" t="s">
        <v>1026</v>
      </c>
      <c r="D1240" s="35" t="s">
        <v>665</v>
      </c>
      <c r="E1240" s="35" t="s">
        <v>1255</v>
      </c>
      <c r="F1240" s="26" t="s">
        <v>978</v>
      </c>
      <c r="G1240" s="24">
        <v>397.7</v>
      </c>
      <c r="H1240" s="24"/>
      <c r="I1240" s="24"/>
    </row>
    <row r="1241" spans="1:9" ht="43.5" customHeight="1">
      <c r="A1241" s="222" t="s">
        <v>1232</v>
      </c>
      <c r="B1241" s="82"/>
      <c r="C1241" s="35" t="s">
        <v>1026</v>
      </c>
      <c r="D1241" s="35" t="s">
        <v>665</v>
      </c>
      <c r="E1241" s="35" t="s">
        <v>988</v>
      </c>
      <c r="F1241" s="26"/>
      <c r="G1241" s="24">
        <f>SUM(G1242)</f>
        <v>52760.9</v>
      </c>
      <c r="H1241" s="24"/>
      <c r="I1241" s="24"/>
    </row>
    <row r="1242" spans="1:9" ht="48" customHeight="1">
      <c r="A1242" s="234" t="s">
        <v>1125</v>
      </c>
      <c r="B1242" s="51"/>
      <c r="C1242" s="35" t="s">
        <v>1026</v>
      </c>
      <c r="D1242" s="35" t="s">
        <v>665</v>
      </c>
      <c r="E1242" s="35" t="s">
        <v>988</v>
      </c>
      <c r="F1242" s="27" t="s">
        <v>897</v>
      </c>
      <c r="G1242" s="24">
        <v>52760.9</v>
      </c>
      <c r="H1242" s="24">
        <v>56722</v>
      </c>
      <c r="I1242" s="24">
        <f aca="true" t="shared" si="33" ref="I1242:I1255">SUM(H1242/G1242*100)</f>
        <v>107.5076429704573</v>
      </c>
    </row>
    <row r="1243" spans="1:9" ht="26.25" customHeight="1">
      <c r="A1243" s="234" t="s">
        <v>1126</v>
      </c>
      <c r="B1243" s="82"/>
      <c r="C1243" s="35" t="s">
        <v>1026</v>
      </c>
      <c r="D1243" s="35" t="s">
        <v>665</v>
      </c>
      <c r="E1243" s="35" t="s">
        <v>1099</v>
      </c>
      <c r="F1243" s="26"/>
      <c r="G1243" s="24">
        <f>SUM(G1249)+G1247+G1244</f>
        <v>935.3</v>
      </c>
      <c r="H1243" s="24"/>
      <c r="I1243" s="24"/>
    </row>
    <row r="1244" spans="1:9" ht="28.5" customHeight="1">
      <c r="A1244" s="234" t="s">
        <v>666</v>
      </c>
      <c r="B1244" s="82"/>
      <c r="C1244" s="35" t="s">
        <v>1026</v>
      </c>
      <c r="D1244" s="35" t="s">
        <v>665</v>
      </c>
      <c r="E1244" s="35" t="s">
        <v>671</v>
      </c>
      <c r="F1244" s="26"/>
      <c r="G1244" s="24">
        <f>SUM(G1245)</f>
        <v>296.5</v>
      </c>
      <c r="H1244" s="24"/>
      <c r="I1244" s="24"/>
    </row>
    <row r="1245" spans="1:9" ht="26.25" customHeight="1">
      <c r="A1245" s="234" t="s">
        <v>1126</v>
      </c>
      <c r="B1245" s="82"/>
      <c r="C1245" s="35" t="s">
        <v>1026</v>
      </c>
      <c r="D1245" s="35" t="s">
        <v>665</v>
      </c>
      <c r="E1245" s="35" t="s">
        <v>671</v>
      </c>
      <c r="F1245" s="26" t="s">
        <v>978</v>
      </c>
      <c r="G1245" s="24">
        <f>61.1+235.4</f>
        <v>296.5</v>
      </c>
      <c r="H1245" s="24"/>
      <c r="I1245" s="24"/>
    </row>
    <row r="1246" spans="1:9" ht="33.75" customHeight="1">
      <c r="A1246" s="222" t="s">
        <v>578</v>
      </c>
      <c r="B1246" s="82"/>
      <c r="C1246" s="35" t="s">
        <v>1026</v>
      </c>
      <c r="D1246" s="35" t="s">
        <v>665</v>
      </c>
      <c r="E1246" s="35" t="s">
        <v>1245</v>
      </c>
      <c r="F1246" s="26"/>
      <c r="G1246" s="24">
        <f>SUM(G1247)</f>
        <v>115</v>
      </c>
      <c r="H1246" s="24"/>
      <c r="I1246" s="24"/>
    </row>
    <row r="1247" spans="1:9" ht="29.25" customHeight="1">
      <c r="A1247" s="234" t="s">
        <v>1080</v>
      </c>
      <c r="B1247" s="82"/>
      <c r="C1247" s="35" t="s">
        <v>1026</v>
      </c>
      <c r="D1247" s="35" t="s">
        <v>665</v>
      </c>
      <c r="E1247" s="35" t="s">
        <v>1245</v>
      </c>
      <c r="F1247" s="26" t="s">
        <v>978</v>
      </c>
      <c r="G1247" s="24">
        <v>115</v>
      </c>
      <c r="H1247" s="24"/>
      <c r="I1247" s="24"/>
    </row>
    <row r="1248" spans="1:9" ht="26.25" customHeight="1">
      <c r="A1248" s="222" t="s">
        <v>1261</v>
      </c>
      <c r="B1248" s="82"/>
      <c r="C1248" s="35" t="s">
        <v>1026</v>
      </c>
      <c r="D1248" s="35" t="s">
        <v>665</v>
      </c>
      <c r="E1248" s="35" t="s">
        <v>1269</v>
      </c>
      <c r="F1248" s="26"/>
      <c r="G1248" s="24">
        <f>SUM(G1249)</f>
        <v>523.8</v>
      </c>
      <c r="H1248" s="24"/>
      <c r="I1248" s="24"/>
    </row>
    <row r="1249" spans="1:9" ht="29.25" customHeight="1">
      <c r="A1249" s="234" t="s">
        <v>1080</v>
      </c>
      <c r="B1249" s="82"/>
      <c r="C1249" s="35" t="s">
        <v>1026</v>
      </c>
      <c r="D1249" s="35" t="s">
        <v>665</v>
      </c>
      <c r="E1249" s="35" t="s">
        <v>1269</v>
      </c>
      <c r="F1249" s="26" t="s">
        <v>978</v>
      </c>
      <c r="G1249" s="24">
        <v>523.8</v>
      </c>
      <c r="H1249" s="24"/>
      <c r="I1249" s="24"/>
    </row>
    <row r="1250" spans="1:9" ht="59.25" customHeight="1">
      <c r="A1250" s="234" t="s">
        <v>903</v>
      </c>
      <c r="B1250" s="51"/>
      <c r="C1250" s="35" t="s">
        <v>1026</v>
      </c>
      <c r="D1250" s="35" t="s">
        <v>665</v>
      </c>
      <c r="E1250" s="35" t="s">
        <v>989</v>
      </c>
      <c r="F1250" s="27"/>
      <c r="G1250" s="24">
        <f>SUM(G1251)</f>
        <v>4384.1</v>
      </c>
      <c r="H1250" s="24">
        <f>SUM(H1251)</f>
        <v>56722</v>
      </c>
      <c r="I1250" s="24">
        <f t="shared" si="33"/>
        <v>1293.8117287470632</v>
      </c>
    </row>
    <row r="1251" spans="1:9" ht="51" customHeight="1">
      <c r="A1251" s="234" t="s">
        <v>1125</v>
      </c>
      <c r="B1251" s="51"/>
      <c r="C1251" s="35" t="s">
        <v>1026</v>
      </c>
      <c r="D1251" s="35" t="s">
        <v>665</v>
      </c>
      <c r="E1251" s="35" t="s">
        <v>989</v>
      </c>
      <c r="F1251" s="27" t="s">
        <v>897</v>
      </c>
      <c r="G1251" s="24">
        <v>4384.1</v>
      </c>
      <c r="H1251" s="24">
        <v>56722</v>
      </c>
      <c r="I1251" s="24">
        <f t="shared" si="33"/>
        <v>1293.8117287470632</v>
      </c>
    </row>
    <row r="1252" spans="1:9" ht="60.75" customHeight="1">
      <c r="A1252" s="234" t="s">
        <v>906</v>
      </c>
      <c r="B1252" s="51"/>
      <c r="C1252" s="35" t="s">
        <v>1026</v>
      </c>
      <c r="D1252" s="35" t="s">
        <v>665</v>
      </c>
      <c r="E1252" s="35" t="s">
        <v>990</v>
      </c>
      <c r="F1252" s="27"/>
      <c r="G1252" s="24">
        <f>SUM(G1253)</f>
        <v>341.5</v>
      </c>
      <c r="H1252" s="24" t="e">
        <f>SUM(H1254)</f>
        <v>#REF!</v>
      </c>
      <c r="I1252" s="24" t="e">
        <f t="shared" si="33"/>
        <v>#REF!</v>
      </c>
    </row>
    <row r="1253" spans="1:9" ht="23.25" customHeight="1">
      <c r="A1253" s="228" t="s">
        <v>1126</v>
      </c>
      <c r="B1253" s="51"/>
      <c r="C1253" s="35" t="s">
        <v>1026</v>
      </c>
      <c r="D1253" s="35" t="s">
        <v>665</v>
      </c>
      <c r="E1253" s="52" t="s">
        <v>990</v>
      </c>
      <c r="F1253" s="27" t="s">
        <v>978</v>
      </c>
      <c r="G1253" s="24">
        <v>341.5</v>
      </c>
      <c r="H1253" s="24">
        <v>56722</v>
      </c>
      <c r="I1253" s="24">
        <f t="shared" si="33"/>
        <v>16609.663250366033</v>
      </c>
    </row>
    <row r="1254" spans="1:9" ht="36.75" customHeight="1">
      <c r="A1254" s="234" t="s">
        <v>996</v>
      </c>
      <c r="B1254" s="51"/>
      <c r="C1254" s="35" t="s">
        <v>1026</v>
      </c>
      <c r="D1254" s="35" t="s">
        <v>665</v>
      </c>
      <c r="E1254" s="35" t="s">
        <v>991</v>
      </c>
      <c r="F1254" s="27"/>
      <c r="G1254" s="24">
        <f>SUM(G1255+G1256)</f>
        <v>194623.9</v>
      </c>
      <c r="H1254" s="24" t="e">
        <f>SUM(#REF!)</f>
        <v>#REF!</v>
      </c>
      <c r="I1254" s="24" t="e">
        <f t="shared" si="33"/>
        <v>#REF!</v>
      </c>
    </row>
    <row r="1255" spans="1:9" ht="51" customHeight="1">
      <c r="A1255" s="234" t="s">
        <v>813</v>
      </c>
      <c r="B1255" s="51"/>
      <c r="C1255" s="35" t="s">
        <v>1026</v>
      </c>
      <c r="D1255" s="35" t="s">
        <v>665</v>
      </c>
      <c r="E1255" s="35" t="s">
        <v>991</v>
      </c>
      <c r="F1255" s="27" t="s">
        <v>1300</v>
      </c>
      <c r="G1255" s="24">
        <v>192730.3</v>
      </c>
      <c r="H1255" s="24">
        <v>56722</v>
      </c>
      <c r="I1255" s="24">
        <f t="shared" si="33"/>
        <v>29.430764129978527</v>
      </c>
    </row>
    <row r="1256" spans="1:9" ht="23.25" customHeight="1">
      <c r="A1256" s="234" t="s">
        <v>1126</v>
      </c>
      <c r="B1256" s="51"/>
      <c r="C1256" s="35" t="s">
        <v>1026</v>
      </c>
      <c r="D1256" s="35" t="s">
        <v>665</v>
      </c>
      <c r="E1256" s="35" t="s">
        <v>991</v>
      </c>
      <c r="F1256" s="27" t="s">
        <v>978</v>
      </c>
      <c r="G1256" s="24">
        <v>1893.6</v>
      </c>
      <c r="H1256" s="24"/>
      <c r="I1256" s="24"/>
    </row>
    <row r="1257" spans="1:9" ht="37.5" customHeight="1">
      <c r="A1257" s="222" t="s">
        <v>894</v>
      </c>
      <c r="B1257" s="82"/>
      <c r="C1257" s="35" t="s">
        <v>1026</v>
      </c>
      <c r="D1257" s="35" t="s">
        <v>665</v>
      </c>
      <c r="E1257" s="35" t="s">
        <v>481</v>
      </c>
      <c r="F1257" s="26"/>
      <c r="G1257" s="24">
        <f>SUM(G1258+G1266+G1270+G1275)+G1259+G1268</f>
        <v>296362.80000000005</v>
      </c>
      <c r="H1257" s="24">
        <f>SUM(H1258+H1266+H1268+H1275)+H1270+H1260+H1264+H1273</f>
        <v>260382.6</v>
      </c>
      <c r="I1257" s="24">
        <f t="shared" si="32"/>
        <v>87.85940745599649</v>
      </c>
    </row>
    <row r="1258" spans="1:9" ht="19.5" customHeight="1">
      <c r="A1258" s="234" t="s">
        <v>895</v>
      </c>
      <c r="B1258" s="51"/>
      <c r="C1258" s="35" t="s">
        <v>1026</v>
      </c>
      <c r="D1258" s="35" t="s">
        <v>665</v>
      </c>
      <c r="E1258" s="35" t="s">
        <v>481</v>
      </c>
      <c r="F1258" s="27" t="s">
        <v>238</v>
      </c>
      <c r="G1258" s="24">
        <v>58576.9</v>
      </c>
      <c r="H1258" s="24">
        <v>53118.9</v>
      </c>
      <c r="I1258" s="24">
        <f t="shared" si="32"/>
        <v>90.68233382101135</v>
      </c>
    </row>
    <row r="1259" spans="1:9" ht="48.75" customHeight="1">
      <c r="A1259" s="234" t="s">
        <v>1253</v>
      </c>
      <c r="B1259" s="51"/>
      <c r="C1259" s="35" t="s">
        <v>1026</v>
      </c>
      <c r="D1259" s="35" t="s">
        <v>665</v>
      </c>
      <c r="E1259" s="35" t="s">
        <v>484</v>
      </c>
      <c r="F1259" s="27"/>
      <c r="G1259" s="24">
        <f>SUM(G1260)</f>
        <v>482.4</v>
      </c>
      <c r="H1259" s="24">
        <f>SUM(H1260)</f>
        <v>0</v>
      </c>
      <c r="I1259" s="24">
        <f t="shared" si="32"/>
        <v>0</v>
      </c>
    </row>
    <row r="1260" spans="1:9" ht="19.5" customHeight="1">
      <c r="A1260" s="234" t="s">
        <v>237</v>
      </c>
      <c r="B1260" s="51"/>
      <c r="C1260" s="35" t="s">
        <v>1026</v>
      </c>
      <c r="D1260" s="35" t="s">
        <v>665</v>
      </c>
      <c r="E1260" s="35" t="s">
        <v>484</v>
      </c>
      <c r="F1260" s="27" t="s">
        <v>238</v>
      </c>
      <c r="G1260" s="24">
        <v>482.4</v>
      </c>
      <c r="H1260" s="24"/>
      <c r="I1260" s="24">
        <f>SUM(H1260/G1260*100)</f>
        <v>0</v>
      </c>
    </row>
    <row r="1261" spans="1:9" ht="19.5" customHeight="1" hidden="1">
      <c r="A1261" s="234" t="s">
        <v>465</v>
      </c>
      <c r="B1261" s="51"/>
      <c r="C1261" s="35" t="s">
        <v>1026</v>
      </c>
      <c r="D1261" s="35" t="s">
        <v>665</v>
      </c>
      <c r="E1261" s="35" t="s">
        <v>481</v>
      </c>
      <c r="F1261" s="26" t="s">
        <v>466</v>
      </c>
      <c r="G1261" s="24"/>
      <c r="H1261" s="24"/>
      <c r="I1261" s="24" t="e">
        <f t="shared" si="32"/>
        <v>#DIV/0!</v>
      </c>
    </row>
    <row r="1262" spans="1:9" ht="19.5" customHeight="1" hidden="1">
      <c r="A1262" s="234" t="s">
        <v>237</v>
      </c>
      <c r="B1262" s="51"/>
      <c r="C1262" s="35" t="s">
        <v>1026</v>
      </c>
      <c r="D1262" s="35" t="s">
        <v>665</v>
      </c>
      <c r="E1262" s="52" t="s">
        <v>486</v>
      </c>
      <c r="F1262" s="27" t="s">
        <v>238</v>
      </c>
      <c r="G1262" s="24"/>
      <c r="H1262" s="24"/>
      <c r="I1262" s="24" t="e">
        <f t="shared" si="32"/>
        <v>#DIV/0!</v>
      </c>
    </row>
    <row r="1263" spans="1:9" ht="19.5" customHeight="1" hidden="1">
      <c r="A1263" s="234" t="s">
        <v>482</v>
      </c>
      <c r="B1263" s="51"/>
      <c r="C1263" s="35" t="s">
        <v>1026</v>
      </c>
      <c r="D1263" s="35" t="s">
        <v>665</v>
      </c>
      <c r="E1263" s="35" t="s">
        <v>481</v>
      </c>
      <c r="F1263" s="27" t="s">
        <v>483</v>
      </c>
      <c r="G1263" s="24"/>
      <c r="H1263" s="24"/>
      <c r="I1263" s="24" t="e">
        <f t="shared" si="32"/>
        <v>#DIV/0!</v>
      </c>
    </row>
    <row r="1264" spans="1:9" ht="19.5" customHeight="1" hidden="1">
      <c r="A1264" s="234" t="s">
        <v>485</v>
      </c>
      <c r="B1264" s="51"/>
      <c r="C1264" s="35" t="s">
        <v>1026</v>
      </c>
      <c r="D1264" s="35" t="s">
        <v>665</v>
      </c>
      <c r="E1264" s="52" t="s">
        <v>486</v>
      </c>
      <c r="F1264" s="27"/>
      <c r="G1264" s="24">
        <f>SUM(G1265)</f>
        <v>0</v>
      </c>
      <c r="H1264" s="24">
        <f>SUM(H1265)</f>
        <v>0</v>
      </c>
      <c r="I1264" s="24" t="e">
        <f t="shared" si="32"/>
        <v>#DIV/0!</v>
      </c>
    </row>
    <row r="1265" spans="1:9" ht="19.5" customHeight="1" hidden="1">
      <c r="A1265" s="234" t="s">
        <v>237</v>
      </c>
      <c r="B1265" s="51"/>
      <c r="C1265" s="35" t="s">
        <v>1026</v>
      </c>
      <c r="D1265" s="35" t="s">
        <v>665</v>
      </c>
      <c r="E1265" s="52" t="s">
        <v>486</v>
      </c>
      <c r="F1265" s="27" t="s">
        <v>238</v>
      </c>
      <c r="G1265" s="24"/>
      <c r="H1265" s="24"/>
      <c r="I1265" s="24" t="e">
        <f t="shared" si="32"/>
        <v>#DIV/0!</v>
      </c>
    </row>
    <row r="1266" spans="1:9" ht="60.75" customHeight="1">
      <c r="A1266" s="234" t="s">
        <v>903</v>
      </c>
      <c r="B1266" s="51"/>
      <c r="C1266" s="35" t="s">
        <v>1026</v>
      </c>
      <c r="D1266" s="35" t="s">
        <v>665</v>
      </c>
      <c r="E1266" s="35" t="s">
        <v>904</v>
      </c>
      <c r="F1266" s="27"/>
      <c r="G1266" s="24">
        <f>SUM(G1267)</f>
        <v>5466.6</v>
      </c>
      <c r="H1266" s="24">
        <f>SUM(H1267)</f>
        <v>5014</v>
      </c>
      <c r="I1266" s="24">
        <f t="shared" si="32"/>
        <v>91.72063073939925</v>
      </c>
    </row>
    <row r="1267" spans="1:9" ht="17.25" customHeight="1">
      <c r="A1267" s="234" t="s">
        <v>895</v>
      </c>
      <c r="B1267" s="51"/>
      <c r="C1267" s="35" t="s">
        <v>1026</v>
      </c>
      <c r="D1267" s="35" t="s">
        <v>665</v>
      </c>
      <c r="E1267" s="35" t="s">
        <v>904</v>
      </c>
      <c r="F1267" s="27" t="s">
        <v>238</v>
      </c>
      <c r="G1267" s="24">
        <v>5466.6</v>
      </c>
      <c r="H1267" s="24">
        <v>5014</v>
      </c>
      <c r="I1267" s="24">
        <f t="shared" si="32"/>
        <v>91.72063073939925</v>
      </c>
    </row>
    <row r="1268" spans="1:9" ht="28.5">
      <c r="A1268" s="222" t="s">
        <v>1242</v>
      </c>
      <c r="B1268" s="28"/>
      <c r="C1268" s="35" t="s">
        <v>1026</v>
      </c>
      <c r="D1268" s="35" t="s">
        <v>665</v>
      </c>
      <c r="E1268" s="35" t="s">
        <v>1246</v>
      </c>
      <c r="F1268" s="27"/>
      <c r="G1268" s="24">
        <f>SUM(G1269)</f>
        <v>70.2</v>
      </c>
      <c r="H1268" s="24">
        <f>SUM(H1269)</f>
        <v>0</v>
      </c>
      <c r="I1268" s="24">
        <f t="shared" si="32"/>
        <v>0</v>
      </c>
    </row>
    <row r="1269" spans="1:9" ht="15">
      <c r="A1269" s="234" t="s">
        <v>237</v>
      </c>
      <c r="B1269" s="28"/>
      <c r="C1269" s="35" t="s">
        <v>1026</v>
      </c>
      <c r="D1269" s="35" t="s">
        <v>665</v>
      </c>
      <c r="E1269" s="35" t="s">
        <v>1246</v>
      </c>
      <c r="F1269" s="27" t="s">
        <v>238</v>
      </c>
      <c r="G1269" s="24">
        <v>70.2</v>
      </c>
      <c r="H1269" s="24"/>
      <c r="I1269" s="24">
        <f t="shared" si="32"/>
        <v>0</v>
      </c>
    </row>
    <row r="1270" spans="1:9" ht="50.25" customHeight="1">
      <c r="A1270" s="234" t="s">
        <v>906</v>
      </c>
      <c r="B1270" s="51"/>
      <c r="C1270" s="35" t="s">
        <v>1026</v>
      </c>
      <c r="D1270" s="35" t="s">
        <v>665</v>
      </c>
      <c r="E1270" s="35" t="s">
        <v>907</v>
      </c>
      <c r="F1270" s="27"/>
      <c r="G1270" s="24">
        <f>SUM(G1272)</f>
        <v>504.2</v>
      </c>
      <c r="H1270" s="24">
        <f>SUM(H1272)</f>
        <v>454</v>
      </c>
      <c r="I1270" s="24">
        <f t="shared" si="32"/>
        <v>90.04363347877826</v>
      </c>
    </row>
    <row r="1271" spans="1:9" ht="28.5" customHeight="1" hidden="1">
      <c r="A1271" s="222" t="s">
        <v>424</v>
      </c>
      <c r="B1271" s="51"/>
      <c r="C1271" s="35" t="s">
        <v>1026</v>
      </c>
      <c r="D1271" s="35" t="s">
        <v>665</v>
      </c>
      <c r="E1271" s="35" t="s">
        <v>481</v>
      </c>
      <c r="F1271" s="27" t="s">
        <v>425</v>
      </c>
      <c r="G1271" s="24"/>
      <c r="H1271" s="24"/>
      <c r="I1271" s="24" t="e">
        <f t="shared" si="32"/>
        <v>#DIV/0!</v>
      </c>
    </row>
    <row r="1272" spans="1:9" ht="20.25" customHeight="1">
      <c r="A1272" s="234" t="s">
        <v>895</v>
      </c>
      <c r="B1272" s="51"/>
      <c r="C1272" s="35" t="s">
        <v>1026</v>
      </c>
      <c r="D1272" s="35" t="s">
        <v>665</v>
      </c>
      <c r="E1272" s="35" t="s">
        <v>907</v>
      </c>
      <c r="F1272" s="27" t="s">
        <v>238</v>
      </c>
      <c r="G1272" s="24">
        <v>504.2</v>
      </c>
      <c r="H1272" s="24">
        <v>454</v>
      </c>
      <c r="I1272" s="24">
        <f t="shared" si="32"/>
        <v>90.04363347877826</v>
      </c>
    </row>
    <row r="1273" spans="1:9" ht="19.5" customHeight="1" hidden="1">
      <c r="A1273" s="234" t="s">
        <v>426</v>
      </c>
      <c r="B1273" s="51"/>
      <c r="C1273" s="35" t="s">
        <v>1026</v>
      </c>
      <c r="D1273" s="35" t="s">
        <v>665</v>
      </c>
      <c r="E1273" s="35" t="s">
        <v>427</v>
      </c>
      <c r="F1273" s="27"/>
      <c r="G1273" s="24">
        <f>SUM(G1274)</f>
        <v>0</v>
      </c>
      <c r="H1273" s="24">
        <f>SUM(H1274)</f>
        <v>0</v>
      </c>
      <c r="I1273" s="24" t="e">
        <f t="shared" si="32"/>
        <v>#DIV/0!</v>
      </c>
    </row>
    <row r="1274" spans="1:9" ht="19.5" customHeight="1" hidden="1">
      <c r="A1274" s="234" t="s">
        <v>428</v>
      </c>
      <c r="B1274" s="51"/>
      <c r="C1274" s="35" t="s">
        <v>1026</v>
      </c>
      <c r="D1274" s="35" t="s">
        <v>665</v>
      </c>
      <c r="E1274" s="35" t="s">
        <v>427</v>
      </c>
      <c r="F1274" s="27" t="s">
        <v>429</v>
      </c>
      <c r="G1274" s="24"/>
      <c r="H1274" s="24"/>
      <c r="I1274" s="24" t="e">
        <f t="shared" si="32"/>
        <v>#DIV/0!</v>
      </c>
    </row>
    <row r="1275" spans="1:9" ht="52.5" customHeight="1">
      <c r="A1275" s="234" t="s">
        <v>430</v>
      </c>
      <c r="B1275" s="51"/>
      <c r="C1275" s="35" t="s">
        <v>1026</v>
      </c>
      <c r="D1275" s="35" t="s">
        <v>665</v>
      </c>
      <c r="E1275" s="35" t="s">
        <v>431</v>
      </c>
      <c r="F1275" s="27"/>
      <c r="G1275" s="24">
        <f>SUM(G1276)</f>
        <v>231262.5</v>
      </c>
      <c r="H1275" s="24">
        <f>SUM(H1276)</f>
        <v>201795.7</v>
      </c>
      <c r="I1275" s="24">
        <f t="shared" si="32"/>
        <v>87.25828874114913</v>
      </c>
    </row>
    <row r="1276" spans="1:9" ht="15.75">
      <c r="A1276" s="234" t="s">
        <v>895</v>
      </c>
      <c r="B1276" s="51"/>
      <c r="C1276" s="35" t="s">
        <v>1026</v>
      </c>
      <c r="D1276" s="35" t="s">
        <v>665</v>
      </c>
      <c r="E1276" s="35" t="s">
        <v>431</v>
      </c>
      <c r="F1276" s="27" t="s">
        <v>238</v>
      </c>
      <c r="G1276" s="24">
        <v>231262.5</v>
      </c>
      <c r="H1276" s="24">
        <v>201795.7</v>
      </c>
      <c r="I1276" s="24">
        <f t="shared" si="32"/>
        <v>87.25828874114913</v>
      </c>
    </row>
    <row r="1277" spans="1:9" ht="15" customHeight="1">
      <c r="A1277" s="222" t="s">
        <v>432</v>
      </c>
      <c r="B1277" s="21"/>
      <c r="C1277" s="35" t="s">
        <v>1026</v>
      </c>
      <c r="D1277" s="35" t="s">
        <v>665</v>
      </c>
      <c r="E1277" s="35" t="s">
        <v>433</v>
      </c>
      <c r="F1277" s="26"/>
      <c r="G1277" s="24">
        <f>SUM(G1278)</f>
        <v>30004.1</v>
      </c>
      <c r="H1277" s="24">
        <f>SUM(H1284)</f>
        <v>39140.2</v>
      </c>
      <c r="I1277" s="24">
        <f t="shared" si="32"/>
        <v>130.44950523428466</v>
      </c>
    </row>
    <row r="1278" spans="1:9" ht="28.5" customHeight="1">
      <c r="A1278" s="222" t="s">
        <v>811</v>
      </c>
      <c r="B1278" s="82"/>
      <c r="C1278" s="35" t="s">
        <v>1026</v>
      </c>
      <c r="D1278" s="35" t="s">
        <v>665</v>
      </c>
      <c r="E1278" s="35" t="s">
        <v>971</v>
      </c>
      <c r="F1278" s="26"/>
      <c r="G1278" s="24">
        <f>SUM(G1281+G1283+G1285+G1286)+G1279</f>
        <v>30004.1</v>
      </c>
      <c r="H1278" s="24" t="e">
        <f>SUM(H1282+H1351+H1349)</f>
        <v>#REF!</v>
      </c>
      <c r="I1278" s="24" t="e">
        <f>SUM(H1278/G1278*100)</f>
        <v>#REF!</v>
      </c>
    </row>
    <row r="1279" spans="1:9" ht="28.5" customHeight="1">
      <c r="A1279" s="222" t="s">
        <v>1253</v>
      </c>
      <c r="B1279" s="82"/>
      <c r="C1279" s="35" t="s">
        <v>1026</v>
      </c>
      <c r="D1279" s="35" t="s">
        <v>665</v>
      </c>
      <c r="E1279" s="35" t="s">
        <v>1256</v>
      </c>
      <c r="F1279" s="26"/>
      <c r="G1279" s="24">
        <f>SUM(G1280)</f>
        <v>126.1</v>
      </c>
      <c r="H1279" s="24"/>
      <c r="I1279" s="24"/>
    </row>
    <row r="1280" spans="1:9" ht="28.5" customHeight="1">
      <c r="A1280" s="222" t="s">
        <v>1126</v>
      </c>
      <c r="B1280" s="82"/>
      <c r="C1280" s="35" t="s">
        <v>1026</v>
      </c>
      <c r="D1280" s="35" t="s">
        <v>665</v>
      </c>
      <c r="E1280" s="35" t="s">
        <v>1256</v>
      </c>
      <c r="F1280" s="26" t="s">
        <v>978</v>
      </c>
      <c r="G1280" s="24">
        <v>126.1</v>
      </c>
      <c r="H1280" s="24"/>
      <c r="I1280" s="24"/>
    </row>
    <row r="1281" spans="1:9" ht="43.5" customHeight="1">
      <c r="A1281" s="222" t="s">
        <v>997</v>
      </c>
      <c r="B1281" s="82"/>
      <c r="C1281" s="35" t="s">
        <v>1026</v>
      </c>
      <c r="D1281" s="35" t="s">
        <v>665</v>
      </c>
      <c r="E1281" s="35" t="s">
        <v>972</v>
      </c>
      <c r="F1281" s="26"/>
      <c r="G1281" s="24">
        <f>SUM(G1282)</f>
        <v>29678</v>
      </c>
      <c r="H1281" s="24"/>
      <c r="I1281" s="24"/>
    </row>
    <row r="1282" spans="1:9" ht="50.25" customHeight="1">
      <c r="A1282" s="234" t="s">
        <v>1125</v>
      </c>
      <c r="B1282" s="51"/>
      <c r="C1282" s="35" t="s">
        <v>1026</v>
      </c>
      <c r="D1282" s="35" t="s">
        <v>665</v>
      </c>
      <c r="E1282" s="35" t="s">
        <v>972</v>
      </c>
      <c r="F1282" s="27" t="s">
        <v>897</v>
      </c>
      <c r="G1282" s="24">
        <v>29678</v>
      </c>
      <c r="H1282" s="24">
        <v>56722</v>
      </c>
      <c r="I1282" s="24">
        <f>SUM(H1282/G1282*100)</f>
        <v>191.12473886380482</v>
      </c>
    </row>
    <row r="1283" spans="1:9" ht="0.75" customHeight="1" hidden="1">
      <c r="A1283" s="222"/>
      <c r="B1283" s="21"/>
      <c r="C1283" s="35"/>
      <c r="D1283" s="35"/>
      <c r="E1283" s="35"/>
      <c r="F1283" s="26"/>
      <c r="G1283" s="24"/>
      <c r="H1283" s="24"/>
      <c r="I1283" s="24"/>
    </row>
    <row r="1284" spans="1:9" ht="19.5" customHeight="1" hidden="1">
      <c r="A1284" s="222" t="s">
        <v>235</v>
      </c>
      <c r="B1284" s="82"/>
      <c r="C1284" s="35" t="s">
        <v>1026</v>
      </c>
      <c r="D1284" s="35" t="s">
        <v>665</v>
      </c>
      <c r="E1284" s="35" t="s">
        <v>434</v>
      </c>
      <c r="F1284" s="26"/>
      <c r="G1284" s="24"/>
      <c r="H1284" s="24">
        <f>SUM(H1285+H1290+H1286)</f>
        <v>39140.2</v>
      </c>
      <c r="I1284" s="24" t="e">
        <f t="shared" si="32"/>
        <v>#DIV/0!</v>
      </c>
    </row>
    <row r="1285" spans="1:9" ht="19.5" customHeight="1" hidden="1">
      <c r="A1285" s="234" t="s">
        <v>895</v>
      </c>
      <c r="B1285" s="51"/>
      <c r="C1285" s="35" t="s">
        <v>1026</v>
      </c>
      <c r="D1285" s="35" t="s">
        <v>665</v>
      </c>
      <c r="E1285" s="35" t="s">
        <v>434</v>
      </c>
      <c r="F1285" s="27" t="s">
        <v>238</v>
      </c>
      <c r="G1285" s="24"/>
      <c r="H1285" s="24">
        <v>39061.6</v>
      </c>
      <c r="I1285" s="24" t="e">
        <f t="shared" si="32"/>
        <v>#DIV/0!</v>
      </c>
    </row>
    <row r="1286" spans="1:9" ht="19.5" customHeight="1">
      <c r="A1286" s="234" t="s">
        <v>1126</v>
      </c>
      <c r="B1286" s="82"/>
      <c r="C1286" s="35" t="s">
        <v>1026</v>
      </c>
      <c r="D1286" s="35" t="s">
        <v>665</v>
      </c>
      <c r="E1286" s="35" t="s">
        <v>1094</v>
      </c>
      <c r="F1286" s="26"/>
      <c r="G1286" s="24">
        <f>SUM(G1292)+G1290+G1287</f>
        <v>200</v>
      </c>
      <c r="H1286" s="24">
        <f>SUM(H1287)</f>
        <v>78.6</v>
      </c>
      <c r="I1286" s="24">
        <f t="shared" si="32"/>
        <v>39.3</v>
      </c>
    </row>
    <row r="1287" spans="1:9" ht="19.5" customHeight="1">
      <c r="A1287" s="234" t="s">
        <v>666</v>
      </c>
      <c r="B1287" s="82"/>
      <c r="C1287" s="35" t="s">
        <v>1026</v>
      </c>
      <c r="D1287" s="35" t="s">
        <v>665</v>
      </c>
      <c r="E1287" s="35" t="s">
        <v>667</v>
      </c>
      <c r="F1287" s="26"/>
      <c r="G1287" s="24">
        <f>SUM(G1288)</f>
        <v>200</v>
      </c>
      <c r="H1287" s="24">
        <v>78.6</v>
      </c>
      <c r="I1287" s="24">
        <f t="shared" si="32"/>
        <v>39.3</v>
      </c>
    </row>
    <row r="1288" spans="1:9" ht="19.5" customHeight="1">
      <c r="A1288" s="234" t="s">
        <v>1126</v>
      </c>
      <c r="B1288" s="82"/>
      <c r="C1288" s="35" t="s">
        <v>1026</v>
      </c>
      <c r="D1288" s="35" t="s">
        <v>665</v>
      </c>
      <c r="E1288" s="35" t="s">
        <v>667</v>
      </c>
      <c r="F1288" s="26" t="s">
        <v>978</v>
      </c>
      <c r="G1288" s="24">
        <v>200</v>
      </c>
      <c r="H1288" s="24"/>
      <c r="I1288" s="24">
        <f t="shared" si="32"/>
        <v>0</v>
      </c>
    </row>
    <row r="1289" spans="1:9" ht="19.5" customHeight="1" hidden="1">
      <c r="A1289" s="234" t="s">
        <v>465</v>
      </c>
      <c r="B1289" s="51"/>
      <c r="C1289" s="35" t="s">
        <v>1026</v>
      </c>
      <c r="D1289" s="35" t="s">
        <v>665</v>
      </c>
      <c r="E1289" s="35" t="s">
        <v>434</v>
      </c>
      <c r="F1289" s="26" t="s">
        <v>466</v>
      </c>
      <c r="G1289" s="24"/>
      <c r="H1289" s="24"/>
      <c r="I1289" s="24" t="e">
        <f t="shared" si="32"/>
        <v>#DIV/0!</v>
      </c>
    </row>
    <row r="1290" spans="1:9" s="90" customFormat="1" ht="19.5" customHeight="1" hidden="1">
      <c r="A1290" s="222" t="s">
        <v>282</v>
      </c>
      <c r="B1290" s="51"/>
      <c r="C1290" s="35" t="s">
        <v>1026</v>
      </c>
      <c r="D1290" s="35" t="s">
        <v>665</v>
      </c>
      <c r="E1290" s="35" t="s">
        <v>438</v>
      </c>
      <c r="F1290" s="27"/>
      <c r="G1290" s="24">
        <f>SUM(G1292)</f>
        <v>0</v>
      </c>
      <c r="H1290" s="24">
        <f>SUM(H1292)</f>
        <v>0</v>
      </c>
      <c r="I1290" s="24" t="e">
        <f t="shared" si="32"/>
        <v>#DIV/0!</v>
      </c>
    </row>
    <row r="1291" spans="1:9" ht="19.5" customHeight="1" hidden="1">
      <c r="A1291" s="222" t="s">
        <v>424</v>
      </c>
      <c r="B1291" s="51"/>
      <c r="C1291" s="35" t="s">
        <v>1026</v>
      </c>
      <c r="D1291" s="35" t="s">
        <v>665</v>
      </c>
      <c r="E1291" s="35" t="s">
        <v>434</v>
      </c>
      <c r="F1291" s="27" t="s">
        <v>425</v>
      </c>
      <c r="G1291" s="24"/>
      <c r="H1291" s="24"/>
      <c r="I1291" s="24" t="e">
        <f t="shared" si="32"/>
        <v>#DIV/0!</v>
      </c>
    </row>
    <row r="1292" spans="1:9" ht="19.5" customHeight="1" hidden="1">
      <c r="A1292" s="234" t="s">
        <v>237</v>
      </c>
      <c r="B1292" s="51"/>
      <c r="C1292" s="35" t="s">
        <v>1026</v>
      </c>
      <c r="D1292" s="35" t="s">
        <v>665</v>
      </c>
      <c r="E1292" s="35" t="s">
        <v>438</v>
      </c>
      <c r="F1292" s="27" t="s">
        <v>238</v>
      </c>
      <c r="G1292" s="24"/>
      <c r="H1292" s="24"/>
      <c r="I1292" s="24" t="e">
        <f t="shared" si="32"/>
        <v>#DIV/0!</v>
      </c>
    </row>
    <row r="1293" spans="1:9" ht="19.5" customHeight="1">
      <c r="A1293" s="222" t="s">
        <v>449</v>
      </c>
      <c r="B1293" s="35"/>
      <c r="C1293" s="35" t="s">
        <v>1026</v>
      </c>
      <c r="D1293" s="35" t="s">
        <v>665</v>
      </c>
      <c r="E1293" s="35" t="s">
        <v>450</v>
      </c>
      <c r="F1293" s="26"/>
      <c r="G1293" s="24">
        <f>SUM(G1294)</f>
        <v>31819.600000000002</v>
      </c>
      <c r="H1293" s="24">
        <f>SUM(H1294)</f>
        <v>13875.4</v>
      </c>
      <c r="I1293" s="24">
        <f t="shared" si="32"/>
        <v>43.6064563979434</v>
      </c>
    </row>
    <row r="1294" spans="1:9" ht="23.25" customHeight="1">
      <c r="A1294" s="222" t="s">
        <v>999</v>
      </c>
      <c r="B1294" s="82"/>
      <c r="C1294" s="35" t="s">
        <v>1026</v>
      </c>
      <c r="D1294" s="35" t="s">
        <v>665</v>
      </c>
      <c r="E1294" s="35" t="s">
        <v>451</v>
      </c>
      <c r="F1294" s="26"/>
      <c r="G1294" s="24">
        <f>SUM(G1296+G1298+G1300)</f>
        <v>31819.600000000002</v>
      </c>
      <c r="H1294" s="24">
        <f>SUM(H1296+H1298+H1300)</f>
        <v>13875.4</v>
      </c>
      <c r="I1294" s="24">
        <f t="shared" si="32"/>
        <v>43.6064563979434</v>
      </c>
    </row>
    <row r="1295" spans="1:9" ht="19.5" customHeight="1" hidden="1">
      <c r="A1295" s="234" t="s">
        <v>237</v>
      </c>
      <c r="B1295" s="51"/>
      <c r="C1295" s="35" t="s">
        <v>1026</v>
      </c>
      <c r="D1295" s="35" t="s">
        <v>665</v>
      </c>
      <c r="E1295" s="35" t="s">
        <v>451</v>
      </c>
      <c r="F1295" s="27" t="s">
        <v>238</v>
      </c>
      <c r="G1295" s="24"/>
      <c r="H1295" s="24"/>
      <c r="I1295" s="24" t="e">
        <f t="shared" si="32"/>
        <v>#DIV/0!</v>
      </c>
    </row>
    <row r="1296" spans="1:9" ht="55.5" customHeight="1">
      <c r="A1296" s="234" t="s">
        <v>1253</v>
      </c>
      <c r="B1296" s="51"/>
      <c r="C1296" s="35" t="s">
        <v>1026</v>
      </c>
      <c r="D1296" s="35" t="s">
        <v>665</v>
      </c>
      <c r="E1296" s="35" t="s">
        <v>305</v>
      </c>
      <c r="F1296" s="27"/>
      <c r="G1296" s="24">
        <f>SUM(G1297)</f>
        <v>34.2</v>
      </c>
      <c r="H1296" s="24">
        <f>SUM(H1297)</f>
        <v>0</v>
      </c>
      <c r="I1296" s="24">
        <f t="shared" si="32"/>
        <v>0</v>
      </c>
    </row>
    <row r="1297" spans="1:9" ht="19.5" customHeight="1">
      <c r="A1297" s="234" t="s">
        <v>237</v>
      </c>
      <c r="B1297" s="51"/>
      <c r="C1297" s="35" t="s">
        <v>1026</v>
      </c>
      <c r="D1297" s="35" t="s">
        <v>665</v>
      </c>
      <c r="E1297" s="35" t="s">
        <v>305</v>
      </c>
      <c r="F1297" s="27" t="s">
        <v>238</v>
      </c>
      <c r="G1297" s="24">
        <v>34.2</v>
      </c>
      <c r="H1297" s="24"/>
      <c r="I1297" s="24">
        <f>SUM(H1297/G1297*100)</f>
        <v>0</v>
      </c>
    </row>
    <row r="1298" spans="1:9" ht="51" customHeight="1">
      <c r="A1298" s="234" t="s">
        <v>906</v>
      </c>
      <c r="B1298" s="51"/>
      <c r="C1298" s="35" t="s">
        <v>1026</v>
      </c>
      <c r="D1298" s="35" t="s">
        <v>665</v>
      </c>
      <c r="E1298" s="35" t="s">
        <v>452</v>
      </c>
      <c r="F1298" s="27"/>
      <c r="G1298" s="24">
        <f>SUM(G1299)</f>
        <v>33.2</v>
      </c>
      <c r="H1298" s="24">
        <f>SUM(H1299)</f>
        <v>12.8</v>
      </c>
      <c r="I1298" s="24">
        <f t="shared" si="32"/>
        <v>38.554216867469876</v>
      </c>
    </row>
    <row r="1299" spans="1:9" ht="19.5" customHeight="1">
      <c r="A1299" s="234" t="s">
        <v>895</v>
      </c>
      <c r="B1299" s="51"/>
      <c r="C1299" s="35" t="s">
        <v>1026</v>
      </c>
      <c r="D1299" s="35" t="s">
        <v>665</v>
      </c>
      <c r="E1299" s="35" t="s">
        <v>452</v>
      </c>
      <c r="F1299" s="27" t="s">
        <v>238</v>
      </c>
      <c r="G1299" s="24">
        <v>33.2</v>
      </c>
      <c r="H1299" s="24">
        <v>12.8</v>
      </c>
      <c r="I1299" s="24">
        <f t="shared" si="32"/>
        <v>38.554216867469876</v>
      </c>
    </row>
    <row r="1300" spans="1:9" ht="75.75" customHeight="1">
      <c r="A1300" s="234" t="s">
        <v>998</v>
      </c>
      <c r="B1300" s="51"/>
      <c r="C1300" s="35" t="s">
        <v>1026</v>
      </c>
      <c r="D1300" s="35" t="s">
        <v>665</v>
      </c>
      <c r="E1300" s="35" t="s">
        <v>453</v>
      </c>
      <c r="F1300" s="27"/>
      <c r="G1300" s="24">
        <f>SUM(G1301)</f>
        <v>31752.2</v>
      </c>
      <c r="H1300" s="24">
        <f>SUM(H1301)</f>
        <v>13862.6</v>
      </c>
      <c r="I1300" s="24">
        <f t="shared" si="32"/>
        <v>43.6587071132079</v>
      </c>
    </row>
    <row r="1301" spans="1:9" ht="19.5" customHeight="1">
      <c r="A1301" s="234" t="s">
        <v>895</v>
      </c>
      <c r="B1301" s="51"/>
      <c r="C1301" s="35" t="s">
        <v>1026</v>
      </c>
      <c r="D1301" s="35" t="s">
        <v>665</v>
      </c>
      <c r="E1301" s="35" t="s">
        <v>453</v>
      </c>
      <c r="F1301" s="27" t="s">
        <v>238</v>
      </c>
      <c r="G1301" s="24">
        <v>31752.2</v>
      </c>
      <c r="H1301" s="24">
        <v>13862.6</v>
      </c>
      <c r="I1301" s="24">
        <f t="shared" si="32"/>
        <v>43.6587071132079</v>
      </c>
    </row>
    <row r="1302" spans="1:9" ht="15.75" customHeight="1" hidden="1">
      <c r="A1302" s="234" t="s">
        <v>1291</v>
      </c>
      <c r="B1302" s="51"/>
      <c r="C1302" s="35" t="s">
        <v>1026</v>
      </c>
      <c r="D1302" s="35" t="s">
        <v>665</v>
      </c>
      <c r="E1302" s="35" t="s">
        <v>1292</v>
      </c>
      <c r="F1302" s="27"/>
      <c r="G1302" s="24">
        <f aca="true" t="shared" si="34" ref="G1302:H1304">SUM(G1303)</f>
        <v>0</v>
      </c>
      <c r="H1302" s="24">
        <f t="shared" si="34"/>
        <v>0</v>
      </c>
      <c r="I1302" s="24" t="e">
        <f t="shared" si="32"/>
        <v>#DIV/0!</v>
      </c>
    </row>
    <row r="1303" spans="1:9" ht="28.5" customHeight="1" hidden="1">
      <c r="A1303" s="234" t="s">
        <v>485</v>
      </c>
      <c r="B1303" s="51"/>
      <c r="C1303" s="35" t="s">
        <v>1026</v>
      </c>
      <c r="D1303" s="35" t="s">
        <v>665</v>
      </c>
      <c r="E1303" s="35" t="s">
        <v>1293</v>
      </c>
      <c r="F1303" s="27"/>
      <c r="G1303" s="24">
        <f t="shared" si="34"/>
        <v>0</v>
      </c>
      <c r="H1303" s="24">
        <f t="shared" si="34"/>
        <v>0</v>
      </c>
      <c r="I1303" s="24" t="e">
        <f t="shared" si="32"/>
        <v>#DIV/0!</v>
      </c>
    </row>
    <row r="1304" spans="1:9" s="73" customFormat="1" ht="28.5" customHeight="1" hidden="1">
      <c r="A1304" s="234" t="s">
        <v>283</v>
      </c>
      <c r="B1304" s="51"/>
      <c r="C1304" s="35" t="s">
        <v>1026</v>
      </c>
      <c r="D1304" s="35" t="s">
        <v>665</v>
      </c>
      <c r="E1304" s="35" t="s">
        <v>1294</v>
      </c>
      <c r="F1304" s="27"/>
      <c r="G1304" s="24">
        <f t="shared" si="34"/>
        <v>0</v>
      </c>
      <c r="H1304" s="24">
        <f t="shared" si="34"/>
        <v>0</v>
      </c>
      <c r="I1304" s="24" t="e">
        <f t="shared" si="32"/>
        <v>#DIV/0!</v>
      </c>
    </row>
    <row r="1305" spans="1:9" s="89" customFormat="1" ht="15.75" customHeight="1" hidden="1">
      <c r="A1305" s="234" t="s">
        <v>237</v>
      </c>
      <c r="B1305" s="51"/>
      <c r="C1305" s="35" t="s">
        <v>1026</v>
      </c>
      <c r="D1305" s="35" t="s">
        <v>665</v>
      </c>
      <c r="E1305" s="35" t="s">
        <v>1294</v>
      </c>
      <c r="F1305" s="27" t="s">
        <v>238</v>
      </c>
      <c r="G1305" s="24"/>
      <c r="H1305" s="24"/>
      <c r="I1305" s="24" t="e">
        <f t="shared" si="32"/>
        <v>#DIV/0!</v>
      </c>
    </row>
    <row r="1306" spans="1:9" s="298" customFormat="1" ht="15.75" customHeight="1">
      <c r="A1306" s="228" t="s">
        <v>1248</v>
      </c>
      <c r="B1306" s="140"/>
      <c r="C1306" s="35" t="s">
        <v>1026</v>
      </c>
      <c r="D1306" s="35" t="s">
        <v>665</v>
      </c>
      <c r="E1306" s="35" t="s">
        <v>1247</v>
      </c>
      <c r="F1306" s="26"/>
      <c r="G1306" s="24">
        <f>SUM(G1307:G1308)</f>
        <v>49748</v>
      </c>
      <c r="H1306" s="24"/>
      <c r="I1306" s="24"/>
    </row>
    <row r="1307" spans="1:9" s="89" customFormat="1" ht="15.75" customHeight="1">
      <c r="A1307" s="234" t="s">
        <v>1301</v>
      </c>
      <c r="B1307" s="51"/>
      <c r="C1307" s="35" t="s">
        <v>1026</v>
      </c>
      <c r="D1307" s="35" t="s">
        <v>665</v>
      </c>
      <c r="E1307" s="35" t="s">
        <v>1247</v>
      </c>
      <c r="F1307" s="27" t="s">
        <v>1302</v>
      </c>
      <c r="G1307" s="24">
        <v>27261.8</v>
      </c>
      <c r="H1307" s="24"/>
      <c r="I1307" s="24"/>
    </row>
    <row r="1308" spans="1:9" s="89" customFormat="1" ht="15.75" customHeight="1">
      <c r="A1308" s="220" t="s">
        <v>1126</v>
      </c>
      <c r="B1308" s="51"/>
      <c r="C1308" s="35" t="s">
        <v>1026</v>
      </c>
      <c r="D1308" s="35" t="s">
        <v>665</v>
      </c>
      <c r="E1308" s="35" t="s">
        <v>1247</v>
      </c>
      <c r="F1308" s="27" t="s">
        <v>978</v>
      </c>
      <c r="G1308" s="24">
        <v>22486.2</v>
      </c>
      <c r="H1308" s="24"/>
      <c r="I1308" s="24"/>
    </row>
    <row r="1309" spans="1:9" s="89" customFormat="1" ht="27.75" customHeight="1">
      <c r="A1309" s="222" t="s">
        <v>458</v>
      </c>
      <c r="B1309" s="35"/>
      <c r="C1309" s="35" t="s">
        <v>1026</v>
      </c>
      <c r="D1309" s="35" t="s">
        <v>665</v>
      </c>
      <c r="E1309" s="35" t="s">
        <v>1295</v>
      </c>
      <c r="F1309" s="26"/>
      <c r="G1309" s="24">
        <f>SUM(G1310)+G1313</f>
        <v>12418.699999999999</v>
      </c>
      <c r="H1309" s="24">
        <f>SUM(H1310)+H1313</f>
        <v>63936.3</v>
      </c>
      <c r="I1309" s="24">
        <f t="shared" si="32"/>
        <v>514.838912285505</v>
      </c>
    </row>
    <row r="1310" spans="1:9" s="89" customFormat="1" ht="15">
      <c r="A1310" s="224" t="s">
        <v>1296</v>
      </c>
      <c r="B1310" s="35"/>
      <c r="C1310" s="35" t="s">
        <v>1026</v>
      </c>
      <c r="D1310" s="35" t="s">
        <v>665</v>
      </c>
      <c r="E1310" s="35" t="s">
        <v>1297</v>
      </c>
      <c r="F1310" s="26"/>
      <c r="G1310" s="24">
        <f>SUM(G1311)+G1312</f>
        <v>11417.9</v>
      </c>
      <c r="H1310" s="24">
        <f>SUM(H1311)</f>
        <v>7214.3</v>
      </c>
      <c r="I1310" s="24">
        <f t="shared" si="32"/>
        <v>63.184123175014676</v>
      </c>
    </row>
    <row r="1311" spans="1:9" s="89" customFormat="1" ht="25.5" customHeight="1">
      <c r="A1311" s="234" t="s">
        <v>237</v>
      </c>
      <c r="B1311" s="35"/>
      <c r="C1311" s="35" t="s">
        <v>1026</v>
      </c>
      <c r="D1311" s="35" t="s">
        <v>665</v>
      </c>
      <c r="E1311" s="35" t="s">
        <v>1297</v>
      </c>
      <c r="F1311" s="26" t="s">
        <v>238</v>
      </c>
      <c r="G1311" s="24">
        <v>6440.7</v>
      </c>
      <c r="H1311" s="24">
        <v>7214.3</v>
      </c>
      <c r="I1311" s="24">
        <f t="shared" si="32"/>
        <v>112.01111680407409</v>
      </c>
    </row>
    <row r="1312" spans="1:9" s="89" customFormat="1" ht="25.5" customHeight="1">
      <c r="A1312" s="220" t="s">
        <v>1126</v>
      </c>
      <c r="B1312" s="264"/>
      <c r="C1312" s="202" t="s">
        <v>1026</v>
      </c>
      <c r="D1312" s="202" t="s">
        <v>665</v>
      </c>
      <c r="E1312" s="202" t="s">
        <v>1297</v>
      </c>
      <c r="F1312" s="263" t="s">
        <v>978</v>
      </c>
      <c r="G1312" s="201">
        <v>4977.2</v>
      </c>
      <c r="H1312" s="24"/>
      <c r="I1312" s="24"/>
    </row>
    <row r="1313" spans="1:9" s="83" customFormat="1" ht="37.5" customHeight="1">
      <c r="A1313" s="224" t="s">
        <v>1298</v>
      </c>
      <c r="B1313" s="35"/>
      <c r="C1313" s="35" t="s">
        <v>1026</v>
      </c>
      <c r="D1313" s="35" t="s">
        <v>665</v>
      </c>
      <c r="E1313" s="35" t="s">
        <v>1299</v>
      </c>
      <c r="F1313" s="26"/>
      <c r="G1313" s="24">
        <f>SUM(G1314:G1315)</f>
        <v>1000.8</v>
      </c>
      <c r="H1313" s="24">
        <f>SUM(H1315)</f>
        <v>56722</v>
      </c>
      <c r="I1313" s="24">
        <f aca="true" t="shared" si="35" ref="I1313:I1389">SUM(H1313/G1313*100)</f>
        <v>5667.665867306156</v>
      </c>
    </row>
    <row r="1314" spans="1:9" ht="15">
      <c r="A1314" s="234" t="s">
        <v>895</v>
      </c>
      <c r="B1314" s="35"/>
      <c r="C1314" s="35" t="s">
        <v>1026</v>
      </c>
      <c r="D1314" s="35" t="s">
        <v>665</v>
      </c>
      <c r="E1314" s="35" t="s">
        <v>1299</v>
      </c>
      <c r="F1314" s="26" t="s">
        <v>238</v>
      </c>
      <c r="G1314" s="24">
        <v>548.9</v>
      </c>
      <c r="H1314" s="24">
        <f>2981.1-1986.9</f>
        <v>994.1999999999998</v>
      </c>
      <c r="I1314" s="24">
        <f>SUM(H1314/G1314*100)</f>
        <v>181.12588813991616</v>
      </c>
    </row>
    <row r="1315" spans="1:9" s="266" customFormat="1" ht="23.25" customHeight="1">
      <c r="A1315" s="220" t="s">
        <v>1126</v>
      </c>
      <c r="B1315" s="264"/>
      <c r="C1315" s="202" t="s">
        <v>1026</v>
      </c>
      <c r="D1315" s="202" t="s">
        <v>665</v>
      </c>
      <c r="E1315" s="202" t="s">
        <v>1299</v>
      </c>
      <c r="F1315" s="263" t="s">
        <v>978</v>
      </c>
      <c r="G1315" s="201">
        <v>451.9</v>
      </c>
      <c r="H1315" s="265">
        <v>56722</v>
      </c>
      <c r="I1315" s="265">
        <f>SUM(H1315/G1315*100)</f>
        <v>12551.892011506972</v>
      </c>
    </row>
    <row r="1316" spans="1:9" s="266" customFormat="1" ht="23.25" customHeight="1">
      <c r="A1316" s="222" t="s">
        <v>785</v>
      </c>
      <c r="B1316" s="264"/>
      <c r="C1316" s="202" t="s">
        <v>1026</v>
      </c>
      <c r="D1316" s="202" t="s">
        <v>665</v>
      </c>
      <c r="E1316" s="202" t="s">
        <v>786</v>
      </c>
      <c r="F1316" s="263"/>
      <c r="G1316" s="201">
        <f>SUM(G1317)</f>
        <v>191.6</v>
      </c>
      <c r="H1316" s="265"/>
      <c r="I1316" s="265"/>
    </row>
    <row r="1317" spans="1:9" s="266" customFormat="1" ht="30" customHeight="1">
      <c r="A1317" s="220" t="s">
        <v>728</v>
      </c>
      <c r="B1317" s="264"/>
      <c r="C1317" s="202" t="s">
        <v>1026</v>
      </c>
      <c r="D1317" s="202" t="s">
        <v>665</v>
      </c>
      <c r="E1317" s="202" t="s">
        <v>1067</v>
      </c>
      <c r="F1317" s="263"/>
      <c r="G1317" s="201">
        <f>SUM(G1318:G1319)</f>
        <v>191.6</v>
      </c>
      <c r="H1317" s="265"/>
      <c r="I1317" s="265"/>
    </row>
    <row r="1318" spans="1:9" s="266" customFormat="1" ht="23.25" customHeight="1">
      <c r="A1318" s="234" t="s">
        <v>895</v>
      </c>
      <c r="B1318" s="264"/>
      <c r="C1318" s="202" t="s">
        <v>1026</v>
      </c>
      <c r="D1318" s="202" t="s">
        <v>665</v>
      </c>
      <c r="E1318" s="202" t="s">
        <v>1067</v>
      </c>
      <c r="F1318" s="26" t="s">
        <v>238</v>
      </c>
      <c r="G1318" s="201">
        <v>96.5</v>
      </c>
      <c r="H1318" s="265"/>
      <c r="I1318" s="265"/>
    </row>
    <row r="1319" spans="1:9" s="266" customFormat="1" ht="23.25" customHeight="1">
      <c r="A1319" s="220" t="s">
        <v>1126</v>
      </c>
      <c r="B1319" s="264"/>
      <c r="C1319" s="202" t="s">
        <v>1026</v>
      </c>
      <c r="D1319" s="202" t="s">
        <v>665</v>
      </c>
      <c r="E1319" s="202" t="s">
        <v>1067</v>
      </c>
      <c r="F1319" s="263" t="s">
        <v>978</v>
      </c>
      <c r="G1319" s="201">
        <v>95.1</v>
      </c>
      <c r="H1319" s="265"/>
      <c r="I1319" s="265"/>
    </row>
    <row r="1320" spans="1:9" ht="20.25" customHeight="1">
      <c r="A1320" s="222" t="s">
        <v>1027</v>
      </c>
      <c r="B1320" s="28"/>
      <c r="C1320" s="22" t="s">
        <v>1026</v>
      </c>
      <c r="D1320" s="22" t="s">
        <v>1026</v>
      </c>
      <c r="E1320" s="22"/>
      <c r="F1320" s="23"/>
      <c r="G1320" s="24">
        <f>SUM(G1325+G1334+G1321+G1346)</f>
        <v>34944.3</v>
      </c>
      <c r="H1320" s="24">
        <f>SUM(H1325+H1334+H1321)</f>
        <v>30590.8</v>
      </c>
      <c r="I1320" s="24">
        <f t="shared" si="35"/>
        <v>87.54160192077106</v>
      </c>
    </row>
    <row r="1321" spans="1:9" ht="19.5" customHeight="1" hidden="1">
      <c r="A1321" s="222" t="s">
        <v>567</v>
      </c>
      <c r="B1321" s="21"/>
      <c r="C1321" s="22" t="s">
        <v>1026</v>
      </c>
      <c r="D1321" s="22" t="s">
        <v>1026</v>
      </c>
      <c r="E1321" s="22" t="s">
        <v>569</v>
      </c>
      <c r="F1321" s="23"/>
      <c r="G1321" s="24">
        <f>SUM(G1322)</f>
        <v>0</v>
      </c>
      <c r="H1321" s="24">
        <f>SUM(H1322)</f>
        <v>1335.9</v>
      </c>
      <c r="I1321" s="24" t="e">
        <f t="shared" si="35"/>
        <v>#DIV/0!</v>
      </c>
    </row>
    <row r="1322" spans="1:9" ht="19.5" customHeight="1" hidden="1">
      <c r="A1322" s="222" t="s">
        <v>545</v>
      </c>
      <c r="B1322" s="21"/>
      <c r="C1322" s="22" t="s">
        <v>1026</v>
      </c>
      <c r="D1322" s="22" t="s">
        <v>1026</v>
      </c>
      <c r="E1322" s="22" t="s">
        <v>546</v>
      </c>
      <c r="F1322" s="23"/>
      <c r="G1322" s="24">
        <f>SUM(G1323+G1324)</f>
        <v>0</v>
      </c>
      <c r="H1322" s="24">
        <f>SUM(H1323+H1324)</f>
        <v>1335.9</v>
      </c>
      <c r="I1322" s="24" t="e">
        <f t="shared" si="35"/>
        <v>#DIV/0!</v>
      </c>
    </row>
    <row r="1323" spans="1:9" ht="19.5" customHeight="1" hidden="1">
      <c r="A1323" s="234" t="s">
        <v>237</v>
      </c>
      <c r="B1323" s="34"/>
      <c r="C1323" s="22" t="s">
        <v>1026</v>
      </c>
      <c r="D1323" s="22" t="s">
        <v>1026</v>
      </c>
      <c r="E1323" s="22" t="s">
        <v>546</v>
      </c>
      <c r="F1323" s="26" t="s">
        <v>238</v>
      </c>
      <c r="G1323" s="24"/>
      <c r="H1323" s="24">
        <v>964</v>
      </c>
      <c r="I1323" s="24" t="e">
        <f t="shared" si="35"/>
        <v>#DIV/0!</v>
      </c>
    </row>
    <row r="1324" spans="1:9" ht="19.5" customHeight="1" hidden="1">
      <c r="A1324" s="234" t="s">
        <v>1301</v>
      </c>
      <c r="B1324" s="34"/>
      <c r="C1324" s="22" t="s">
        <v>1026</v>
      </c>
      <c r="D1324" s="22" t="s">
        <v>1026</v>
      </c>
      <c r="E1324" s="22" t="s">
        <v>546</v>
      </c>
      <c r="F1324" s="26" t="s">
        <v>1302</v>
      </c>
      <c r="G1324" s="24"/>
      <c r="H1324" s="24">
        <v>371.9</v>
      </c>
      <c r="I1324" s="24" t="e">
        <f t="shared" si="35"/>
        <v>#DIV/0!</v>
      </c>
    </row>
    <row r="1325" spans="1:9" ht="15" hidden="1">
      <c r="A1325" s="228" t="s">
        <v>1303</v>
      </c>
      <c r="B1325" s="34"/>
      <c r="C1325" s="35" t="s">
        <v>1026</v>
      </c>
      <c r="D1325" s="35" t="s">
        <v>1026</v>
      </c>
      <c r="E1325" s="35" t="s">
        <v>1304</v>
      </c>
      <c r="F1325" s="26"/>
      <c r="G1325" s="24">
        <f>SUM(G1326+G1332+G1330)</f>
        <v>0</v>
      </c>
      <c r="H1325" s="24">
        <f>SUM(H1326+H1332+H1330)</f>
        <v>1812.7999999999997</v>
      </c>
      <c r="I1325" s="24" t="e">
        <f t="shared" si="35"/>
        <v>#DIV/0!</v>
      </c>
    </row>
    <row r="1326" spans="1:9" ht="19.5" customHeight="1" hidden="1">
      <c r="A1326" s="228" t="s">
        <v>1305</v>
      </c>
      <c r="B1326" s="35"/>
      <c r="C1326" s="35" t="s">
        <v>1026</v>
      </c>
      <c r="D1326" s="35" t="s">
        <v>1026</v>
      </c>
      <c r="E1326" s="35" t="s">
        <v>1306</v>
      </c>
      <c r="F1326" s="26"/>
      <c r="G1326" s="24">
        <f>SUM(G1327+G1328)</f>
        <v>0</v>
      </c>
      <c r="H1326" s="24">
        <f>SUM(H1327+H1328)</f>
        <v>341.9</v>
      </c>
      <c r="I1326" s="24" t="e">
        <f t="shared" si="35"/>
        <v>#DIV/0!</v>
      </c>
    </row>
    <row r="1327" spans="1:9" ht="19.5" customHeight="1" hidden="1">
      <c r="A1327" s="234" t="s">
        <v>237</v>
      </c>
      <c r="B1327" s="34"/>
      <c r="C1327" s="35" t="s">
        <v>1026</v>
      </c>
      <c r="D1327" s="35" t="s">
        <v>1026</v>
      </c>
      <c r="E1327" s="35" t="s">
        <v>1306</v>
      </c>
      <c r="F1327" s="26" t="s">
        <v>238</v>
      </c>
      <c r="G1327" s="24"/>
      <c r="H1327" s="24">
        <v>341.9</v>
      </c>
      <c r="I1327" s="24" t="e">
        <f t="shared" si="35"/>
        <v>#DIV/0!</v>
      </c>
    </row>
    <row r="1328" spans="1:9" ht="15" hidden="1">
      <c r="A1328" s="222" t="s">
        <v>235</v>
      </c>
      <c r="B1328" s="34"/>
      <c r="C1328" s="35" t="s">
        <v>1026</v>
      </c>
      <c r="D1328" s="35" t="s">
        <v>1026</v>
      </c>
      <c r="E1328" s="35" t="s">
        <v>1307</v>
      </c>
      <c r="F1328" s="26"/>
      <c r="G1328" s="24">
        <f>SUM(G1329)</f>
        <v>0</v>
      </c>
      <c r="H1328" s="24">
        <f>SUM(H1329)</f>
        <v>0</v>
      </c>
      <c r="I1328" s="24" t="e">
        <f t="shared" si="35"/>
        <v>#DIV/0!</v>
      </c>
    </row>
    <row r="1329" spans="1:9" ht="15" hidden="1">
      <c r="A1329" s="234" t="s">
        <v>237</v>
      </c>
      <c r="B1329" s="34"/>
      <c r="C1329" s="35" t="s">
        <v>1026</v>
      </c>
      <c r="D1329" s="35" t="s">
        <v>1026</v>
      </c>
      <c r="E1329" s="35" t="s">
        <v>1307</v>
      </c>
      <c r="F1329" s="26" t="s">
        <v>238</v>
      </c>
      <c r="G1329" s="24"/>
      <c r="H1329" s="24"/>
      <c r="I1329" s="24" t="e">
        <f t="shared" si="35"/>
        <v>#DIV/0!</v>
      </c>
    </row>
    <row r="1330" spans="1:9" ht="19.5" customHeight="1" hidden="1">
      <c r="A1330" s="234" t="s">
        <v>1308</v>
      </c>
      <c r="B1330" s="34"/>
      <c r="C1330" s="35" t="s">
        <v>1026</v>
      </c>
      <c r="D1330" s="35" t="s">
        <v>1026</v>
      </c>
      <c r="E1330" s="35" t="s">
        <v>1309</v>
      </c>
      <c r="F1330" s="26"/>
      <c r="G1330" s="24">
        <f>SUM(G1331)</f>
        <v>0</v>
      </c>
      <c r="H1330" s="24">
        <f>SUM(H1331)</f>
        <v>444.6</v>
      </c>
      <c r="I1330" s="24" t="e">
        <f t="shared" si="35"/>
        <v>#DIV/0!</v>
      </c>
    </row>
    <row r="1331" spans="1:9" ht="19.5" customHeight="1" hidden="1">
      <c r="A1331" s="234" t="s">
        <v>237</v>
      </c>
      <c r="B1331" s="34"/>
      <c r="C1331" s="35" t="s">
        <v>1026</v>
      </c>
      <c r="D1331" s="35" t="s">
        <v>1026</v>
      </c>
      <c r="E1331" s="35" t="s">
        <v>1309</v>
      </c>
      <c r="F1331" s="26" t="s">
        <v>238</v>
      </c>
      <c r="G1331" s="24"/>
      <c r="H1331" s="24">
        <v>444.6</v>
      </c>
      <c r="I1331" s="24" t="e">
        <f t="shared" si="35"/>
        <v>#DIV/0!</v>
      </c>
    </row>
    <row r="1332" spans="1:9" ht="15" hidden="1">
      <c r="A1332" s="222" t="s">
        <v>235</v>
      </c>
      <c r="B1332" s="34"/>
      <c r="C1332" s="35" t="s">
        <v>1026</v>
      </c>
      <c r="D1332" s="35" t="s">
        <v>1026</v>
      </c>
      <c r="E1332" s="35" t="s">
        <v>1310</v>
      </c>
      <c r="F1332" s="26"/>
      <c r="G1332" s="24">
        <f>SUM(G1333)</f>
        <v>0</v>
      </c>
      <c r="H1332" s="24">
        <f>SUM(H1333)</f>
        <v>1026.3</v>
      </c>
      <c r="I1332" s="24" t="e">
        <f t="shared" si="35"/>
        <v>#DIV/0!</v>
      </c>
    </row>
    <row r="1333" spans="1:9" ht="19.5" customHeight="1" hidden="1">
      <c r="A1333" s="234" t="s">
        <v>237</v>
      </c>
      <c r="B1333" s="34"/>
      <c r="C1333" s="35" t="s">
        <v>1026</v>
      </c>
      <c r="D1333" s="35" t="s">
        <v>1026</v>
      </c>
      <c r="E1333" s="35" t="s">
        <v>1310</v>
      </c>
      <c r="F1333" s="26" t="s">
        <v>238</v>
      </c>
      <c r="G1333" s="24"/>
      <c r="H1333" s="24">
        <v>1026.3</v>
      </c>
      <c r="I1333" s="24" t="e">
        <f t="shared" si="35"/>
        <v>#DIV/0!</v>
      </c>
    </row>
    <row r="1334" spans="1:9" ht="15">
      <c r="A1334" s="224" t="s">
        <v>1311</v>
      </c>
      <c r="B1334" s="28"/>
      <c r="C1334" s="22" t="s">
        <v>1026</v>
      </c>
      <c r="D1334" s="22" t="s">
        <v>1026</v>
      </c>
      <c r="E1334" s="22" t="s">
        <v>1029</v>
      </c>
      <c r="F1334" s="23"/>
      <c r="G1334" s="24">
        <f>SUM(G1336+G1339+G1342)</f>
        <v>34909.3</v>
      </c>
      <c r="H1334" s="24">
        <f>SUM(H1336+H1339+H1343)</f>
        <v>27442.1</v>
      </c>
      <c r="I1334" s="24">
        <f t="shared" si="35"/>
        <v>78.6097114522491</v>
      </c>
    </row>
    <row r="1335" spans="1:9" ht="28.5">
      <c r="A1335" s="239" t="s">
        <v>992</v>
      </c>
      <c r="B1335" s="243"/>
      <c r="C1335" s="35" t="s">
        <v>1026</v>
      </c>
      <c r="D1335" s="35" t="s">
        <v>1026</v>
      </c>
      <c r="E1335" s="35" t="s">
        <v>993</v>
      </c>
      <c r="F1335" s="26"/>
      <c r="G1335" s="24">
        <f>SUM(G1336+G1339+G1342)</f>
        <v>34909.3</v>
      </c>
      <c r="H1335" s="24">
        <f>SUM(H1336)</f>
        <v>2757.3</v>
      </c>
      <c r="I1335" s="24">
        <f t="shared" si="35"/>
        <v>7.898468316465812</v>
      </c>
    </row>
    <row r="1336" spans="1:9" ht="55.5" customHeight="1">
      <c r="A1336" s="239" t="s">
        <v>994</v>
      </c>
      <c r="B1336" s="243"/>
      <c r="C1336" s="35" t="s">
        <v>1026</v>
      </c>
      <c r="D1336" s="35" t="s">
        <v>1026</v>
      </c>
      <c r="E1336" s="35" t="s">
        <v>995</v>
      </c>
      <c r="F1336" s="26"/>
      <c r="G1336" s="24">
        <f>SUM(G1337:G1338)</f>
        <v>3062.9</v>
      </c>
      <c r="H1336" s="24">
        <v>2757.3</v>
      </c>
      <c r="I1336" s="24">
        <f t="shared" si="35"/>
        <v>90.02252766985536</v>
      </c>
    </row>
    <row r="1337" spans="1:9" ht="22.5" customHeight="1">
      <c r="A1337" s="234" t="s">
        <v>895</v>
      </c>
      <c r="B1337" s="243"/>
      <c r="C1337" s="35" t="s">
        <v>1026</v>
      </c>
      <c r="D1337" s="35" t="s">
        <v>1026</v>
      </c>
      <c r="E1337" s="35" t="s">
        <v>995</v>
      </c>
      <c r="F1337" s="26" t="s">
        <v>238</v>
      </c>
      <c r="G1337" s="24">
        <v>1636.4</v>
      </c>
      <c r="H1337" s="24">
        <f>SUM(H1339)</f>
        <v>6986.3</v>
      </c>
      <c r="I1337" s="24">
        <f t="shared" si="35"/>
        <v>426.93106819848447</v>
      </c>
    </row>
    <row r="1338" spans="1:9" ht="22.5" customHeight="1">
      <c r="A1338" s="228" t="s">
        <v>1126</v>
      </c>
      <c r="B1338" s="243"/>
      <c r="C1338" s="35" t="s">
        <v>1026</v>
      </c>
      <c r="D1338" s="35" t="s">
        <v>1026</v>
      </c>
      <c r="E1338" s="35" t="s">
        <v>995</v>
      </c>
      <c r="F1338" s="26" t="s">
        <v>978</v>
      </c>
      <c r="G1338" s="24">
        <v>1426.5</v>
      </c>
      <c r="H1338" s="24"/>
      <c r="I1338" s="24"/>
    </row>
    <row r="1339" spans="1:9" ht="60" customHeight="1">
      <c r="A1339" s="226" t="s">
        <v>426</v>
      </c>
      <c r="B1339" s="51"/>
      <c r="C1339" s="22" t="s">
        <v>1026</v>
      </c>
      <c r="D1339" s="22" t="s">
        <v>1026</v>
      </c>
      <c r="E1339" s="35" t="s">
        <v>1274</v>
      </c>
      <c r="F1339" s="27"/>
      <c r="G1339" s="24">
        <f>SUM(G1340:G1341)</f>
        <v>7267.4</v>
      </c>
      <c r="H1339" s="24">
        <v>6986.3</v>
      </c>
      <c r="I1339" s="24">
        <f t="shared" si="35"/>
        <v>96.13204172056031</v>
      </c>
    </row>
    <row r="1340" spans="1:9" ht="21.75" customHeight="1">
      <c r="A1340" s="234" t="s">
        <v>895</v>
      </c>
      <c r="B1340" s="51"/>
      <c r="C1340" s="22" t="s">
        <v>1026</v>
      </c>
      <c r="D1340" s="22" t="s">
        <v>1026</v>
      </c>
      <c r="E1340" s="35" t="s">
        <v>1274</v>
      </c>
      <c r="F1340" s="27" t="s">
        <v>238</v>
      </c>
      <c r="G1340" s="24">
        <v>3633.7</v>
      </c>
      <c r="H1340" s="24"/>
      <c r="I1340" s="24"/>
    </row>
    <row r="1341" spans="1:9" ht="24.75" customHeight="1">
      <c r="A1341" s="228" t="s">
        <v>1126</v>
      </c>
      <c r="B1341" s="51"/>
      <c r="C1341" s="22" t="s">
        <v>1026</v>
      </c>
      <c r="D1341" s="22" t="s">
        <v>1026</v>
      </c>
      <c r="E1341" s="35" t="s">
        <v>1274</v>
      </c>
      <c r="F1341" s="27" t="s">
        <v>978</v>
      </c>
      <c r="G1341" s="24">
        <v>3633.7</v>
      </c>
      <c r="H1341" s="24"/>
      <c r="I1341" s="24"/>
    </row>
    <row r="1342" spans="1:9" ht="54.75" customHeight="1">
      <c r="A1342" s="234" t="s">
        <v>1314</v>
      </c>
      <c r="B1342" s="28"/>
      <c r="C1342" s="35" t="s">
        <v>1026</v>
      </c>
      <c r="D1342" s="22" t="s">
        <v>1026</v>
      </c>
      <c r="E1342" s="35" t="s">
        <v>1275</v>
      </c>
      <c r="F1342" s="23"/>
      <c r="G1342" s="24">
        <f>SUM(G1343)</f>
        <v>24579</v>
      </c>
      <c r="H1342" s="24">
        <f>SUM(H1343)</f>
        <v>17698.5</v>
      </c>
      <c r="I1342" s="24">
        <f t="shared" si="35"/>
        <v>72.0065909923105</v>
      </c>
    </row>
    <row r="1343" spans="1:9" ht="30.75" customHeight="1">
      <c r="A1343" s="234" t="s">
        <v>1250</v>
      </c>
      <c r="B1343" s="28"/>
      <c r="C1343" s="35" t="s">
        <v>1026</v>
      </c>
      <c r="D1343" s="22" t="s">
        <v>1026</v>
      </c>
      <c r="E1343" s="35" t="s">
        <v>1275</v>
      </c>
      <c r="F1343" s="23" t="s">
        <v>1249</v>
      </c>
      <c r="G1343" s="24">
        <v>24579</v>
      </c>
      <c r="H1343" s="24">
        <v>17698.5</v>
      </c>
      <c r="I1343" s="24">
        <f t="shared" si="35"/>
        <v>72.0065909923105</v>
      </c>
    </row>
    <row r="1344" spans="1:9" ht="15" customHeight="1" hidden="1">
      <c r="A1344" s="234"/>
      <c r="B1344" s="28"/>
      <c r="C1344" s="35"/>
      <c r="D1344" s="22"/>
      <c r="E1344" s="35"/>
      <c r="F1344" s="23"/>
      <c r="G1344" s="24"/>
      <c r="H1344" s="24"/>
      <c r="I1344" s="24"/>
    </row>
    <row r="1345" spans="1:9" ht="15" customHeight="1" hidden="1">
      <c r="A1345" s="234" t="s">
        <v>1316</v>
      </c>
      <c r="B1345" s="28"/>
      <c r="C1345" s="35" t="s">
        <v>1026</v>
      </c>
      <c r="D1345" s="22" t="s">
        <v>1026</v>
      </c>
      <c r="E1345" s="35" t="s">
        <v>1315</v>
      </c>
      <c r="F1345" s="23" t="s">
        <v>1317</v>
      </c>
      <c r="G1345" s="24"/>
      <c r="H1345" s="24"/>
      <c r="I1345" s="24" t="e">
        <f t="shared" si="35"/>
        <v>#DIV/0!</v>
      </c>
    </row>
    <row r="1346" spans="1:9" ht="15">
      <c r="A1346" s="234" t="s">
        <v>1046</v>
      </c>
      <c r="B1346" s="86"/>
      <c r="C1346" s="35" t="s">
        <v>1026</v>
      </c>
      <c r="D1346" s="35" t="s">
        <v>1026</v>
      </c>
      <c r="E1346" s="35" t="s">
        <v>1047</v>
      </c>
      <c r="F1346" s="27"/>
      <c r="G1346" s="24">
        <f>SUM(G1347)</f>
        <v>35</v>
      </c>
      <c r="H1346" s="24" t="e">
        <f>SUM(#REF!)</f>
        <v>#REF!</v>
      </c>
      <c r="I1346" s="24" t="e">
        <f>SUM(H1346/G1346*100)</f>
        <v>#REF!</v>
      </c>
    </row>
    <row r="1347" spans="1:9" ht="42.75">
      <c r="A1347" s="212" t="s">
        <v>523</v>
      </c>
      <c r="B1347" s="86"/>
      <c r="C1347" s="35" t="s">
        <v>1026</v>
      </c>
      <c r="D1347" s="35" t="s">
        <v>1026</v>
      </c>
      <c r="E1347" s="35" t="s">
        <v>522</v>
      </c>
      <c r="F1347" s="27"/>
      <c r="G1347" s="24">
        <f>SUM(G1348)</f>
        <v>35</v>
      </c>
      <c r="H1347" s="24"/>
      <c r="I1347" s="24"/>
    </row>
    <row r="1348" spans="1:9" ht="22.5" customHeight="1">
      <c r="A1348" s="234" t="s">
        <v>1301</v>
      </c>
      <c r="B1348" s="86"/>
      <c r="C1348" s="35" t="s">
        <v>1026</v>
      </c>
      <c r="D1348" s="35" t="s">
        <v>1026</v>
      </c>
      <c r="E1348" s="35" t="s">
        <v>522</v>
      </c>
      <c r="F1348" s="27" t="s">
        <v>1302</v>
      </c>
      <c r="G1348" s="24">
        <v>35</v>
      </c>
      <c r="H1348" s="24"/>
      <c r="I1348" s="24"/>
    </row>
    <row r="1349" spans="1:9" ht="15">
      <c r="A1349" s="222" t="s">
        <v>1318</v>
      </c>
      <c r="B1349" s="21"/>
      <c r="C1349" s="35" t="s">
        <v>1026</v>
      </c>
      <c r="D1349" s="35" t="s">
        <v>389</v>
      </c>
      <c r="E1349" s="35"/>
      <c r="F1349" s="26"/>
      <c r="G1349" s="24">
        <f>SUM(G1350+G1354+G1361+G1380)</f>
        <v>62155.2</v>
      </c>
      <c r="H1349" s="24" t="e">
        <f>SUM(H1350+H1354+H1361+H1380+H1374)</f>
        <v>#REF!</v>
      </c>
      <c r="I1349" s="24" t="e">
        <f t="shared" si="35"/>
        <v>#REF!</v>
      </c>
    </row>
    <row r="1350" spans="1:9" ht="15">
      <c r="A1350" s="233" t="s">
        <v>454</v>
      </c>
      <c r="B1350" s="58"/>
      <c r="C1350" s="35" t="s">
        <v>1026</v>
      </c>
      <c r="D1350" s="35" t="s">
        <v>389</v>
      </c>
      <c r="E1350" s="35" t="s">
        <v>455</v>
      </c>
      <c r="F1350" s="26"/>
      <c r="G1350" s="24">
        <f aca="true" t="shared" si="36" ref="G1350:H1352">SUM(G1351)</f>
        <v>4475.9</v>
      </c>
      <c r="H1350" s="24">
        <f t="shared" si="36"/>
        <v>1869.7</v>
      </c>
      <c r="I1350" s="24">
        <f t="shared" si="35"/>
        <v>41.7726043924127</v>
      </c>
    </row>
    <row r="1351" spans="1:9" ht="15">
      <c r="A1351" s="222" t="s">
        <v>1320</v>
      </c>
      <c r="B1351" s="58"/>
      <c r="C1351" s="35" t="s">
        <v>1026</v>
      </c>
      <c r="D1351" s="35" t="s">
        <v>389</v>
      </c>
      <c r="E1351" s="35" t="s">
        <v>356</v>
      </c>
      <c r="F1351" s="26"/>
      <c r="G1351" s="24">
        <f t="shared" si="36"/>
        <v>4475.9</v>
      </c>
      <c r="H1351" s="24">
        <f t="shared" si="36"/>
        <v>1869.7</v>
      </c>
      <c r="I1351" s="24">
        <f t="shared" si="35"/>
        <v>41.7726043924127</v>
      </c>
    </row>
    <row r="1352" spans="1:9" ht="30.75" customHeight="1">
      <c r="A1352" s="234" t="s">
        <v>343</v>
      </c>
      <c r="B1352" s="58"/>
      <c r="C1352" s="35" t="s">
        <v>1026</v>
      </c>
      <c r="D1352" s="35" t="s">
        <v>389</v>
      </c>
      <c r="E1352" s="35" t="s">
        <v>344</v>
      </c>
      <c r="F1352" s="26"/>
      <c r="G1352" s="24">
        <f t="shared" si="36"/>
        <v>4475.9</v>
      </c>
      <c r="H1352" s="24">
        <f t="shared" si="36"/>
        <v>1869.7</v>
      </c>
      <c r="I1352" s="24">
        <f t="shared" si="35"/>
        <v>41.7726043924127</v>
      </c>
    </row>
    <row r="1353" spans="1:9" ht="15">
      <c r="A1353" s="234" t="s">
        <v>895</v>
      </c>
      <c r="B1353" s="58"/>
      <c r="C1353" s="35" t="s">
        <v>1026</v>
      </c>
      <c r="D1353" s="35" t="s">
        <v>389</v>
      </c>
      <c r="E1353" s="35" t="s">
        <v>344</v>
      </c>
      <c r="F1353" s="26" t="s">
        <v>238</v>
      </c>
      <c r="G1353" s="24">
        <v>4475.9</v>
      </c>
      <c r="H1353" s="24">
        <v>1869.7</v>
      </c>
      <c r="I1353" s="24">
        <f t="shared" si="35"/>
        <v>41.7726043924127</v>
      </c>
    </row>
    <row r="1354" spans="1:9" ht="48" customHeight="1">
      <c r="A1354" s="224" t="s">
        <v>345</v>
      </c>
      <c r="B1354" s="21"/>
      <c r="C1354" s="35" t="s">
        <v>1026</v>
      </c>
      <c r="D1354" s="35" t="s">
        <v>389</v>
      </c>
      <c r="E1354" s="35" t="s">
        <v>346</v>
      </c>
      <c r="F1354" s="26"/>
      <c r="G1354" s="24">
        <f>SUM(G1355)</f>
        <v>34424.7</v>
      </c>
      <c r="H1354" s="24">
        <f>SUM(H1355)</f>
        <v>17823.6</v>
      </c>
      <c r="I1354" s="24">
        <f t="shared" si="35"/>
        <v>51.7756146023059</v>
      </c>
    </row>
    <row r="1355" spans="1:9" ht="33.75" customHeight="1">
      <c r="A1355" s="222" t="s">
        <v>894</v>
      </c>
      <c r="B1355" s="58"/>
      <c r="C1355" s="35" t="s">
        <v>1026</v>
      </c>
      <c r="D1355" s="35" t="s">
        <v>389</v>
      </c>
      <c r="E1355" s="35" t="s">
        <v>347</v>
      </c>
      <c r="F1355" s="26"/>
      <c r="G1355" s="24">
        <f>SUM(G1356+G1357+G1359)</f>
        <v>34424.7</v>
      </c>
      <c r="H1355" s="24">
        <f>SUM(H1356+H1357+H1359)</f>
        <v>17823.6</v>
      </c>
      <c r="I1355" s="24">
        <f t="shared" si="35"/>
        <v>51.7756146023059</v>
      </c>
    </row>
    <row r="1356" spans="1:9" ht="15">
      <c r="A1356" s="234" t="s">
        <v>895</v>
      </c>
      <c r="B1356" s="58"/>
      <c r="C1356" s="35" t="s">
        <v>1026</v>
      </c>
      <c r="D1356" s="35" t="s">
        <v>389</v>
      </c>
      <c r="E1356" s="35" t="s">
        <v>347</v>
      </c>
      <c r="F1356" s="26" t="s">
        <v>238</v>
      </c>
      <c r="G1356" s="24">
        <v>34305.6</v>
      </c>
      <c r="H1356" s="24">
        <v>17823.6</v>
      </c>
      <c r="I1356" s="24">
        <f t="shared" si="35"/>
        <v>51.955365887785085</v>
      </c>
    </row>
    <row r="1357" spans="1:9" ht="15">
      <c r="A1357" s="234" t="s">
        <v>306</v>
      </c>
      <c r="B1357" s="58"/>
      <c r="C1357" s="35" t="s">
        <v>1026</v>
      </c>
      <c r="D1357" s="35" t="s">
        <v>389</v>
      </c>
      <c r="E1357" s="35" t="s">
        <v>348</v>
      </c>
      <c r="F1357" s="26"/>
      <c r="G1357" s="24">
        <f>SUM(G1358)</f>
        <v>119.1</v>
      </c>
      <c r="H1357" s="24">
        <f>SUM(H1358)</f>
        <v>0</v>
      </c>
      <c r="I1357" s="24">
        <f t="shared" si="35"/>
        <v>0</v>
      </c>
    </row>
    <row r="1358" spans="1:9" ht="18" customHeight="1">
      <c r="A1358" s="234" t="s">
        <v>895</v>
      </c>
      <c r="B1358" s="58"/>
      <c r="C1358" s="35" t="s">
        <v>1026</v>
      </c>
      <c r="D1358" s="35" t="s">
        <v>389</v>
      </c>
      <c r="E1358" s="35" t="s">
        <v>348</v>
      </c>
      <c r="F1358" s="26" t="s">
        <v>238</v>
      </c>
      <c r="G1358" s="24">
        <v>119.1</v>
      </c>
      <c r="H1358" s="24"/>
      <c r="I1358" s="24">
        <f t="shared" si="35"/>
        <v>0</v>
      </c>
    </row>
    <row r="1359" spans="1:9" ht="19.5" customHeight="1" hidden="1">
      <c r="A1359" s="222" t="s">
        <v>282</v>
      </c>
      <c r="B1359" s="51"/>
      <c r="C1359" s="35" t="s">
        <v>1026</v>
      </c>
      <c r="D1359" s="35" t="s">
        <v>389</v>
      </c>
      <c r="E1359" s="35" t="s">
        <v>349</v>
      </c>
      <c r="F1359" s="27"/>
      <c r="G1359" s="24">
        <f>SUM(G1360)</f>
        <v>0</v>
      </c>
      <c r="H1359" s="24">
        <f>SUM(H1360)</f>
        <v>0</v>
      </c>
      <c r="I1359" s="24" t="e">
        <f t="shared" si="35"/>
        <v>#DIV/0!</v>
      </c>
    </row>
    <row r="1360" spans="1:9" ht="15.75" hidden="1">
      <c r="A1360" s="234" t="s">
        <v>237</v>
      </c>
      <c r="B1360" s="51"/>
      <c r="C1360" s="35" t="s">
        <v>1026</v>
      </c>
      <c r="D1360" s="35" t="s">
        <v>389</v>
      </c>
      <c r="E1360" s="35" t="s">
        <v>349</v>
      </c>
      <c r="F1360" s="27" t="s">
        <v>238</v>
      </c>
      <c r="G1360" s="24"/>
      <c r="H1360" s="24"/>
      <c r="I1360" s="24" t="e">
        <f t="shared" si="35"/>
        <v>#DIV/0!</v>
      </c>
    </row>
    <row r="1361" spans="1:9" ht="19.5" customHeight="1">
      <c r="A1361" s="222" t="s">
        <v>785</v>
      </c>
      <c r="B1361" s="51"/>
      <c r="C1361" s="35" t="s">
        <v>1026</v>
      </c>
      <c r="D1361" s="35" t="s">
        <v>389</v>
      </c>
      <c r="E1361" s="35" t="s">
        <v>786</v>
      </c>
      <c r="F1361" s="27"/>
      <c r="G1361" s="24">
        <f>SUM(G1364+G1368+G1372+G1366+G1370+G1362)</f>
        <v>149.3</v>
      </c>
      <c r="H1361" s="24">
        <f>SUM(H1364+H1368+H1372+H1366+H1370)+H1362</f>
        <v>3.5</v>
      </c>
      <c r="I1361" s="24">
        <f t="shared" si="35"/>
        <v>2.3442732752846616</v>
      </c>
    </row>
    <row r="1362" spans="1:9" ht="19.5" customHeight="1" hidden="1">
      <c r="A1362" s="222" t="s">
        <v>350</v>
      </c>
      <c r="B1362" s="51"/>
      <c r="C1362" s="35" t="s">
        <v>1026</v>
      </c>
      <c r="D1362" s="35" t="s">
        <v>389</v>
      </c>
      <c r="E1362" s="35" t="s">
        <v>351</v>
      </c>
      <c r="F1362" s="27"/>
      <c r="G1362" s="24">
        <f>SUM(G1363)</f>
        <v>0</v>
      </c>
      <c r="H1362" s="24">
        <f>SUM(H1363)</f>
        <v>3.5</v>
      </c>
      <c r="I1362" s="24"/>
    </row>
    <row r="1363" spans="1:9" ht="19.5" customHeight="1" hidden="1">
      <c r="A1363" s="234" t="s">
        <v>237</v>
      </c>
      <c r="B1363" s="51"/>
      <c r="C1363" s="35" t="s">
        <v>1026</v>
      </c>
      <c r="D1363" s="35" t="s">
        <v>389</v>
      </c>
      <c r="E1363" s="35" t="s">
        <v>351</v>
      </c>
      <c r="F1363" s="27" t="s">
        <v>238</v>
      </c>
      <c r="G1363" s="24"/>
      <c r="H1363" s="24">
        <v>3.5</v>
      </c>
      <c r="I1363" s="24"/>
    </row>
    <row r="1364" spans="1:9" ht="42.75" hidden="1">
      <c r="A1364" s="222" t="s">
        <v>307</v>
      </c>
      <c r="B1364" s="51"/>
      <c r="C1364" s="35" t="s">
        <v>1026</v>
      </c>
      <c r="D1364" s="35" t="s">
        <v>389</v>
      </c>
      <c r="E1364" s="35" t="s">
        <v>308</v>
      </c>
      <c r="F1364" s="27"/>
      <c r="G1364" s="24">
        <f>SUM(G1365)</f>
        <v>0</v>
      </c>
      <c r="H1364" s="24">
        <f>SUM(H1365)</f>
        <v>0</v>
      </c>
      <c r="I1364" s="24" t="e">
        <f t="shared" si="35"/>
        <v>#DIV/0!</v>
      </c>
    </row>
    <row r="1365" spans="1:9" ht="0.75" customHeight="1" hidden="1">
      <c r="A1365" s="222" t="s">
        <v>1188</v>
      </c>
      <c r="B1365" s="51"/>
      <c r="C1365" s="35" t="s">
        <v>1026</v>
      </c>
      <c r="D1365" s="35" t="s">
        <v>389</v>
      </c>
      <c r="E1365" s="35" t="s">
        <v>308</v>
      </c>
      <c r="F1365" s="27" t="s">
        <v>248</v>
      </c>
      <c r="G1365" s="24"/>
      <c r="H1365" s="24"/>
      <c r="I1365" s="24" t="e">
        <f t="shared" si="35"/>
        <v>#DIV/0!</v>
      </c>
    </row>
    <row r="1366" spans="1:9" ht="57" hidden="1">
      <c r="A1366" s="222" t="s">
        <v>352</v>
      </c>
      <c r="B1366" s="51"/>
      <c r="C1366" s="35" t="s">
        <v>1026</v>
      </c>
      <c r="D1366" s="35" t="s">
        <v>389</v>
      </c>
      <c r="E1366" s="35" t="s">
        <v>353</v>
      </c>
      <c r="F1366" s="27"/>
      <c r="G1366" s="24">
        <f>SUM(G1367)</f>
        <v>0</v>
      </c>
      <c r="H1366" s="24">
        <f>SUM(H1367)</f>
        <v>0</v>
      </c>
      <c r="I1366" s="24" t="e">
        <f t="shared" si="35"/>
        <v>#DIV/0!</v>
      </c>
    </row>
    <row r="1367" spans="1:9" ht="28.5" hidden="1">
      <c r="A1367" s="222" t="s">
        <v>485</v>
      </c>
      <c r="B1367" s="51"/>
      <c r="C1367" s="35" t="s">
        <v>1026</v>
      </c>
      <c r="D1367" s="35" t="s">
        <v>389</v>
      </c>
      <c r="E1367" s="35" t="s">
        <v>353</v>
      </c>
      <c r="F1367" s="27" t="s">
        <v>354</v>
      </c>
      <c r="G1367" s="24"/>
      <c r="H1367" s="24"/>
      <c r="I1367" s="24" t="e">
        <f t="shared" si="35"/>
        <v>#DIV/0!</v>
      </c>
    </row>
    <row r="1368" spans="1:9" ht="42.75" hidden="1">
      <c r="A1368" s="222" t="s">
        <v>476</v>
      </c>
      <c r="B1368" s="51"/>
      <c r="C1368" s="35" t="s">
        <v>1026</v>
      </c>
      <c r="D1368" s="35" t="s">
        <v>389</v>
      </c>
      <c r="E1368" s="35" t="s">
        <v>477</v>
      </c>
      <c r="F1368" s="27"/>
      <c r="G1368" s="24">
        <f>SUM(G1369)</f>
        <v>0</v>
      </c>
      <c r="H1368" s="24">
        <f>SUM(H1369)</f>
        <v>0</v>
      </c>
      <c r="I1368" s="24" t="e">
        <f t="shared" si="35"/>
        <v>#DIV/0!</v>
      </c>
    </row>
    <row r="1369" spans="1:9" ht="15.75" hidden="1">
      <c r="A1369" s="234" t="s">
        <v>237</v>
      </c>
      <c r="B1369" s="51"/>
      <c r="C1369" s="35" t="s">
        <v>1026</v>
      </c>
      <c r="D1369" s="35" t="s">
        <v>389</v>
      </c>
      <c r="E1369" s="35" t="s">
        <v>477</v>
      </c>
      <c r="F1369" s="27" t="s">
        <v>238</v>
      </c>
      <c r="G1369" s="24"/>
      <c r="H1369" s="24"/>
      <c r="I1369" s="24" t="e">
        <f t="shared" si="35"/>
        <v>#DIV/0!</v>
      </c>
    </row>
    <row r="1370" spans="1:9" ht="28.5" hidden="1">
      <c r="A1370" s="234" t="s">
        <v>284</v>
      </c>
      <c r="B1370" s="51"/>
      <c r="C1370" s="35" t="s">
        <v>1026</v>
      </c>
      <c r="D1370" s="35" t="s">
        <v>389</v>
      </c>
      <c r="E1370" s="35" t="s">
        <v>355</v>
      </c>
      <c r="F1370" s="27"/>
      <c r="G1370" s="24">
        <f>SUM(G1371)</f>
        <v>0</v>
      </c>
      <c r="H1370" s="24">
        <f>SUM(H1371)</f>
        <v>0</v>
      </c>
      <c r="I1370" s="24" t="e">
        <f t="shared" si="35"/>
        <v>#DIV/0!</v>
      </c>
    </row>
    <row r="1371" spans="1:9" ht="19.5" customHeight="1" hidden="1">
      <c r="A1371" s="222" t="s">
        <v>485</v>
      </c>
      <c r="B1371" s="51"/>
      <c r="C1371" s="35" t="s">
        <v>1026</v>
      </c>
      <c r="D1371" s="35" t="s">
        <v>389</v>
      </c>
      <c r="E1371" s="35" t="s">
        <v>355</v>
      </c>
      <c r="F1371" s="27" t="s">
        <v>354</v>
      </c>
      <c r="G1371" s="24"/>
      <c r="H1371" s="24"/>
      <c r="I1371" s="24" t="e">
        <f t="shared" si="35"/>
        <v>#DIV/0!</v>
      </c>
    </row>
    <row r="1372" spans="1:9" ht="28.5" customHeight="1">
      <c r="A1372" s="222" t="s">
        <v>1066</v>
      </c>
      <c r="B1372" s="51"/>
      <c r="C1372" s="35" t="s">
        <v>1026</v>
      </c>
      <c r="D1372" s="35" t="s">
        <v>389</v>
      </c>
      <c r="E1372" s="35" t="s">
        <v>1067</v>
      </c>
      <c r="F1372" s="27"/>
      <c r="G1372" s="24">
        <f>SUM(G1373,G1378)</f>
        <v>149.3</v>
      </c>
      <c r="H1372" s="24">
        <f>SUM(H1373)</f>
        <v>0</v>
      </c>
      <c r="I1372" s="24">
        <f t="shared" si="35"/>
        <v>0</v>
      </c>
    </row>
    <row r="1373" spans="1:9" ht="18.75" customHeight="1">
      <c r="A1373" s="234" t="s">
        <v>237</v>
      </c>
      <c r="B1373" s="51"/>
      <c r="C1373" s="35" t="s">
        <v>1026</v>
      </c>
      <c r="D1373" s="35" t="s">
        <v>389</v>
      </c>
      <c r="E1373" s="35" t="s">
        <v>1067</v>
      </c>
      <c r="F1373" s="27" t="s">
        <v>238</v>
      </c>
      <c r="G1373" s="24">
        <v>113.4</v>
      </c>
      <c r="H1373" s="24"/>
      <c r="I1373" s="24">
        <f t="shared" si="35"/>
        <v>0</v>
      </c>
    </row>
    <row r="1374" spans="1:9" ht="15.75" hidden="1">
      <c r="A1374" s="222" t="s">
        <v>785</v>
      </c>
      <c r="B1374" s="51"/>
      <c r="C1374" s="35" t="s">
        <v>1026</v>
      </c>
      <c r="D1374" s="35" t="s">
        <v>389</v>
      </c>
      <c r="E1374" s="35" t="s">
        <v>786</v>
      </c>
      <c r="F1374" s="27"/>
      <c r="G1374" s="24"/>
      <c r="H1374" s="24">
        <f>SUM(H1375)</f>
        <v>568.5</v>
      </c>
      <c r="I1374" s="24" t="e">
        <f t="shared" si="35"/>
        <v>#DIV/0!</v>
      </c>
    </row>
    <row r="1375" spans="1:9" ht="28.5" customHeight="1" hidden="1">
      <c r="A1375" s="222" t="s">
        <v>309</v>
      </c>
      <c r="B1375" s="51"/>
      <c r="C1375" s="35" t="s">
        <v>1026</v>
      </c>
      <c r="D1375" s="35" t="s">
        <v>389</v>
      </c>
      <c r="E1375" s="35" t="s">
        <v>1067</v>
      </c>
      <c r="F1375" s="27"/>
      <c r="G1375" s="24">
        <f>SUM(G1377+G1376)</f>
        <v>0</v>
      </c>
      <c r="H1375" s="24">
        <f>SUM(H1377)</f>
        <v>568.5</v>
      </c>
      <c r="I1375" s="24" t="e">
        <f t="shared" si="35"/>
        <v>#DIV/0!</v>
      </c>
    </row>
    <row r="1376" spans="1:9" ht="15.75" customHeight="1" hidden="1">
      <c r="A1376" s="234" t="s">
        <v>384</v>
      </c>
      <c r="B1376" s="51"/>
      <c r="C1376" s="35" t="s">
        <v>1026</v>
      </c>
      <c r="D1376" s="35" t="s">
        <v>389</v>
      </c>
      <c r="E1376" s="35" t="s">
        <v>1067</v>
      </c>
      <c r="F1376" s="27" t="s">
        <v>469</v>
      </c>
      <c r="G1376" s="24"/>
      <c r="H1376" s="24"/>
      <c r="I1376" s="24"/>
    </row>
    <row r="1377" spans="1:9" ht="71.25" customHeight="1" hidden="1">
      <c r="A1377" s="240" t="s">
        <v>1068</v>
      </c>
      <c r="B1377" s="51"/>
      <c r="C1377" s="35" t="s">
        <v>1026</v>
      </c>
      <c r="D1377" s="35" t="s">
        <v>389</v>
      </c>
      <c r="E1377" s="35" t="s">
        <v>1069</v>
      </c>
      <c r="F1377" s="27"/>
      <c r="G1377" s="24">
        <f>SUM(G1379)</f>
        <v>0</v>
      </c>
      <c r="H1377" s="24">
        <f>SUM(H1379)</f>
        <v>568.5</v>
      </c>
      <c r="I1377" s="24" t="e">
        <f t="shared" si="35"/>
        <v>#DIV/0!</v>
      </c>
    </row>
    <row r="1378" spans="1:9" ht="16.5" customHeight="1">
      <c r="A1378" s="228" t="s">
        <v>1126</v>
      </c>
      <c r="B1378" s="51"/>
      <c r="C1378" s="35" t="s">
        <v>1026</v>
      </c>
      <c r="D1378" s="35" t="s">
        <v>389</v>
      </c>
      <c r="E1378" s="35" t="s">
        <v>1067</v>
      </c>
      <c r="F1378" s="27" t="s">
        <v>978</v>
      </c>
      <c r="G1378" s="24">
        <v>35.9</v>
      </c>
      <c r="H1378" s="24"/>
      <c r="I1378" s="24"/>
    </row>
    <row r="1379" spans="1:9" ht="15.75" hidden="1">
      <c r="A1379" s="234" t="s">
        <v>237</v>
      </c>
      <c r="B1379" s="51"/>
      <c r="C1379" s="35" t="s">
        <v>1026</v>
      </c>
      <c r="D1379" s="35" t="s">
        <v>389</v>
      </c>
      <c r="E1379" s="35" t="s">
        <v>1069</v>
      </c>
      <c r="F1379" s="27" t="s">
        <v>238</v>
      </c>
      <c r="G1379" s="24"/>
      <c r="H1379" s="24">
        <v>568.5</v>
      </c>
      <c r="I1379" s="24" t="e">
        <f t="shared" si="35"/>
        <v>#DIV/0!</v>
      </c>
    </row>
    <row r="1380" spans="1:9" ht="21" customHeight="1">
      <c r="A1380" s="234" t="s">
        <v>1046</v>
      </c>
      <c r="B1380" s="86"/>
      <c r="C1380" s="35" t="s">
        <v>1026</v>
      </c>
      <c r="D1380" s="35" t="s">
        <v>389</v>
      </c>
      <c r="E1380" s="35" t="s">
        <v>1047</v>
      </c>
      <c r="F1380" s="27"/>
      <c r="G1380" s="24">
        <f>SUM(G1383,G1386,G1389)</f>
        <v>23105.3</v>
      </c>
      <c r="H1380" s="24" t="e">
        <f>SUM(#REF!)</f>
        <v>#REF!</v>
      </c>
      <c r="I1380" s="24" t="e">
        <f t="shared" si="35"/>
        <v>#REF!</v>
      </c>
    </row>
    <row r="1381" spans="1:9" ht="19.5" customHeight="1" hidden="1">
      <c r="A1381" s="234" t="s">
        <v>382</v>
      </c>
      <c r="B1381" s="86"/>
      <c r="C1381" s="35" t="s">
        <v>385</v>
      </c>
      <c r="D1381" s="35" t="s">
        <v>389</v>
      </c>
      <c r="E1381" s="35" t="s">
        <v>383</v>
      </c>
      <c r="F1381" s="27" t="s">
        <v>1302</v>
      </c>
      <c r="G1381" s="24"/>
      <c r="H1381" s="24"/>
      <c r="I1381" s="24"/>
    </row>
    <row r="1382" spans="1:9" ht="19.5" customHeight="1" hidden="1">
      <c r="A1382" s="257" t="s">
        <v>512</v>
      </c>
      <c r="B1382" s="86"/>
      <c r="C1382" s="35" t="s">
        <v>1026</v>
      </c>
      <c r="D1382" s="35" t="s">
        <v>389</v>
      </c>
      <c r="E1382" s="35" t="s">
        <v>513</v>
      </c>
      <c r="F1382" s="27" t="s">
        <v>1302</v>
      </c>
      <c r="G1382" s="24"/>
      <c r="H1382" s="24">
        <v>179.9</v>
      </c>
      <c r="I1382" s="24" t="e">
        <f t="shared" si="35"/>
        <v>#DIV/0!</v>
      </c>
    </row>
    <row r="1383" spans="1:9" ht="17.25" customHeight="1">
      <c r="A1383" s="257" t="s">
        <v>514</v>
      </c>
      <c r="B1383" s="21"/>
      <c r="C1383" s="35" t="s">
        <v>1026</v>
      </c>
      <c r="D1383" s="35" t="s">
        <v>389</v>
      </c>
      <c r="E1383" s="35" t="s">
        <v>515</v>
      </c>
      <c r="F1383" s="27"/>
      <c r="G1383" s="49">
        <f>SUM(G1384)+G1385</f>
        <v>9484.8</v>
      </c>
      <c r="H1383" s="49">
        <v>14959.3</v>
      </c>
      <c r="I1383" s="24">
        <f t="shared" si="35"/>
        <v>157.71866565452092</v>
      </c>
    </row>
    <row r="1384" spans="1:9" ht="17.25" customHeight="1">
      <c r="A1384" s="234" t="s">
        <v>1301</v>
      </c>
      <c r="B1384" s="21"/>
      <c r="C1384" s="35" t="s">
        <v>1026</v>
      </c>
      <c r="D1384" s="35" t="s">
        <v>389</v>
      </c>
      <c r="E1384" s="35" t="s">
        <v>515</v>
      </c>
      <c r="F1384" s="27" t="s">
        <v>1302</v>
      </c>
      <c r="G1384" s="49">
        <v>3316.7</v>
      </c>
      <c r="H1384" s="49"/>
      <c r="I1384" s="24"/>
    </row>
    <row r="1385" spans="1:9" ht="19.5" customHeight="1">
      <c r="A1385" s="228" t="s">
        <v>1126</v>
      </c>
      <c r="B1385" s="51"/>
      <c r="C1385" s="35" t="s">
        <v>1026</v>
      </c>
      <c r="D1385" s="35" t="s">
        <v>389</v>
      </c>
      <c r="E1385" s="35" t="s">
        <v>515</v>
      </c>
      <c r="F1385" s="27" t="s">
        <v>978</v>
      </c>
      <c r="G1385" s="24">
        <v>6168.1</v>
      </c>
      <c r="H1385" s="49"/>
      <c r="I1385" s="24"/>
    </row>
    <row r="1386" spans="1:9" ht="51.75" customHeight="1">
      <c r="A1386" s="257" t="s">
        <v>516</v>
      </c>
      <c r="B1386" s="21"/>
      <c r="C1386" s="35" t="s">
        <v>1026</v>
      </c>
      <c r="D1386" s="35" t="s">
        <v>389</v>
      </c>
      <c r="E1386" s="35" t="s">
        <v>517</v>
      </c>
      <c r="F1386" s="27"/>
      <c r="G1386" s="49">
        <f>SUM(G1387:G1388)</f>
        <v>10703.5</v>
      </c>
      <c r="H1386" s="49">
        <v>2979.3</v>
      </c>
      <c r="I1386" s="24">
        <f t="shared" si="35"/>
        <v>27.834820385855096</v>
      </c>
    </row>
    <row r="1387" spans="1:9" ht="17.25" customHeight="1">
      <c r="A1387" s="234" t="s">
        <v>1301</v>
      </c>
      <c r="B1387" s="21"/>
      <c r="C1387" s="35" t="s">
        <v>1026</v>
      </c>
      <c r="D1387" s="35" t="s">
        <v>389</v>
      </c>
      <c r="E1387" s="35" t="s">
        <v>517</v>
      </c>
      <c r="F1387" s="27" t="s">
        <v>1302</v>
      </c>
      <c r="G1387" s="49">
        <v>4442.6</v>
      </c>
      <c r="H1387" s="49"/>
      <c r="I1387" s="24"/>
    </row>
    <row r="1388" spans="1:9" ht="21" customHeight="1">
      <c r="A1388" s="228" t="s">
        <v>1126</v>
      </c>
      <c r="B1388" s="51"/>
      <c r="C1388" s="35" t="s">
        <v>1026</v>
      </c>
      <c r="D1388" s="35" t="s">
        <v>389</v>
      </c>
      <c r="E1388" s="35" t="s">
        <v>517</v>
      </c>
      <c r="F1388" s="27" t="s">
        <v>978</v>
      </c>
      <c r="G1388" s="24">
        <v>6260.9</v>
      </c>
      <c r="H1388" s="49"/>
      <c r="I1388" s="24"/>
    </row>
    <row r="1389" spans="1:9" ht="18.75" customHeight="1">
      <c r="A1389" s="257" t="s">
        <v>409</v>
      </c>
      <c r="B1389" s="21"/>
      <c r="C1389" s="35" t="s">
        <v>1026</v>
      </c>
      <c r="D1389" s="35" t="s">
        <v>389</v>
      </c>
      <c r="E1389" s="35" t="s">
        <v>520</v>
      </c>
      <c r="F1389" s="27"/>
      <c r="G1389" s="49">
        <f>SUM(G1390+G1391)</f>
        <v>2917</v>
      </c>
      <c r="H1389" s="49">
        <v>641.1</v>
      </c>
      <c r="I1389" s="24">
        <f t="shared" si="35"/>
        <v>21.97805965032568</v>
      </c>
    </row>
    <row r="1390" spans="1:9" ht="18.75" customHeight="1">
      <c r="A1390" s="234" t="s">
        <v>1301</v>
      </c>
      <c r="B1390" s="21"/>
      <c r="C1390" s="35" t="s">
        <v>1026</v>
      </c>
      <c r="D1390" s="35" t="s">
        <v>389</v>
      </c>
      <c r="E1390" s="35" t="s">
        <v>520</v>
      </c>
      <c r="F1390" s="27" t="s">
        <v>1302</v>
      </c>
      <c r="G1390" s="49">
        <v>1877.2</v>
      </c>
      <c r="H1390" s="49"/>
      <c r="I1390" s="24"/>
    </row>
    <row r="1391" spans="1:9" ht="21.75" customHeight="1">
      <c r="A1391" s="234" t="s">
        <v>1126</v>
      </c>
      <c r="B1391" s="21"/>
      <c r="C1391" s="35" t="s">
        <v>1026</v>
      </c>
      <c r="D1391" s="35" t="s">
        <v>389</v>
      </c>
      <c r="E1391" s="35" t="s">
        <v>520</v>
      </c>
      <c r="F1391" s="27" t="s">
        <v>978</v>
      </c>
      <c r="G1391" s="49">
        <v>1039.8</v>
      </c>
      <c r="H1391" s="49"/>
      <c r="I1391" s="24"/>
    </row>
    <row r="1392" spans="1:9" ht="18" customHeight="1">
      <c r="A1392" s="236" t="s">
        <v>1197</v>
      </c>
      <c r="B1392" s="21"/>
      <c r="C1392" s="72" t="s">
        <v>793</v>
      </c>
      <c r="D1392" s="72" t="s">
        <v>1198</v>
      </c>
      <c r="E1392" s="35"/>
      <c r="F1392" s="27"/>
      <c r="G1392" s="49">
        <f>SUM(G1397)+G1393</f>
        <v>28563</v>
      </c>
      <c r="H1392" s="49">
        <f>SUM(H1397)+H1393</f>
        <v>13626.699999999999</v>
      </c>
      <c r="I1392" s="24">
        <f aca="true" t="shared" si="37" ref="I1392:I1404">SUM(H1392/G1392*100)</f>
        <v>47.707523719497246</v>
      </c>
    </row>
    <row r="1393" spans="1:9" ht="18" customHeight="1">
      <c r="A1393" s="224" t="s">
        <v>820</v>
      </c>
      <c r="B1393" s="21"/>
      <c r="C1393" s="31" t="s">
        <v>793</v>
      </c>
      <c r="D1393" s="72" t="s">
        <v>1013</v>
      </c>
      <c r="E1393" s="72"/>
      <c r="F1393" s="27"/>
      <c r="G1393" s="49">
        <f aca="true" t="shared" si="38" ref="G1393:H1395">SUM(G1394)</f>
        <v>5041.4</v>
      </c>
      <c r="H1393" s="49">
        <f t="shared" si="38"/>
        <v>2256.4</v>
      </c>
      <c r="I1393" s="24">
        <f t="shared" si="37"/>
        <v>44.75740865632563</v>
      </c>
    </row>
    <row r="1394" spans="1:9" ht="18" customHeight="1">
      <c r="A1394" s="257" t="s">
        <v>821</v>
      </c>
      <c r="B1394" s="21"/>
      <c r="C1394" s="31" t="s">
        <v>793</v>
      </c>
      <c r="D1394" s="72" t="s">
        <v>1013</v>
      </c>
      <c r="E1394" s="35" t="s">
        <v>822</v>
      </c>
      <c r="F1394" s="27"/>
      <c r="G1394" s="49">
        <f t="shared" si="38"/>
        <v>5041.4</v>
      </c>
      <c r="H1394" s="49">
        <f t="shared" si="38"/>
        <v>2256.4</v>
      </c>
      <c r="I1394" s="24">
        <f t="shared" si="37"/>
        <v>44.75740865632563</v>
      </c>
    </row>
    <row r="1395" spans="1:9" ht="18" customHeight="1">
      <c r="A1395" s="257" t="s">
        <v>1184</v>
      </c>
      <c r="B1395" s="21"/>
      <c r="C1395" s="31" t="s">
        <v>793</v>
      </c>
      <c r="D1395" s="72" t="s">
        <v>1013</v>
      </c>
      <c r="E1395" s="35" t="s">
        <v>1185</v>
      </c>
      <c r="F1395" s="27"/>
      <c r="G1395" s="49">
        <f t="shared" si="38"/>
        <v>5041.4</v>
      </c>
      <c r="H1395" s="49">
        <f t="shared" si="38"/>
        <v>2256.4</v>
      </c>
      <c r="I1395" s="24">
        <f t="shared" si="37"/>
        <v>44.75740865632563</v>
      </c>
    </row>
    <row r="1396" spans="1:9" ht="18" customHeight="1">
      <c r="A1396" s="257" t="s">
        <v>378</v>
      </c>
      <c r="B1396" s="21"/>
      <c r="C1396" s="31" t="s">
        <v>793</v>
      </c>
      <c r="D1396" s="72" t="s">
        <v>1013</v>
      </c>
      <c r="E1396" s="35" t="s">
        <v>1185</v>
      </c>
      <c r="F1396" s="27" t="s">
        <v>379</v>
      </c>
      <c r="G1396" s="49">
        <v>5041.4</v>
      </c>
      <c r="H1396" s="49">
        <v>2256.4</v>
      </c>
      <c r="I1396" s="24">
        <f t="shared" si="37"/>
        <v>44.75740865632563</v>
      </c>
    </row>
    <row r="1397" spans="1:9" ht="17.25" customHeight="1">
      <c r="A1397" s="224" t="s">
        <v>1129</v>
      </c>
      <c r="B1397" s="21"/>
      <c r="C1397" s="31" t="s">
        <v>793</v>
      </c>
      <c r="D1397" s="72" t="s">
        <v>1037</v>
      </c>
      <c r="E1397" s="72"/>
      <c r="F1397" s="27"/>
      <c r="G1397" s="49">
        <f aca="true" t="shared" si="39" ref="G1397:H1400">SUM(G1398)</f>
        <v>23521.6</v>
      </c>
      <c r="H1397" s="49">
        <f t="shared" si="39"/>
        <v>11370.3</v>
      </c>
      <c r="I1397" s="24">
        <f t="shared" si="37"/>
        <v>48.339823821508745</v>
      </c>
    </row>
    <row r="1398" spans="1:9" ht="15">
      <c r="A1398" s="257" t="s">
        <v>458</v>
      </c>
      <c r="B1398" s="21"/>
      <c r="C1398" s="31" t="s">
        <v>793</v>
      </c>
      <c r="D1398" s="72" t="s">
        <v>1037</v>
      </c>
      <c r="E1398" s="35" t="s">
        <v>459</v>
      </c>
      <c r="F1398" s="27"/>
      <c r="G1398" s="49">
        <f t="shared" si="39"/>
        <v>23521.6</v>
      </c>
      <c r="H1398" s="49">
        <f t="shared" si="39"/>
        <v>11370.3</v>
      </c>
      <c r="I1398" s="24">
        <f t="shared" si="37"/>
        <v>48.339823821508745</v>
      </c>
    </row>
    <row r="1399" spans="1:9" ht="42.75">
      <c r="A1399" s="257" t="s">
        <v>1132</v>
      </c>
      <c r="B1399" s="21"/>
      <c r="C1399" s="31" t="s">
        <v>793</v>
      </c>
      <c r="D1399" s="72" t="s">
        <v>1037</v>
      </c>
      <c r="E1399" s="35" t="s">
        <v>1133</v>
      </c>
      <c r="F1399" s="27"/>
      <c r="G1399" s="49">
        <f t="shared" si="39"/>
        <v>23521.6</v>
      </c>
      <c r="H1399" s="49">
        <f t="shared" si="39"/>
        <v>11370.3</v>
      </c>
      <c r="I1399" s="24">
        <f t="shared" si="37"/>
        <v>48.339823821508745</v>
      </c>
    </row>
    <row r="1400" spans="1:9" ht="57">
      <c r="A1400" s="257" t="s">
        <v>1134</v>
      </c>
      <c r="B1400" s="21"/>
      <c r="C1400" s="31" t="s">
        <v>793</v>
      </c>
      <c r="D1400" s="72" t="s">
        <v>1037</v>
      </c>
      <c r="E1400" s="35" t="s">
        <v>1135</v>
      </c>
      <c r="F1400" s="27"/>
      <c r="G1400" s="49">
        <f t="shared" si="39"/>
        <v>23521.6</v>
      </c>
      <c r="H1400" s="49">
        <f t="shared" si="39"/>
        <v>11370.3</v>
      </c>
      <c r="I1400" s="24">
        <f t="shared" si="37"/>
        <v>48.339823821508745</v>
      </c>
    </row>
    <row r="1401" spans="1:9" ht="15">
      <c r="A1401" s="257" t="s">
        <v>378</v>
      </c>
      <c r="B1401" s="21"/>
      <c r="C1401" s="31" t="s">
        <v>793</v>
      </c>
      <c r="D1401" s="72" t="s">
        <v>1037</v>
      </c>
      <c r="E1401" s="35" t="s">
        <v>1135</v>
      </c>
      <c r="F1401" s="27" t="s">
        <v>379</v>
      </c>
      <c r="G1401" s="49">
        <v>23521.6</v>
      </c>
      <c r="H1401" s="49">
        <v>11370.3</v>
      </c>
      <c r="I1401" s="24">
        <f t="shared" si="37"/>
        <v>48.339823821508745</v>
      </c>
    </row>
    <row r="1402" spans="1:9" ht="15.75">
      <c r="A1402" s="235" t="s">
        <v>405</v>
      </c>
      <c r="B1402" s="82" t="s">
        <v>310</v>
      </c>
      <c r="C1402" s="35"/>
      <c r="D1402" s="35"/>
      <c r="E1402" s="35"/>
      <c r="F1402" s="26"/>
      <c r="G1402" s="141">
        <f>SUM(G1403+G1435)</f>
        <v>104379.8</v>
      </c>
      <c r="H1402" s="141">
        <f>SUM(H1403+H1435)</f>
        <v>200055.59999999998</v>
      </c>
      <c r="I1402" s="40">
        <f t="shared" si="37"/>
        <v>191.66122180728453</v>
      </c>
    </row>
    <row r="1403" spans="1:9" ht="15">
      <c r="A1403" s="222" t="s">
        <v>1025</v>
      </c>
      <c r="B1403" s="21"/>
      <c r="C1403" s="35" t="s">
        <v>1026</v>
      </c>
      <c r="D1403" s="35"/>
      <c r="E1403" s="35"/>
      <c r="F1403" s="26"/>
      <c r="G1403" s="24">
        <f>SUM(G1404)+G1422</f>
        <v>33144.8</v>
      </c>
      <c r="H1403" s="24">
        <f>SUM(H1404)+H1422</f>
        <v>113751.4</v>
      </c>
      <c r="I1403" s="24">
        <f t="shared" si="37"/>
        <v>343.19531268856645</v>
      </c>
    </row>
    <row r="1404" spans="1:9" ht="15.75">
      <c r="A1404" s="222" t="s">
        <v>478</v>
      </c>
      <c r="B1404" s="82"/>
      <c r="C1404" s="35" t="s">
        <v>1026</v>
      </c>
      <c r="D1404" s="35" t="s">
        <v>665</v>
      </c>
      <c r="E1404" s="35"/>
      <c r="F1404" s="26"/>
      <c r="G1404" s="24">
        <f>SUM(G1408+G1419)+G1405</f>
        <v>32827.200000000004</v>
      </c>
      <c r="H1404" s="24">
        <f>SUM(H1408)</f>
        <v>113444</v>
      </c>
      <c r="I1404" s="24">
        <f t="shared" si="37"/>
        <v>345.5792757225715</v>
      </c>
    </row>
    <row r="1405" spans="1:9" ht="28.5">
      <c r="A1405" s="222" t="s">
        <v>1021</v>
      </c>
      <c r="B1405" s="21"/>
      <c r="C1405" s="35" t="s">
        <v>1026</v>
      </c>
      <c r="D1405" s="35" t="s">
        <v>665</v>
      </c>
      <c r="E1405" s="22" t="s">
        <v>1022</v>
      </c>
      <c r="F1405" s="27"/>
      <c r="G1405" s="24">
        <f>SUM(G1406)</f>
        <v>248.4</v>
      </c>
      <c r="H1405" s="24"/>
      <c r="I1405" s="24"/>
    </row>
    <row r="1406" spans="1:9" ht="28.5">
      <c r="A1406" s="239" t="s">
        <v>745</v>
      </c>
      <c r="B1406" s="21"/>
      <c r="C1406" s="35" t="s">
        <v>1026</v>
      </c>
      <c r="D1406" s="35" t="s">
        <v>665</v>
      </c>
      <c r="E1406" s="22" t="s">
        <v>746</v>
      </c>
      <c r="F1406" s="26"/>
      <c r="G1406" s="24">
        <f>SUM(G1407)</f>
        <v>248.4</v>
      </c>
      <c r="H1406" s="24"/>
      <c r="I1406" s="24"/>
    </row>
    <row r="1407" spans="1:9" ht="15">
      <c r="A1407" s="234" t="s">
        <v>1126</v>
      </c>
      <c r="B1407" s="21"/>
      <c r="C1407" s="35" t="s">
        <v>1026</v>
      </c>
      <c r="D1407" s="35" t="s">
        <v>665</v>
      </c>
      <c r="E1407" s="22" t="s">
        <v>746</v>
      </c>
      <c r="F1407" s="88" t="s">
        <v>978</v>
      </c>
      <c r="G1407" s="24">
        <v>248.4</v>
      </c>
      <c r="H1407" s="24"/>
      <c r="I1407" s="24"/>
    </row>
    <row r="1408" spans="1:9" ht="18" customHeight="1">
      <c r="A1408" s="222" t="s">
        <v>432</v>
      </c>
      <c r="B1408" s="21"/>
      <c r="C1408" s="35" t="s">
        <v>1026</v>
      </c>
      <c r="D1408" s="35" t="s">
        <v>665</v>
      </c>
      <c r="E1408" s="35" t="s">
        <v>433</v>
      </c>
      <c r="F1408" s="26"/>
      <c r="G1408" s="24">
        <f>SUM(G1409)</f>
        <v>32471.600000000002</v>
      </c>
      <c r="H1408" s="24">
        <f>SUM(H1409)</f>
        <v>113444</v>
      </c>
      <c r="I1408" s="24">
        <f>SUM(H1408/G1408*100)</f>
        <v>349.3637517091858</v>
      </c>
    </row>
    <row r="1409" spans="1:9" ht="28.5" customHeight="1">
      <c r="A1409" s="222" t="s">
        <v>811</v>
      </c>
      <c r="B1409" s="82"/>
      <c r="C1409" s="35" t="s">
        <v>1026</v>
      </c>
      <c r="D1409" s="35" t="s">
        <v>665</v>
      </c>
      <c r="E1409" s="35" t="s">
        <v>971</v>
      </c>
      <c r="F1409" s="26"/>
      <c r="G1409" s="24">
        <f>SUM(G1410)+G1417+G1412</f>
        <v>32471.600000000002</v>
      </c>
      <c r="H1409" s="24">
        <f>SUM(H1411+H1464+H1462)</f>
        <v>113444</v>
      </c>
      <c r="I1409" s="24">
        <f>SUM(H1409/G1409*100)</f>
        <v>349.3637517091858</v>
      </c>
    </row>
    <row r="1410" spans="1:9" ht="35.25" customHeight="1">
      <c r="A1410" s="222" t="s">
        <v>997</v>
      </c>
      <c r="B1410" s="82"/>
      <c r="C1410" s="35" t="s">
        <v>1026</v>
      </c>
      <c r="D1410" s="35" t="s">
        <v>665</v>
      </c>
      <c r="E1410" s="35" t="s">
        <v>972</v>
      </c>
      <c r="F1410" s="26"/>
      <c r="G1410" s="24">
        <f>SUM(G1411)</f>
        <v>31882.3</v>
      </c>
      <c r="H1410" s="24"/>
      <c r="I1410" s="24"/>
    </row>
    <row r="1411" spans="1:9" ht="48.75" customHeight="1">
      <c r="A1411" s="234" t="s">
        <v>1125</v>
      </c>
      <c r="B1411" s="51"/>
      <c r="C1411" s="35" t="s">
        <v>1026</v>
      </c>
      <c r="D1411" s="35" t="s">
        <v>665</v>
      </c>
      <c r="E1411" s="35" t="s">
        <v>972</v>
      </c>
      <c r="F1411" s="27" t="s">
        <v>897</v>
      </c>
      <c r="G1411" s="24">
        <v>31882.3</v>
      </c>
      <c r="H1411" s="24">
        <v>56722</v>
      </c>
      <c r="I1411" s="24">
        <f aca="true" t="shared" si="40" ref="I1411:I1421">SUM(H1411/G1411*100)</f>
        <v>177.91062752687228</v>
      </c>
    </row>
    <row r="1412" spans="1:9" ht="26.25" customHeight="1">
      <c r="A1412" s="234" t="s">
        <v>1126</v>
      </c>
      <c r="B1412" s="51"/>
      <c r="C1412" s="35" t="s">
        <v>1026</v>
      </c>
      <c r="D1412" s="35" t="s">
        <v>665</v>
      </c>
      <c r="E1412" s="35" t="s">
        <v>1094</v>
      </c>
      <c r="F1412" s="27"/>
      <c r="G1412" s="24">
        <f>SUM(G1413+G1415)</f>
        <v>548.9</v>
      </c>
      <c r="H1412" s="24"/>
      <c r="I1412" s="24"/>
    </row>
    <row r="1413" spans="1:9" ht="34.5" customHeight="1">
      <c r="A1413" s="234" t="s">
        <v>666</v>
      </c>
      <c r="B1413" s="51"/>
      <c r="C1413" s="35" t="s">
        <v>1026</v>
      </c>
      <c r="D1413" s="35" t="s">
        <v>665</v>
      </c>
      <c r="E1413" s="35" t="s">
        <v>667</v>
      </c>
      <c r="F1413" s="27"/>
      <c r="G1413" s="24">
        <f>SUM(G1414)</f>
        <v>498.3</v>
      </c>
      <c r="H1413" s="24"/>
      <c r="I1413" s="24"/>
    </row>
    <row r="1414" spans="1:9" ht="25.5" customHeight="1">
      <c r="A1414" s="234" t="s">
        <v>1126</v>
      </c>
      <c r="B1414" s="51"/>
      <c r="C1414" s="35" t="s">
        <v>1026</v>
      </c>
      <c r="D1414" s="35" t="s">
        <v>665</v>
      </c>
      <c r="E1414" s="35" t="s">
        <v>667</v>
      </c>
      <c r="F1414" s="27" t="s">
        <v>978</v>
      </c>
      <c r="G1414" s="24">
        <v>498.3</v>
      </c>
      <c r="H1414" s="24"/>
      <c r="I1414" s="24"/>
    </row>
    <row r="1415" spans="1:9" ht="34.5" customHeight="1">
      <c r="A1415" s="234" t="s">
        <v>1119</v>
      </c>
      <c r="B1415" s="51"/>
      <c r="C1415" s="35" t="s">
        <v>1026</v>
      </c>
      <c r="D1415" s="35" t="s">
        <v>665</v>
      </c>
      <c r="E1415" s="35" t="s">
        <v>1267</v>
      </c>
      <c r="F1415" s="27"/>
      <c r="G1415" s="24">
        <f>SUM(G1416)</f>
        <v>50.6</v>
      </c>
      <c r="H1415" s="24"/>
      <c r="I1415" s="24"/>
    </row>
    <row r="1416" spans="1:9" ht="34.5" customHeight="1">
      <c r="A1416" s="234" t="s">
        <v>1126</v>
      </c>
      <c r="B1416" s="51"/>
      <c r="C1416" s="35" t="s">
        <v>1026</v>
      </c>
      <c r="D1416" s="35" t="s">
        <v>665</v>
      </c>
      <c r="E1416" s="35" t="s">
        <v>1267</v>
      </c>
      <c r="F1416" s="27" t="s">
        <v>978</v>
      </c>
      <c r="G1416" s="24">
        <v>50.6</v>
      </c>
      <c r="H1416" s="24"/>
      <c r="I1416" s="24"/>
    </row>
    <row r="1417" spans="1:9" ht="42.75">
      <c r="A1417" s="234" t="s">
        <v>906</v>
      </c>
      <c r="B1417" s="51"/>
      <c r="C1417" s="35" t="s">
        <v>1026</v>
      </c>
      <c r="D1417" s="35" t="s">
        <v>665</v>
      </c>
      <c r="E1417" s="35" t="s">
        <v>974</v>
      </c>
      <c r="F1417" s="27"/>
      <c r="G1417" s="24">
        <f>SUM(G1418)</f>
        <v>40.4</v>
      </c>
      <c r="H1417" s="24">
        <f>SUM(H1418)</f>
        <v>1305.1</v>
      </c>
      <c r="I1417" s="24">
        <f t="shared" si="40"/>
        <v>3230.4455445544554</v>
      </c>
    </row>
    <row r="1418" spans="1:9" ht="42.75">
      <c r="A1418" s="234" t="s">
        <v>1125</v>
      </c>
      <c r="B1418" s="51"/>
      <c r="C1418" s="35" t="s">
        <v>1026</v>
      </c>
      <c r="D1418" s="35" t="s">
        <v>665</v>
      </c>
      <c r="E1418" s="35" t="s">
        <v>974</v>
      </c>
      <c r="F1418" s="27" t="s">
        <v>897</v>
      </c>
      <c r="G1418" s="24">
        <v>40.4</v>
      </c>
      <c r="H1418" s="24">
        <v>1305.1</v>
      </c>
      <c r="I1418" s="24">
        <f t="shared" si="40"/>
        <v>3230.4455445544554</v>
      </c>
    </row>
    <row r="1419" spans="1:9" ht="18" customHeight="1">
      <c r="A1419" s="234" t="s">
        <v>1046</v>
      </c>
      <c r="B1419" s="37"/>
      <c r="C1419" s="31" t="s">
        <v>1026</v>
      </c>
      <c r="D1419" s="31" t="s">
        <v>665</v>
      </c>
      <c r="E1419" s="31" t="s">
        <v>1047</v>
      </c>
      <c r="F1419" s="88"/>
      <c r="G1419" s="24">
        <f>SUM(G1420)+G1423</f>
        <v>107.2</v>
      </c>
      <c r="H1419" s="24">
        <f>SUM(H1420)</f>
        <v>307.4</v>
      </c>
      <c r="I1419" s="24">
        <f t="shared" si="40"/>
        <v>286.75373134328356</v>
      </c>
    </row>
    <row r="1420" spans="1:9" ht="45" customHeight="1">
      <c r="A1420" s="236" t="s">
        <v>1244</v>
      </c>
      <c r="B1420" s="37"/>
      <c r="C1420" s="31" t="s">
        <v>1026</v>
      </c>
      <c r="D1420" s="31" t="s">
        <v>665</v>
      </c>
      <c r="E1420" s="31" t="s">
        <v>383</v>
      </c>
      <c r="F1420" s="88"/>
      <c r="G1420" s="24">
        <f>SUM(G1421)</f>
        <v>107.2</v>
      </c>
      <c r="H1420" s="24">
        <f>SUM(H1421:H1425)</f>
        <v>307.4</v>
      </c>
      <c r="I1420" s="24">
        <f t="shared" si="40"/>
        <v>286.75373134328356</v>
      </c>
    </row>
    <row r="1421" spans="1:9" ht="20.25" customHeight="1">
      <c r="A1421" s="234" t="s">
        <v>1080</v>
      </c>
      <c r="B1421" s="37"/>
      <c r="C1421" s="31" t="s">
        <v>1026</v>
      </c>
      <c r="D1421" s="31" t="s">
        <v>665</v>
      </c>
      <c r="E1421" s="31" t="s">
        <v>383</v>
      </c>
      <c r="F1421" s="88" t="s">
        <v>978</v>
      </c>
      <c r="G1421" s="24">
        <v>107.2</v>
      </c>
      <c r="H1421" s="24"/>
      <c r="I1421" s="24">
        <f t="shared" si="40"/>
        <v>0</v>
      </c>
    </row>
    <row r="1422" spans="1:9" ht="18" customHeight="1">
      <c r="A1422" s="222" t="s">
        <v>1027</v>
      </c>
      <c r="B1422" s="28"/>
      <c r="C1422" s="22" t="s">
        <v>1026</v>
      </c>
      <c r="D1422" s="22" t="s">
        <v>1026</v>
      </c>
      <c r="E1422" s="35"/>
      <c r="F1422" s="27"/>
      <c r="G1422" s="24">
        <f>SUM(G1428+G1423+G1426+G1432)</f>
        <v>317.6</v>
      </c>
      <c r="H1422" s="24">
        <f>SUM(H1428+H1423+H1426)</f>
        <v>307.4</v>
      </c>
      <c r="I1422" s="24">
        <f aca="true" t="shared" si="41" ref="I1422:I1514">SUM(H1422/G1422*100)</f>
        <v>96.78841309823676</v>
      </c>
    </row>
    <row r="1423" spans="1:9" ht="19.5" customHeight="1" hidden="1">
      <c r="A1423" s="228" t="s">
        <v>1303</v>
      </c>
      <c r="B1423" s="34"/>
      <c r="C1423" s="35" t="s">
        <v>1026</v>
      </c>
      <c r="D1423" s="35" t="s">
        <v>1026</v>
      </c>
      <c r="E1423" s="35" t="s">
        <v>1304</v>
      </c>
      <c r="F1423" s="26"/>
      <c r="G1423" s="24">
        <f>SUM(G1424)</f>
        <v>0</v>
      </c>
      <c r="H1423" s="24">
        <f>SUM(H1424)</f>
        <v>0</v>
      </c>
      <c r="I1423" s="24" t="e">
        <f t="shared" si="41"/>
        <v>#DIV/0!</v>
      </c>
    </row>
    <row r="1424" spans="1:9" ht="19.5" customHeight="1" hidden="1">
      <c r="A1424" s="228" t="s">
        <v>1305</v>
      </c>
      <c r="B1424" s="35"/>
      <c r="C1424" s="35" t="s">
        <v>1026</v>
      </c>
      <c r="D1424" s="35" t="s">
        <v>1026</v>
      </c>
      <c r="E1424" s="35" t="s">
        <v>1306</v>
      </c>
      <c r="F1424" s="26"/>
      <c r="G1424" s="24">
        <f>SUM(G1425)</f>
        <v>0</v>
      </c>
      <c r="H1424" s="24">
        <f>SUM(H1425)</f>
        <v>0</v>
      </c>
      <c r="I1424" s="24" t="e">
        <f t="shared" si="41"/>
        <v>#DIV/0!</v>
      </c>
    </row>
    <row r="1425" spans="1:9" ht="19.5" customHeight="1" hidden="1">
      <c r="A1425" s="234" t="s">
        <v>237</v>
      </c>
      <c r="B1425" s="34"/>
      <c r="C1425" s="35" t="s">
        <v>1026</v>
      </c>
      <c r="D1425" s="35" t="s">
        <v>1026</v>
      </c>
      <c r="E1425" s="35" t="s">
        <v>1306</v>
      </c>
      <c r="F1425" s="26" t="s">
        <v>238</v>
      </c>
      <c r="G1425" s="24"/>
      <c r="H1425" s="24"/>
      <c r="I1425" s="24" t="e">
        <f t="shared" si="41"/>
        <v>#DIV/0!</v>
      </c>
    </row>
    <row r="1426" spans="1:9" ht="19.5" customHeight="1" hidden="1">
      <c r="A1426" s="234" t="s">
        <v>545</v>
      </c>
      <c r="B1426" s="34"/>
      <c r="C1426" s="35" t="s">
        <v>1026</v>
      </c>
      <c r="D1426" s="35" t="s">
        <v>1026</v>
      </c>
      <c r="E1426" s="35" t="s">
        <v>546</v>
      </c>
      <c r="F1426" s="26"/>
      <c r="G1426" s="24">
        <f>SUM(G1427)</f>
        <v>0</v>
      </c>
      <c r="H1426" s="24">
        <f>SUM(H1427)</f>
        <v>108.1</v>
      </c>
      <c r="I1426" s="24" t="e">
        <f t="shared" si="41"/>
        <v>#DIV/0!</v>
      </c>
    </row>
    <row r="1427" spans="1:9" ht="19.5" customHeight="1" hidden="1">
      <c r="A1427" s="234" t="s">
        <v>1301</v>
      </c>
      <c r="B1427" s="34"/>
      <c r="C1427" s="35" t="s">
        <v>1026</v>
      </c>
      <c r="D1427" s="35" t="s">
        <v>1026</v>
      </c>
      <c r="E1427" s="35" t="s">
        <v>546</v>
      </c>
      <c r="F1427" s="26" t="s">
        <v>1302</v>
      </c>
      <c r="G1427" s="24"/>
      <c r="H1427" s="24">
        <v>108.1</v>
      </c>
      <c r="I1427" s="24" t="e">
        <f t="shared" si="41"/>
        <v>#DIV/0!</v>
      </c>
    </row>
    <row r="1428" spans="1:9" ht="19.5" customHeight="1">
      <c r="A1428" s="224" t="s">
        <v>1311</v>
      </c>
      <c r="B1428" s="28"/>
      <c r="C1428" s="22" t="s">
        <v>1026</v>
      </c>
      <c r="D1428" s="22" t="s">
        <v>1026</v>
      </c>
      <c r="E1428" s="22" t="s">
        <v>1029</v>
      </c>
      <c r="F1428" s="23"/>
      <c r="G1428" s="24">
        <f>SUM(G1429)</f>
        <v>200</v>
      </c>
      <c r="H1428" s="24">
        <f>SUM(H1429)</f>
        <v>199.3</v>
      </c>
      <c r="I1428" s="24">
        <f t="shared" si="41"/>
        <v>99.65</v>
      </c>
    </row>
    <row r="1429" spans="1:9" ht="48.75" customHeight="1">
      <c r="A1429" s="224" t="s">
        <v>994</v>
      </c>
      <c r="B1429" s="28"/>
      <c r="C1429" s="22" t="s">
        <v>1026</v>
      </c>
      <c r="D1429" s="22" t="s">
        <v>1026</v>
      </c>
      <c r="E1429" s="22" t="s">
        <v>995</v>
      </c>
      <c r="F1429" s="23"/>
      <c r="G1429" s="24">
        <f>SUM(G1430)+G1431</f>
        <v>200</v>
      </c>
      <c r="H1429" s="24">
        <f>SUM(H1430)</f>
        <v>199.3</v>
      </c>
      <c r="I1429" s="24">
        <f t="shared" si="41"/>
        <v>99.65</v>
      </c>
    </row>
    <row r="1430" spans="1:9" ht="19.5" customHeight="1">
      <c r="A1430" s="234" t="s">
        <v>237</v>
      </c>
      <c r="B1430" s="28"/>
      <c r="C1430" s="22" t="s">
        <v>1026</v>
      </c>
      <c r="D1430" s="22" t="s">
        <v>1026</v>
      </c>
      <c r="E1430" s="22" t="s">
        <v>995</v>
      </c>
      <c r="F1430" s="23" t="s">
        <v>238</v>
      </c>
      <c r="G1430" s="24">
        <v>115</v>
      </c>
      <c r="H1430" s="24">
        <v>199.3</v>
      </c>
      <c r="I1430" s="24">
        <f t="shared" si="41"/>
        <v>173.30434782608697</v>
      </c>
    </row>
    <row r="1431" spans="1:9" ht="19.5" customHeight="1">
      <c r="A1431" s="234" t="s">
        <v>1080</v>
      </c>
      <c r="B1431" s="28"/>
      <c r="C1431" s="22" t="s">
        <v>1026</v>
      </c>
      <c r="D1431" s="22" t="s">
        <v>1026</v>
      </c>
      <c r="E1431" s="22" t="s">
        <v>995</v>
      </c>
      <c r="F1431" s="23" t="s">
        <v>978</v>
      </c>
      <c r="G1431" s="24">
        <v>85</v>
      </c>
      <c r="H1431" s="24"/>
      <c r="I1431" s="24"/>
    </row>
    <row r="1432" spans="1:9" ht="15">
      <c r="A1432" s="234" t="s">
        <v>1046</v>
      </c>
      <c r="B1432" s="86"/>
      <c r="C1432" s="35" t="s">
        <v>1026</v>
      </c>
      <c r="D1432" s="35" t="s">
        <v>1026</v>
      </c>
      <c r="E1432" s="35" t="s">
        <v>1047</v>
      </c>
      <c r="F1432" s="27"/>
      <c r="G1432" s="24">
        <f>SUM(G1433)</f>
        <v>117.6</v>
      </c>
      <c r="H1432" s="24" t="e">
        <f>SUM(#REF!)</f>
        <v>#REF!</v>
      </c>
      <c r="I1432" s="24" t="e">
        <f>SUM(H1432/G1432*100)</f>
        <v>#REF!</v>
      </c>
    </row>
    <row r="1433" spans="1:9" ht="42.75">
      <c r="A1433" s="212" t="s">
        <v>523</v>
      </c>
      <c r="B1433" s="86"/>
      <c r="C1433" s="35" t="s">
        <v>1026</v>
      </c>
      <c r="D1433" s="35" t="s">
        <v>1026</v>
      </c>
      <c r="E1433" s="35" t="s">
        <v>522</v>
      </c>
      <c r="F1433" s="27"/>
      <c r="G1433" s="24">
        <f>SUM(G1434)</f>
        <v>117.6</v>
      </c>
      <c r="H1433" s="24"/>
      <c r="I1433" s="24"/>
    </row>
    <row r="1434" spans="1:9" ht="22.5" customHeight="1">
      <c r="A1434" s="234" t="s">
        <v>1301</v>
      </c>
      <c r="B1434" s="86"/>
      <c r="C1434" s="35" t="s">
        <v>1026</v>
      </c>
      <c r="D1434" s="35" t="s">
        <v>1026</v>
      </c>
      <c r="E1434" s="35" t="s">
        <v>522</v>
      </c>
      <c r="F1434" s="27" t="s">
        <v>1302</v>
      </c>
      <c r="G1434" s="24">
        <v>117.6</v>
      </c>
      <c r="H1434" s="24"/>
      <c r="I1434" s="24"/>
    </row>
    <row r="1435" spans="1:9" ht="15">
      <c r="A1435" s="222" t="s">
        <v>446</v>
      </c>
      <c r="B1435" s="21"/>
      <c r="C1435" s="35" t="s">
        <v>1039</v>
      </c>
      <c r="D1435" s="35"/>
      <c r="E1435" s="35"/>
      <c r="F1435" s="26"/>
      <c r="G1435" s="24">
        <f>SUM(G1436+G1486)</f>
        <v>71235</v>
      </c>
      <c r="H1435" s="24">
        <f>SUM(H1436+H1486)</f>
        <v>86304.2</v>
      </c>
      <c r="I1435" s="24">
        <f t="shared" si="41"/>
        <v>121.15420790341827</v>
      </c>
    </row>
    <row r="1436" spans="1:9" ht="15">
      <c r="A1436" s="222" t="s">
        <v>521</v>
      </c>
      <c r="B1436" s="21"/>
      <c r="C1436" s="35" t="s">
        <v>1039</v>
      </c>
      <c r="D1436" s="35" t="s">
        <v>663</v>
      </c>
      <c r="E1436" s="35"/>
      <c r="F1436" s="26"/>
      <c r="G1436" s="24">
        <f>SUM(G1470+G1459+G1441+G1478+G1482)+G1437</f>
        <v>57637.100000000006</v>
      </c>
      <c r="H1436" s="24">
        <f>SUM(H1470+H1459+H1441+H1478)</f>
        <v>81670.4</v>
      </c>
      <c r="I1436" s="24">
        <f t="shared" si="41"/>
        <v>141.6976218442635</v>
      </c>
    </row>
    <row r="1437" spans="1:9" ht="28.5">
      <c r="A1437" s="222" t="s">
        <v>1021</v>
      </c>
      <c r="B1437" s="21"/>
      <c r="C1437" s="35" t="s">
        <v>1039</v>
      </c>
      <c r="D1437" s="35" t="s">
        <v>663</v>
      </c>
      <c r="E1437" s="22" t="s">
        <v>1022</v>
      </c>
      <c r="F1437" s="27"/>
      <c r="G1437" s="24">
        <f>SUM(G1438)</f>
        <v>510.5</v>
      </c>
      <c r="H1437" s="24"/>
      <c r="I1437" s="24"/>
    </row>
    <row r="1438" spans="1:9" ht="28.5">
      <c r="A1438" s="239" t="s">
        <v>745</v>
      </c>
      <c r="B1438" s="21"/>
      <c r="C1438" s="35" t="s">
        <v>1039</v>
      </c>
      <c r="D1438" s="35" t="s">
        <v>663</v>
      </c>
      <c r="E1438" s="22" t="s">
        <v>746</v>
      </c>
      <c r="F1438" s="26"/>
      <c r="G1438" s="24">
        <f>SUM(G1439:G1440)</f>
        <v>510.5</v>
      </c>
      <c r="H1438" s="24"/>
      <c r="I1438" s="24"/>
    </row>
    <row r="1439" spans="1:9" ht="15">
      <c r="A1439" s="228" t="s">
        <v>895</v>
      </c>
      <c r="B1439" s="21"/>
      <c r="C1439" s="35" t="s">
        <v>1039</v>
      </c>
      <c r="D1439" s="35" t="s">
        <v>663</v>
      </c>
      <c r="E1439" s="22" t="s">
        <v>746</v>
      </c>
      <c r="F1439" s="88" t="s">
        <v>238</v>
      </c>
      <c r="G1439" s="24">
        <v>267.1</v>
      </c>
      <c r="H1439" s="24"/>
      <c r="I1439" s="24"/>
    </row>
    <row r="1440" spans="1:9" ht="15">
      <c r="A1440" s="222" t="s">
        <v>1126</v>
      </c>
      <c r="B1440" s="21"/>
      <c r="C1440" s="35" t="s">
        <v>1039</v>
      </c>
      <c r="D1440" s="35" t="s">
        <v>663</v>
      </c>
      <c r="E1440" s="22" t="s">
        <v>746</v>
      </c>
      <c r="F1440" s="27" t="s">
        <v>978</v>
      </c>
      <c r="G1440" s="24">
        <v>243.4</v>
      </c>
      <c r="H1440" s="24"/>
      <c r="I1440" s="24"/>
    </row>
    <row r="1441" spans="1:9" ht="23.25" customHeight="1">
      <c r="A1441" s="228" t="s">
        <v>1041</v>
      </c>
      <c r="B1441" s="21"/>
      <c r="C1441" s="35" t="s">
        <v>1039</v>
      </c>
      <c r="D1441" s="35" t="s">
        <v>663</v>
      </c>
      <c r="E1441" s="35" t="s">
        <v>1055</v>
      </c>
      <c r="F1441" s="26"/>
      <c r="G1441" s="24">
        <f>SUM(G1444+G1454)+G1442</f>
        <v>29862.9</v>
      </c>
      <c r="H1441" s="24">
        <f>SUM(H1454)</f>
        <v>14679.5</v>
      </c>
      <c r="I1441" s="24">
        <f t="shared" si="41"/>
        <v>49.1563110079731</v>
      </c>
    </row>
    <row r="1442" spans="1:9" ht="37.5" customHeight="1">
      <c r="A1442" s="234" t="s">
        <v>538</v>
      </c>
      <c r="B1442" s="51"/>
      <c r="C1442" s="35" t="s">
        <v>1039</v>
      </c>
      <c r="D1442" s="35" t="s">
        <v>663</v>
      </c>
      <c r="E1442" s="35" t="s">
        <v>975</v>
      </c>
      <c r="F1442" s="27"/>
      <c r="G1442" s="24">
        <f>SUM(G1443)</f>
        <v>389.5</v>
      </c>
      <c r="H1442" s="24">
        <f>SUM(H1443)</f>
        <v>0</v>
      </c>
      <c r="I1442" s="24">
        <f>SUM(H1442/G1442*100)</f>
        <v>0</v>
      </c>
    </row>
    <row r="1443" spans="1:9" ht="15">
      <c r="A1443" s="234" t="s">
        <v>895</v>
      </c>
      <c r="B1443" s="21"/>
      <c r="C1443" s="35" t="s">
        <v>1039</v>
      </c>
      <c r="D1443" s="35" t="s">
        <v>663</v>
      </c>
      <c r="E1443" s="35" t="s">
        <v>975</v>
      </c>
      <c r="F1443" s="26" t="s">
        <v>238</v>
      </c>
      <c r="G1443" s="24">
        <v>389.5</v>
      </c>
      <c r="H1443" s="24"/>
      <c r="I1443" s="24"/>
    </row>
    <row r="1444" spans="1:9" ht="21" customHeight="1">
      <c r="A1444" s="222" t="s">
        <v>1000</v>
      </c>
      <c r="B1444" s="82"/>
      <c r="C1444" s="35" t="s">
        <v>1039</v>
      </c>
      <c r="D1444" s="35" t="s">
        <v>663</v>
      </c>
      <c r="E1444" s="35" t="s">
        <v>1231</v>
      </c>
      <c r="F1444" s="26"/>
      <c r="G1444" s="24">
        <f>SUM(G1445+G1447)</f>
        <v>17440.4</v>
      </c>
      <c r="H1444" s="24">
        <f>SUM(H1446+H1493+H1491)</f>
        <v>61355.8</v>
      </c>
      <c r="I1444" s="24">
        <f>SUM(H1444/G1444*100)</f>
        <v>351.8027109469966</v>
      </c>
    </row>
    <row r="1445" spans="1:9" ht="32.25" customHeight="1">
      <c r="A1445" s="222" t="s">
        <v>1232</v>
      </c>
      <c r="B1445" s="82"/>
      <c r="C1445" s="35" t="s">
        <v>1039</v>
      </c>
      <c r="D1445" s="35" t="s">
        <v>663</v>
      </c>
      <c r="E1445" s="35" t="s">
        <v>1233</v>
      </c>
      <c r="F1445" s="26"/>
      <c r="G1445" s="24">
        <f>SUM(G1446)</f>
        <v>16302.7</v>
      </c>
      <c r="H1445" s="24"/>
      <c r="I1445" s="24"/>
    </row>
    <row r="1446" spans="1:9" ht="51.75" customHeight="1">
      <c r="A1446" s="234" t="s">
        <v>1125</v>
      </c>
      <c r="B1446" s="51"/>
      <c r="C1446" s="35" t="s">
        <v>1039</v>
      </c>
      <c r="D1446" s="35" t="s">
        <v>663</v>
      </c>
      <c r="E1446" s="35" t="s">
        <v>1233</v>
      </c>
      <c r="F1446" s="27" t="s">
        <v>897</v>
      </c>
      <c r="G1446" s="24">
        <v>16302.7</v>
      </c>
      <c r="H1446" s="24">
        <v>56722</v>
      </c>
      <c r="I1446" s="24">
        <f>SUM(H1446/G1446*100)</f>
        <v>347.9300974685175</v>
      </c>
    </row>
    <row r="1447" spans="1:9" ht="23.25" customHeight="1">
      <c r="A1447" s="222" t="s">
        <v>1126</v>
      </c>
      <c r="B1447" s="21"/>
      <c r="C1447" s="35" t="s">
        <v>1039</v>
      </c>
      <c r="D1447" s="35" t="s">
        <v>663</v>
      </c>
      <c r="E1447" s="22" t="s">
        <v>579</v>
      </c>
      <c r="F1447" s="27"/>
      <c r="G1447" s="24">
        <f>SUM(G1450+G1452)+G1448</f>
        <v>1137.7</v>
      </c>
      <c r="H1447" s="24"/>
      <c r="I1447" s="24"/>
    </row>
    <row r="1448" spans="1:9" ht="35.25" customHeight="1">
      <c r="A1448" s="222" t="s">
        <v>666</v>
      </c>
      <c r="B1448" s="21"/>
      <c r="C1448" s="35" t="s">
        <v>1039</v>
      </c>
      <c r="D1448" s="35" t="s">
        <v>663</v>
      </c>
      <c r="E1448" s="22" t="s">
        <v>580</v>
      </c>
      <c r="F1448" s="27"/>
      <c r="G1448" s="24">
        <f>SUM(G1449)</f>
        <v>667.5</v>
      </c>
      <c r="H1448" s="24"/>
      <c r="I1448" s="24"/>
    </row>
    <row r="1449" spans="1:9" ht="23.25" customHeight="1">
      <c r="A1449" s="222" t="s">
        <v>1126</v>
      </c>
      <c r="B1449" s="21"/>
      <c r="C1449" s="35" t="s">
        <v>1039</v>
      </c>
      <c r="D1449" s="35" t="s">
        <v>663</v>
      </c>
      <c r="E1449" s="22" t="s">
        <v>580</v>
      </c>
      <c r="F1449" s="27" t="s">
        <v>978</v>
      </c>
      <c r="G1449" s="24">
        <v>667.5</v>
      </c>
      <c r="H1449" s="24"/>
      <c r="I1449" s="24"/>
    </row>
    <row r="1450" spans="1:9" ht="32.25" customHeight="1">
      <c r="A1450" s="234" t="s">
        <v>578</v>
      </c>
      <c r="B1450" s="51"/>
      <c r="C1450" s="35" t="s">
        <v>1039</v>
      </c>
      <c r="D1450" s="35" t="s">
        <v>663</v>
      </c>
      <c r="E1450" s="35" t="s">
        <v>577</v>
      </c>
      <c r="F1450" s="27"/>
      <c r="G1450" s="24">
        <f>SUM(G1451)</f>
        <v>160</v>
      </c>
      <c r="H1450" s="24"/>
      <c r="I1450" s="24"/>
    </row>
    <row r="1451" spans="1:9" ht="23.25" customHeight="1">
      <c r="A1451" s="234" t="s">
        <v>1080</v>
      </c>
      <c r="B1451" s="51"/>
      <c r="C1451" s="35" t="s">
        <v>1039</v>
      </c>
      <c r="D1451" s="35" t="s">
        <v>663</v>
      </c>
      <c r="E1451" s="35" t="s">
        <v>577</v>
      </c>
      <c r="F1451" s="27" t="s">
        <v>978</v>
      </c>
      <c r="G1451" s="24">
        <v>160</v>
      </c>
      <c r="H1451" s="24"/>
      <c r="I1451" s="24"/>
    </row>
    <row r="1452" spans="1:9" ht="23.25" customHeight="1">
      <c r="A1452" s="234" t="s">
        <v>1119</v>
      </c>
      <c r="B1452" s="51"/>
      <c r="C1452" s="35" t="s">
        <v>1039</v>
      </c>
      <c r="D1452" s="35" t="s">
        <v>663</v>
      </c>
      <c r="E1452" s="35" t="s">
        <v>1262</v>
      </c>
      <c r="F1452" s="27"/>
      <c r="G1452" s="24">
        <f>SUM(G1453)</f>
        <v>310.2</v>
      </c>
      <c r="H1452" s="24"/>
      <c r="I1452" s="24"/>
    </row>
    <row r="1453" spans="1:9" ht="23.25" customHeight="1">
      <c r="A1453" s="234" t="s">
        <v>1080</v>
      </c>
      <c r="B1453" s="51"/>
      <c r="C1453" s="35" t="s">
        <v>1039</v>
      </c>
      <c r="D1453" s="35" t="s">
        <v>663</v>
      </c>
      <c r="E1453" s="35" t="s">
        <v>1262</v>
      </c>
      <c r="F1453" s="27" t="s">
        <v>978</v>
      </c>
      <c r="G1453" s="24">
        <v>310.2</v>
      </c>
      <c r="H1453" s="24"/>
      <c r="I1453" s="24"/>
    </row>
    <row r="1454" spans="1:9" ht="28.5">
      <c r="A1454" s="222" t="s">
        <v>894</v>
      </c>
      <c r="B1454" s="34"/>
      <c r="C1454" s="35" t="s">
        <v>1039</v>
      </c>
      <c r="D1454" s="35" t="s">
        <v>663</v>
      </c>
      <c r="E1454" s="35" t="s">
        <v>1056</v>
      </c>
      <c r="F1454" s="26"/>
      <c r="G1454" s="24">
        <f>SUM(G1455:G1457)</f>
        <v>12033</v>
      </c>
      <c r="H1454" s="24">
        <f>SUM(H1455:H1457)</f>
        <v>14679.5</v>
      </c>
      <c r="I1454" s="24">
        <f t="shared" si="41"/>
        <v>121.99368403556885</v>
      </c>
    </row>
    <row r="1455" spans="1:9" ht="18.75" customHeight="1">
      <c r="A1455" s="234" t="s">
        <v>895</v>
      </c>
      <c r="B1455" s="34"/>
      <c r="C1455" s="35" t="s">
        <v>1039</v>
      </c>
      <c r="D1455" s="35" t="s">
        <v>663</v>
      </c>
      <c r="E1455" s="35" t="s">
        <v>1056</v>
      </c>
      <c r="F1455" s="26" t="s">
        <v>238</v>
      </c>
      <c r="G1455" s="24">
        <v>12033</v>
      </c>
      <c r="H1455" s="24">
        <v>14679.5</v>
      </c>
      <c r="I1455" s="24">
        <f t="shared" si="41"/>
        <v>121.99368403556885</v>
      </c>
    </row>
    <row r="1456" spans="1:9" ht="19.5" customHeight="1" hidden="1">
      <c r="A1456" s="234" t="s">
        <v>524</v>
      </c>
      <c r="B1456" s="51"/>
      <c r="C1456" s="35" t="s">
        <v>1039</v>
      </c>
      <c r="D1456" s="35" t="s">
        <v>663</v>
      </c>
      <c r="E1456" s="35" t="s">
        <v>1056</v>
      </c>
      <c r="F1456" s="27" t="s">
        <v>525</v>
      </c>
      <c r="G1456" s="24"/>
      <c r="H1456" s="24"/>
      <c r="I1456" s="24" t="e">
        <f t="shared" si="41"/>
        <v>#DIV/0!</v>
      </c>
    </row>
    <row r="1457" spans="1:9" ht="19.5" customHeight="1" hidden="1">
      <c r="A1457" s="222" t="s">
        <v>282</v>
      </c>
      <c r="B1457" s="28"/>
      <c r="C1457" s="35" t="s">
        <v>1039</v>
      </c>
      <c r="D1457" s="35" t="s">
        <v>663</v>
      </c>
      <c r="E1457" s="35" t="s">
        <v>526</v>
      </c>
      <c r="F1457" s="27"/>
      <c r="G1457" s="24">
        <f>SUM(G1458)</f>
        <v>0</v>
      </c>
      <c r="H1457" s="24">
        <f>SUM(H1458)</f>
        <v>0</v>
      </c>
      <c r="I1457" s="24" t="e">
        <f t="shared" si="41"/>
        <v>#DIV/0!</v>
      </c>
    </row>
    <row r="1458" spans="1:9" ht="19.5" customHeight="1" hidden="1">
      <c r="A1458" s="234" t="s">
        <v>237</v>
      </c>
      <c r="B1458" s="51"/>
      <c r="C1458" s="35" t="s">
        <v>1039</v>
      </c>
      <c r="D1458" s="35" t="s">
        <v>663</v>
      </c>
      <c r="E1458" s="35" t="s">
        <v>526</v>
      </c>
      <c r="F1458" s="27" t="s">
        <v>238</v>
      </c>
      <c r="G1458" s="24"/>
      <c r="H1458" s="24"/>
      <c r="I1458" s="24" t="e">
        <f t="shared" si="41"/>
        <v>#DIV/0!</v>
      </c>
    </row>
    <row r="1459" spans="1:9" ht="18" customHeight="1">
      <c r="A1459" s="222" t="s">
        <v>527</v>
      </c>
      <c r="B1459" s="21"/>
      <c r="C1459" s="35" t="s">
        <v>1039</v>
      </c>
      <c r="D1459" s="35" t="s">
        <v>663</v>
      </c>
      <c r="E1459" s="35" t="s">
        <v>528</v>
      </c>
      <c r="F1459" s="26"/>
      <c r="G1459" s="24">
        <f>SUM(G1460)</f>
        <v>3659.7</v>
      </c>
      <c r="H1459" s="24">
        <f>SUM(H1460)</f>
        <v>56722</v>
      </c>
      <c r="I1459" s="24">
        <f t="shared" si="41"/>
        <v>1549.9084624422767</v>
      </c>
    </row>
    <row r="1460" spans="1:9" ht="21.75" customHeight="1">
      <c r="A1460" s="222" t="s">
        <v>1000</v>
      </c>
      <c r="B1460" s="82"/>
      <c r="C1460" s="35" t="s">
        <v>1039</v>
      </c>
      <c r="D1460" s="35" t="s">
        <v>663</v>
      </c>
      <c r="E1460" s="35" t="s">
        <v>976</v>
      </c>
      <c r="F1460" s="26"/>
      <c r="G1460" s="24">
        <f>SUM(G1461)+G1465</f>
        <v>3659.7</v>
      </c>
      <c r="H1460" s="24">
        <f>SUM(H1462+H1504+H1502)</f>
        <v>56722</v>
      </c>
      <c r="I1460" s="24">
        <f>SUM(H1460/G1460*100)</f>
        <v>1549.9084624422767</v>
      </c>
    </row>
    <row r="1461" spans="1:9" ht="34.5" customHeight="1">
      <c r="A1461" s="222" t="s">
        <v>1232</v>
      </c>
      <c r="B1461" s="82"/>
      <c r="C1461" s="35" t="s">
        <v>1039</v>
      </c>
      <c r="D1461" s="35" t="s">
        <v>663</v>
      </c>
      <c r="E1461" s="35" t="s">
        <v>977</v>
      </c>
      <c r="F1461" s="26"/>
      <c r="G1461" s="24">
        <f>SUM(G1462)</f>
        <v>3306</v>
      </c>
      <c r="H1461" s="24"/>
      <c r="I1461" s="24"/>
    </row>
    <row r="1462" spans="1:9" ht="48" customHeight="1">
      <c r="A1462" s="234" t="s">
        <v>1125</v>
      </c>
      <c r="B1462" s="51"/>
      <c r="C1462" s="35" t="s">
        <v>1039</v>
      </c>
      <c r="D1462" s="35" t="s">
        <v>663</v>
      </c>
      <c r="E1462" s="35" t="s">
        <v>977</v>
      </c>
      <c r="F1462" s="27" t="s">
        <v>897</v>
      </c>
      <c r="G1462" s="24">
        <v>3306</v>
      </c>
      <c r="H1462" s="24">
        <v>56722</v>
      </c>
      <c r="I1462" s="24">
        <f>SUM(H1462/G1462*100)</f>
        <v>1715.728977616455</v>
      </c>
    </row>
    <row r="1463" spans="1:9" ht="19.5" customHeight="1" hidden="1">
      <c r="A1463" s="222" t="s">
        <v>282</v>
      </c>
      <c r="B1463" s="28"/>
      <c r="C1463" s="35" t="s">
        <v>1039</v>
      </c>
      <c r="D1463" s="35" t="s">
        <v>663</v>
      </c>
      <c r="E1463" s="35" t="s">
        <v>530</v>
      </c>
      <c r="F1463" s="27"/>
      <c r="G1463" s="24">
        <f>SUM(G1464)</f>
        <v>0</v>
      </c>
      <c r="H1463" s="24">
        <f>SUM(H1464)</f>
        <v>0</v>
      </c>
      <c r="I1463" s="24" t="e">
        <f t="shared" si="41"/>
        <v>#DIV/0!</v>
      </c>
    </row>
    <row r="1464" spans="1:9" ht="17.25" customHeight="1" hidden="1">
      <c r="A1464" s="234" t="s">
        <v>237</v>
      </c>
      <c r="B1464" s="51"/>
      <c r="C1464" s="35" t="s">
        <v>1039</v>
      </c>
      <c r="D1464" s="35" t="s">
        <v>663</v>
      </c>
      <c r="E1464" s="35" t="s">
        <v>530</v>
      </c>
      <c r="F1464" s="27" t="s">
        <v>238</v>
      </c>
      <c r="G1464" s="24"/>
      <c r="H1464" s="24"/>
      <c r="I1464" s="24" t="e">
        <f t="shared" si="41"/>
        <v>#DIV/0!</v>
      </c>
    </row>
    <row r="1465" spans="1:9" ht="17.25" customHeight="1">
      <c r="A1465" s="222" t="s">
        <v>1126</v>
      </c>
      <c r="B1465" s="51"/>
      <c r="C1465" s="35" t="s">
        <v>1039</v>
      </c>
      <c r="D1465" s="35" t="s">
        <v>663</v>
      </c>
      <c r="E1465" s="35" t="s">
        <v>1264</v>
      </c>
      <c r="F1465" s="27"/>
      <c r="G1465" s="24">
        <f>SUM(G1468+G1466)</f>
        <v>353.7</v>
      </c>
      <c r="H1465" s="24"/>
      <c r="I1465" s="24"/>
    </row>
    <row r="1466" spans="1:9" ht="28.5" customHeight="1">
      <c r="A1466" s="222" t="s">
        <v>666</v>
      </c>
      <c r="B1466" s="51"/>
      <c r="C1466" s="35" t="s">
        <v>1039</v>
      </c>
      <c r="D1466" s="35" t="s">
        <v>663</v>
      </c>
      <c r="E1466" s="35" t="s">
        <v>668</v>
      </c>
      <c r="F1466" s="27"/>
      <c r="G1466" s="24">
        <f>SUM(G1467)</f>
        <v>303.7</v>
      </c>
      <c r="H1466" s="24"/>
      <c r="I1466" s="24"/>
    </row>
    <row r="1467" spans="1:9" ht="17.25" customHeight="1">
      <c r="A1467" s="222" t="s">
        <v>1126</v>
      </c>
      <c r="B1467" s="51"/>
      <c r="C1467" s="35" t="s">
        <v>1039</v>
      </c>
      <c r="D1467" s="35" t="s">
        <v>663</v>
      </c>
      <c r="E1467" s="35" t="s">
        <v>668</v>
      </c>
      <c r="F1467" s="27" t="s">
        <v>978</v>
      </c>
      <c r="G1467" s="24">
        <v>303.7</v>
      </c>
      <c r="H1467" s="24"/>
      <c r="I1467" s="24"/>
    </row>
    <row r="1468" spans="1:9" ht="34.5" customHeight="1">
      <c r="A1468" s="234" t="s">
        <v>578</v>
      </c>
      <c r="B1468" s="51"/>
      <c r="C1468" s="35" t="s">
        <v>1039</v>
      </c>
      <c r="D1468" s="35" t="s">
        <v>663</v>
      </c>
      <c r="E1468" s="35" t="s">
        <v>1097</v>
      </c>
      <c r="F1468" s="27"/>
      <c r="G1468" s="24">
        <f>SUM(G1469)</f>
        <v>50</v>
      </c>
      <c r="H1468" s="24"/>
      <c r="I1468" s="24"/>
    </row>
    <row r="1469" spans="1:9" ht="18" customHeight="1">
      <c r="A1469" s="234" t="s">
        <v>1080</v>
      </c>
      <c r="B1469" s="51"/>
      <c r="C1469" s="35" t="s">
        <v>1039</v>
      </c>
      <c r="D1469" s="35" t="s">
        <v>663</v>
      </c>
      <c r="E1469" s="35" t="s">
        <v>1097</v>
      </c>
      <c r="F1469" s="27" t="s">
        <v>978</v>
      </c>
      <c r="G1469" s="24">
        <v>50</v>
      </c>
      <c r="H1469" s="24"/>
      <c r="I1469" s="24"/>
    </row>
    <row r="1470" spans="1:9" ht="15">
      <c r="A1470" s="222" t="s">
        <v>531</v>
      </c>
      <c r="B1470" s="21"/>
      <c r="C1470" s="35" t="s">
        <v>1039</v>
      </c>
      <c r="D1470" s="35" t="s">
        <v>663</v>
      </c>
      <c r="E1470" s="35" t="s">
        <v>532</v>
      </c>
      <c r="F1470" s="26"/>
      <c r="G1470" s="24">
        <f>SUM(G1471)</f>
        <v>23150</v>
      </c>
      <c r="H1470" s="24">
        <f>SUM(H1471)</f>
        <v>10268.9</v>
      </c>
      <c r="I1470" s="24">
        <f t="shared" si="41"/>
        <v>44.35809935205183</v>
      </c>
    </row>
    <row r="1471" spans="1:9" ht="28.5">
      <c r="A1471" s="222" t="s">
        <v>894</v>
      </c>
      <c r="B1471" s="82"/>
      <c r="C1471" s="35" t="s">
        <v>1039</v>
      </c>
      <c r="D1471" s="35" t="s">
        <v>663</v>
      </c>
      <c r="E1471" s="35" t="s">
        <v>533</v>
      </c>
      <c r="F1471" s="26"/>
      <c r="G1471" s="24">
        <f>SUM(G1472+G1475+G1477)</f>
        <v>23150</v>
      </c>
      <c r="H1471" s="24">
        <f>SUM(H1472+H1475+H1477)</f>
        <v>10268.9</v>
      </c>
      <c r="I1471" s="24">
        <f t="shared" si="41"/>
        <v>44.35809935205183</v>
      </c>
    </row>
    <row r="1472" spans="1:9" ht="18.75" customHeight="1">
      <c r="A1472" s="234" t="s">
        <v>895</v>
      </c>
      <c r="B1472" s="51"/>
      <c r="C1472" s="35" t="s">
        <v>1039</v>
      </c>
      <c r="D1472" s="35" t="s">
        <v>663</v>
      </c>
      <c r="E1472" s="35" t="s">
        <v>533</v>
      </c>
      <c r="F1472" s="27" t="s">
        <v>238</v>
      </c>
      <c r="G1472" s="24">
        <v>21081.3</v>
      </c>
      <c r="H1472" s="24">
        <v>8963.8</v>
      </c>
      <c r="I1472" s="24">
        <f t="shared" si="41"/>
        <v>42.52014818820471</v>
      </c>
    </row>
    <row r="1473" spans="1:9" ht="19.5" customHeight="1" hidden="1">
      <c r="A1473" s="234" t="s">
        <v>524</v>
      </c>
      <c r="B1473" s="51"/>
      <c r="C1473" s="35" t="s">
        <v>1039</v>
      </c>
      <c r="D1473" s="35" t="s">
        <v>663</v>
      </c>
      <c r="E1473" s="35" t="s">
        <v>533</v>
      </c>
      <c r="F1473" s="27" t="s">
        <v>525</v>
      </c>
      <c r="G1473" s="24"/>
      <c r="H1473" s="24"/>
      <c r="I1473" s="24" t="e">
        <f t="shared" si="41"/>
        <v>#DIV/0!</v>
      </c>
    </row>
    <row r="1474" spans="1:9" ht="19.5" customHeight="1" hidden="1">
      <c r="A1474" s="222" t="s">
        <v>282</v>
      </c>
      <c r="B1474" s="28"/>
      <c r="C1474" s="35" t="s">
        <v>1039</v>
      </c>
      <c r="D1474" s="35" t="s">
        <v>663</v>
      </c>
      <c r="E1474" s="35" t="s">
        <v>534</v>
      </c>
      <c r="F1474" s="27"/>
      <c r="G1474" s="24">
        <f>SUM(G1475)</f>
        <v>0</v>
      </c>
      <c r="H1474" s="24">
        <f>SUM(H1475)</f>
        <v>0</v>
      </c>
      <c r="I1474" s="24" t="e">
        <f t="shared" si="41"/>
        <v>#DIV/0!</v>
      </c>
    </row>
    <row r="1475" spans="1:9" ht="15.75" hidden="1">
      <c r="A1475" s="234" t="s">
        <v>237</v>
      </c>
      <c r="B1475" s="51"/>
      <c r="C1475" s="35" t="s">
        <v>1039</v>
      </c>
      <c r="D1475" s="35" t="s">
        <v>663</v>
      </c>
      <c r="E1475" s="35" t="s">
        <v>534</v>
      </c>
      <c r="F1475" s="27" t="s">
        <v>238</v>
      </c>
      <c r="G1475" s="24"/>
      <c r="H1475" s="24"/>
      <c r="I1475" s="24" t="e">
        <f t="shared" si="41"/>
        <v>#DIV/0!</v>
      </c>
    </row>
    <row r="1476" spans="1:9" ht="45" customHeight="1">
      <c r="A1476" s="234" t="s">
        <v>906</v>
      </c>
      <c r="B1476" s="51"/>
      <c r="C1476" s="35" t="s">
        <v>1039</v>
      </c>
      <c r="D1476" s="35" t="s">
        <v>663</v>
      </c>
      <c r="E1476" s="35" t="s">
        <v>535</v>
      </c>
      <c r="F1476" s="27"/>
      <c r="G1476" s="24">
        <f>SUM(G1477)</f>
        <v>2068.7</v>
      </c>
      <c r="H1476" s="24">
        <f>SUM(H1477)</f>
        <v>1305.1</v>
      </c>
      <c r="I1476" s="24">
        <f t="shared" si="41"/>
        <v>63.087929617634266</v>
      </c>
    </row>
    <row r="1477" spans="1:9" ht="15.75">
      <c r="A1477" s="234" t="s">
        <v>895</v>
      </c>
      <c r="B1477" s="51"/>
      <c r="C1477" s="35" t="s">
        <v>1039</v>
      </c>
      <c r="D1477" s="35" t="s">
        <v>663</v>
      </c>
      <c r="E1477" s="35" t="s">
        <v>535</v>
      </c>
      <c r="F1477" s="27" t="s">
        <v>238</v>
      </c>
      <c r="G1477" s="24">
        <v>2068.7</v>
      </c>
      <c r="H1477" s="24">
        <v>1305.1</v>
      </c>
      <c r="I1477" s="24">
        <f t="shared" si="41"/>
        <v>63.087929617634266</v>
      </c>
    </row>
    <row r="1478" spans="1:9" ht="19.5" customHeight="1" hidden="1">
      <c r="A1478" s="234" t="s">
        <v>536</v>
      </c>
      <c r="B1478" s="51"/>
      <c r="C1478" s="35" t="s">
        <v>1039</v>
      </c>
      <c r="D1478" s="35" t="s">
        <v>663</v>
      </c>
      <c r="E1478" s="35" t="s">
        <v>537</v>
      </c>
      <c r="F1478" s="27"/>
      <c r="G1478" s="24">
        <f>SUM(G1481+G1479)</f>
        <v>0</v>
      </c>
      <c r="H1478" s="24">
        <f>SUM(H1481+H1479)</f>
        <v>0</v>
      </c>
      <c r="I1478" s="24" t="e">
        <f t="shared" si="41"/>
        <v>#DIV/0!</v>
      </c>
    </row>
    <row r="1479" spans="1:9" ht="15.75" hidden="1">
      <c r="A1479" s="234" t="s">
        <v>237</v>
      </c>
      <c r="B1479" s="51"/>
      <c r="C1479" s="35" t="s">
        <v>1039</v>
      </c>
      <c r="D1479" s="35" t="s">
        <v>663</v>
      </c>
      <c r="E1479" s="35" t="s">
        <v>537</v>
      </c>
      <c r="F1479" s="27" t="s">
        <v>238</v>
      </c>
      <c r="G1479" s="24"/>
      <c r="H1479" s="24"/>
      <c r="I1479" s="24" t="e">
        <f t="shared" si="41"/>
        <v>#DIV/0!</v>
      </c>
    </row>
    <row r="1480" spans="1:9" ht="19.5" customHeight="1" hidden="1">
      <c r="A1480" s="234" t="s">
        <v>538</v>
      </c>
      <c r="B1480" s="51"/>
      <c r="C1480" s="35" t="s">
        <v>1039</v>
      </c>
      <c r="D1480" s="35" t="s">
        <v>663</v>
      </c>
      <c r="E1480" s="35" t="s">
        <v>539</v>
      </c>
      <c r="F1480" s="27"/>
      <c r="G1480" s="24">
        <f>SUM(G1481)</f>
        <v>0</v>
      </c>
      <c r="H1480" s="24">
        <f>SUM(H1481)</f>
        <v>0</v>
      </c>
      <c r="I1480" s="24" t="e">
        <f t="shared" si="41"/>
        <v>#DIV/0!</v>
      </c>
    </row>
    <row r="1481" spans="1:9" ht="15.75" hidden="1">
      <c r="A1481" s="234" t="s">
        <v>237</v>
      </c>
      <c r="B1481" s="51"/>
      <c r="C1481" s="35" t="s">
        <v>1039</v>
      </c>
      <c r="D1481" s="35" t="s">
        <v>663</v>
      </c>
      <c r="E1481" s="35" t="s">
        <v>539</v>
      </c>
      <c r="F1481" s="27" t="s">
        <v>238</v>
      </c>
      <c r="G1481" s="24"/>
      <c r="H1481" s="24"/>
      <c r="I1481" s="24" t="e">
        <f t="shared" si="41"/>
        <v>#DIV/0!</v>
      </c>
    </row>
    <row r="1482" spans="1:9" ht="18" customHeight="1">
      <c r="A1482" s="234" t="s">
        <v>1046</v>
      </c>
      <c r="B1482" s="37"/>
      <c r="C1482" s="31" t="s">
        <v>1039</v>
      </c>
      <c r="D1482" s="31" t="s">
        <v>663</v>
      </c>
      <c r="E1482" s="31" t="s">
        <v>1047</v>
      </c>
      <c r="F1482" s="88"/>
      <c r="G1482" s="24">
        <f>SUM(G1483)</f>
        <v>454</v>
      </c>
      <c r="H1482" s="24">
        <f>SUM(H1483)</f>
        <v>7333.8</v>
      </c>
      <c r="I1482" s="24">
        <f t="shared" si="41"/>
        <v>1615.374449339207</v>
      </c>
    </row>
    <row r="1483" spans="1:9" ht="45" customHeight="1">
      <c r="A1483" s="236" t="s">
        <v>1244</v>
      </c>
      <c r="B1483" s="37"/>
      <c r="C1483" s="31" t="s">
        <v>1039</v>
      </c>
      <c r="D1483" s="31" t="s">
        <v>663</v>
      </c>
      <c r="E1483" s="31" t="s">
        <v>383</v>
      </c>
      <c r="F1483" s="88"/>
      <c r="G1483" s="24">
        <f>SUM(G1484:G1485)</f>
        <v>454</v>
      </c>
      <c r="H1483" s="24">
        <f>SUM(H1485:H1492)</f>
        <v>7333.8</v>
      </c>
      <c r="I1483" s="24">
        <f t="shared" si="41"/>
        <v>1615.374449339207</v>
      </c>
    </row>
    <row r="1484" spans="1:9" ht="21" customHeight="1">
      <c r="A1484" s="234" t="s">
        <v>895</v>
      </c>
      <c r="B1484" s="37"/>
      <c r="C1484" s="31" t="s">
        <v>1039</v>
      </c>
      <c r="D1484" s="31" t="s">
        <v>663</v>
      </c>
      <c r="E1484" s="31" t="s">
        <v>383</v>
      </c>
      <c r="F1484" s="88" t="s">
        <v>238</v>
      </c>
      <c r="G1484" s="24">
        <v>328</v>
      </c>
      <c r="H1484" s="24"/>
      <c r="I1484" s="24"/>
    </row>
    <row r="1485" spans="1:9" ht="20.25" customHeight="1">
      <c r="A1485" s="234" t="s">
        <v>1080</v>
      </c>
      <c r="B1485" s="37"/>
      <c r="C1485" s="31" t="s">
        <v>1039</v>
      </c>
      <c r="D1485" s="31" t="s">
        <v>663</v>
      </c>
      <c r="E1485" s="31" t="s">
        <v>383</v>
      </c>
      <c r="F1485" s="88" t="s">
        <v>978</v>
      </c>
      <c r="G1485" s="24">
        <v>126</v>
      </c>
      <c r="H1485" s="24"/>
      <c r="I1485" s="24">
        <f t="shared" si="41"/>
        <v>0</v>
      </c>
    </row>
    <row r="1486" spans="1:9" ht="15.75">
      <c r="A1486" s="224" t="s">
        <v>1323</v>
      </c>
      <c r="B1486" s="37"/>
      <c r="C1486" s="31" t="s">
        <v>1039</v>
      </c>
      <c r="D1486" s="31" t="s">
        <v>1037</v>
      </c>
      <c r="E1486" s="31"/>
      <c r="F1486" s="88"/>
      <c r="G1486" s="24">
        <f>SUM(G1493+G1496+G1491)+G1487</f>
        <v>13597.9</v>
      </c>
      <c r="H1486" s="24">
        <f>SUM(H1493+H1496+H1491)</f>
        <v>4633.8</v>
      </c>
      <c r="I1486" s="24">
        <f t="shared" si="41"/>
        <v>34.07732076276484</v>
      </c>
    </row>
    <row r="1487" spans="1:9" ht="28.5">
      <c r="A1487" s="222" t="s">
        <v>1021</v>
      </c>
      <c r="B1487" s="21"/>
      <c r="C1487" s="35" t="s">
        <v>1039</v>
      </c>
      <c r="D1487" s="31" t="s">
        <v>1037</v>
      </c>
      <c r="E1487" s="22" t="s">
        <v>1022</v>
      </c>
      <c r="F1487" s="27"/>
      <c r="G1487" s="24">
        <f>SUM(G1488)</f>
        <v>41.4</v>
      </c>
      <c r="H1487" s="24"/>
      <c r="I1487" s="24"/>
    </row>
    <row r="1488" spans="1:9" ht="28.5">
      <c r="A1488" s="239" t="s">
        <v>745</v>
      </c>
      <c r="B1488" s="21"/>
      <c r="C1488" s="35" t="s">
        <v>1039</v>
      </c>
      <c r="D1488" s="31" t="s">
        <v>1037</v>
      </c>
      <c r="E1488" s="22" t="s">
        <v>746</v>
      </c>
      <c r="F1488" s="26"/>
      <c r="G1488" s="24">
        <f>SUM(G1489)</f>
        <v>41.4</v>
      </c>
      <c r="H1488" s="24"/>
      <c r="I1488" s="24"/>
    </row>
    <row r="1489" spans="1:9" ht="15">
      <c r="A1489" s="228" t="s">
        <v>895</v>
      </c>
      <c r="B1489" s="21"/>
      <c r="C1489" s="35" t="s">
        <v>1039</v>
      </c>
      <c r="D1489" s="31" t="s">
        <v>1037</v>
      </c>
      <c r="E1489" s="22" t="s">
        <v>746</v>
      </c>
      <c r="F1489" s="88" t="s">
        <v>238</v>
      </c>
      <c r="G1489" s="24">
        <v>41.4</v>
      </c>
      <c r="H1489" s="24"/>
      <c r="I1489" s="24"/>
    </row>
    <row r="1490" spans="1:9" ht="28.5">
      <c r="A1490" s="228" t="s">
        <v>1041</v>
      </c>
      <c r="B1490" s="37"/>
      <c r="C1490" s="35" t="s">
        <v>1039</v>
      </c>
      <c r="D1490" s="31" t="s">
        <v>1037</v>
      </c>
      <c r="E1490" s="35" t="s">
        <v>1055</v>
      </c>
      <c r="F1490" s="88"/>
      <c r="G1490" s="24">
        <f>SUM(G1491)</f>
        <v>19.4</v>
      </c>
      <c r="H1490" s="24">
        <f>SUM(H1491)</f>
        <v>900</v>
      </c>
      <c r="I1490" s="24">
        <f t="shared" si="41"/>
        <v>4639.175257731959</v>
      </c>
    </row>
    <row r="1491" spans="1:9" ht="28.5">
      <c r="A1491" s="222" t="s">
        <v>724</v>
      </c>
      <c r="B1491" s="37"/>
      <c r="C1491" s="35" t="s">
        <v>1039</v>
      </c>
      <c r="D1491" s="31" t="s">
        <v>1037</v>
      </c>
      <c r="E1491" s="35" t="s">
        <v>725</v>
      </c>
      <c r="F1491" s="88"/>
      <c r="G1491" s="24">
        <f>SUM(G1492)</f>
        <v>19.4</v>
      </c>
      <c r="H1491" s="24">
        <f>SUM(H1492)</f>
        <v>900</v>
      </c>
      <c r="I1491" s="24">
        <f t="shared" si="41"/>
        <v>4639.175257731959</v>
      </c>
    </row>
    <row r="1492" spans="1:9" ht="15.75">
      <c r="A1492" s="234" t="s">
        <v>895</v>
      </c>
      <c r="B1492" s="37"/>
      <c r="C1492" s="35" t="s">
        <v>1039</v>
      </c>
      <c r="D1492" s="31" t="s">
        <v>1037</v>
      </c>
      <c r="E1492" s="35" t="s">
        <v>725</v>
      </c>
      <c r="F1492" s="88" t="s">
        <v>238</v>
      </c>
      <c r="G1492" s="24">
        <v>19.4</v>
      </c>
      <c r="H1492" s="24">
        <v>900</v>
      </c>
      <c r="I1492" s="24">
        <f t="shared" si="41"/>
        <v>4639.175257731959</v>
      </c>
    </row>
    <row r="1493" spans="1:9" ht="53.25" customHeight="1">
      <c r="A1493" s="224" t="s">
        <v>345</v>
      </c>
      <c r="B1493" s="82"/>
      <c r="C1493" s="35" t="s">
        <v>1039</v>
      </c>
      <c r="D1493" s="31" t="s">
        <v>1037</v>
      </c>
      <c r="E1493" s="35" t="s">
        <v>346</v>
      </c>
      <c r="F1493" s="26"/>
      <c r="G1493" s="24">
        <f>SUM(G1494)</f>
        <v>5657.3</v>
      </c>
      <c r="H1493" s="24">
        <f>SUM(H1494)</f>
        <v>3733.8</v>
      </c>
      <c r="I1493" s="24">
        <f t="shared" si="41"/>
        <v>65.99968182701997</v>
      </c>
    </row>
    <row r="1494" spans="1:9" ht="28.5">
      <c r="A1494" s="222" t="s">
        <v>894</v>
      </c>
      <c r="B1494" s="82"/>
      <c r="C1494" s="35" t="s">
        <v>1039</v>
      </c>
      <c r="D1494" s="31" t="s">
        <v>1037</v>
      </c>
      <c r="E1494" s="35" t="s">
        <v>347</v>
      </c>
      <c r="F1494" s="26"/>
      <c r="G1494" s="24">
        <f>SUM(G1495)</f>
        <v>5657.3</v>
      </c>
      <c r="H1494" s="24">
        <f>SUM(H1495)</f>
        <v>3733.8</v>
      </c>
      <c r="I1494" s="24">
        <f t="shared" si="41"/>
        <v>65.99968182701997</v>
      </c>
    </row>
    <row r="1495" spans="1:9" ht="15.75">
      <c r="A1495" s="234" t="s">
        <v>895</v>
      </c>
      <c r="B1495" s="51"/>
      <c r="C1495" s="35" t="s">
        <v>1039</v>
      </c>
      <c r="D1495" s="31" t="s">
        <v>1037</v>
      </c>
      <c r="E1495" s="35" t="s">
        <v>347</v>
      </c>
      <c r="F1495" s="27" t="s">
        <v>238</v>
      </c>
      <c r="G1495" s="24">
        <v>5657.3</v>
      </c>
      <c r="H1495" s="24">
        <v>3733.8</v>
      </c>
      <c r="I1495" s="24">
        <f t="shared" si="41"/>
        <v>65.99968182701997</v>
      </c>
    </row>
    <row r="1496" spans="1:9" ht="15" customHeight="1">
      <c r="A1496" s="234" t="s">
        <v>1046</v>
      </c>
      <c r="B1496" s="37"/>
      <c r="C1496" s="31" t="s">
        <v>1039</v>
      </c>
      <c r="D1496" s="31" t="s">
        <v>1037</v>
      </c>
      <c r="E1496" s="31" t="s">
        <v>1047</v>
      </c>
      <c r="F1496" s="88"/>
      <c r="G1496" s="24">
        <f>SUM(G1499)+G1502+G1497</f>
        <v>7879.8</v>
      </c>
      <c r="H1496" s="24">
        <f>SUM(H1499)</f>
        <v>0</v>
      </c>
      <c r="I1496" s="24">
        <f t="shared" si="41"/>
        <v>0</v>
      </c>
    </row>
    <row r="1497" spans="1:9" ht="42.75" hidden="1">
      <c r="A1497" s="236" t="s">
        <v>1244</v>
      </c>
      <c r="B1497" s="37"/>
      <c r="C1497" s="31" t="s">
        <v>1039</v>
      </c>
      <c r="D1497" s="31" t="s">
        <v>1037</v>
      </c>
      <c r="E1497" s="31" t="s">
        <v>383</v>
      </c>
      <c r="F1497" s="88"/>
      <c r="G1497" s="24">
        <f>SUM(G1498)</f>
        <v>0</v>
      </c>
      <c r="H1497" s="24"/>
      <c r="I1497" s="24"/>
    </row>
    <row r="1498" spans="1:9" ht="15.75" hidden="1">
      <c r="A1498" s="234" t="s">
        <v>895</v>
      </c>
      <c r="B1498" s="37"/>
      <c r="C1498" s="31" t="s">
        <v>1039</v>
      </c>
      <c r="D1498" s="31" t="s">
        <v>1037</v>
      </c>
      <c r="E1498" s="31" t="s">
        <v>383</v>
      </c>
      <c r="F1498" s="88" t="s">
        <v>238</v>
      </c>
      <c r="G1498" s="24"/>
      <c r="H1498" s="24"/>
      <c r="I1498" s="24"/>
    </row>
    <row r="1499" spans="1:9" ht="37.5" customHeight="1">
      <c r="A1499" s="236" t="s">
        <v>311</v>
      </c>
      <c r="B1499" s="37"/>
      <c r="C1499" s="31" t="s">
        <v>1039</v>
      </c>
      <c r="D1499" s="31" t="s">
        <v>1037</v>
      </c>
      <c r="E1499" s="31" t="s">
        <v>411</v>
      </c>
      <c r="F1499" s="88"/>
      <c r="G1499" s="24">
        <f>SUM(G1500:G1501)</f>
        <v>3993.4</v>
      </c>
      <c r="H1499" s="24">
        <f>SUM(H1500:H1504)</f>
        <v>0</v>
      </c>
      <c r="I1499" s="24">
        <f t="shared" si="41"/>
        <v>0</v>
      </c>
    </row>
    <row r="1500" spans="1:9" ht="37.5" customHeight="1">
      <c r="A1500" s="234" t="s">
        <v>1001</v>
      </c>
      <c r="B1500" s="37"/>
      <c r="C1500" s="31" t="s">
        <v>1039</v>
      </c>
      <c r="D1500" s="31" t="s">
        <v>1037</v>
      </c>
      <c r="E1500" s="31" t="s">
        <v>411</v>
      </c>
      <c r="F1500" s="88" t="s">
        <v>410</v>
      </c>
      <c r="G1500" s="24">
        <v>2470</v>
      </c>
      <c r="H1500" s="24"/>
      <c r="I1500" s="24">
        <f t="shared" si="41"/>
        <v>0</v>
      </c>
    </row>
    <row r="1501" spans="1:9" ht="15.75">
      <c r="A1501" s="236" t="s">
        <v>1126</v>
      </c>
      <c r="B1501" s="37"/>
      <c r="C1501" s="31" t="s">
        <v>1039</v>
      </c>
      <c r="D1501" s="31" t="s">
        <v>1037</v>
      </c>
      <c r="E1501" s="31" t="s">
        <v>411</v>
      </c>
      <c r="F1501" s="88" t="s">
        <v>978</v>
      </c>
      <c r="G1501" s="49">
        <v>1523.4</v>
      </c>
      <c r="H1501" s="49"/>
      <c r="I1501" s="24">
        <f t="shared" si="41"/>
        <v>0</v>
      </c>
    </row>
    <row r="1502" spans="1:9" ht="21.75" customHeight="1">
      <c r="A1502" s="236" t="s">
        <v>412</v>
      </c>
      <c r="B1502" s="37"/>
      <c r="C1502" s="31" t="s">
        <v>1039</v>
      </c>
      <c r="D1502" s="31" t="s">
        <v>1037</v>
      </c>
      <c r="E1502" s="31" t="s">
        <v>413</v>
      </c>
      <c r="F1502" s="88"/>
      <c r="G1502" s="49">
        <f>SUM(G1503:G1504)</f>
        <v>3886.4</v>
      </c>
      <c r="H1502" s="49"/>
      <c r="I1502" s="24"/>
    </row>
    <row r="1503" spans="1:9" ht="43.5" customHeight="1">
      <c r="A1503" s="234" t="s">
        <v>1076</v>
      </c>
      <c r="B1503" s="37"/>
      <c r="C1503" s="31" t="s">
        <v>1039</v>
      </c>
      <c r="D1503" s="31" t="s">
        <v>1037</v>
      </c>
      <c r="E1503" s="31" t="s">
        <v>413</v>
      </c>
      <c r="F1503" s="88" t="s">
        <v>410</v>
      </c>
      <c r="G1503" s="24">
        <v>3190.4</v>
      </c>
      <c r="H1503" s="24"/>
      <c r="I1503" s="24">
        <f>SUM(H1503/G1503*100)</f>
        <v>0</v>
      </c>
    </row>
    <row r="1504" spans="1:9" ht="15.75">
      <c r="A1504" s="236" t="s">
        <v>1126</v>
      </c>
      <c r="B1504" s="37"/>
      <c r="C1504" s="31" t="s">
        <v>1039</v>
      </c>
      <c r="D1504" s="31" t="s">
        <v>1037</v>
      </c>
      <c r="E1504" s="31" t="s">
        <v>413</v>
      </c>
      <c r="F1504" s="88" t="s">
        <v>978</v>
      </c>
      <c r="G1504" s="49">
        <v>696</v>
      </c>
      <c r="H1504" s="49"/>
      <c r="I1504" s="24">
        <f>SUM(H1504/G1504*100)</f>
        <v>0</v>
      </c>
    </row>
    <row r="1505" spans="1:9" ht="15" customHeight="1">
      <c r="A1505" s="235" t="s">
        <v>406</v>
      </c>
      <c r="B1505" s="82" t="s">
        <v>312</v>
      </c>
      <c r="C1505" s="35"/>
      <c r="D1505" s="35"/>
      <c r="E1505" s="35"/>
      <c r="F1505" s="26"/>
      <c r="G1505" s="141">
        <f>SUM(G1506+G1514)</f>
        <v>306718.8</v>
      </c>
      <c r="H1505" s="141" t="e">
        <f>SUM(H1506+H1514)</f>
        <v>#REF!</v>
      </c>
      <c r="I1505" s="40" t="e">
        <f t="shared" si="41"/>
        <v>#REF!</v>
      </c>
    </row>
    <row r="1506" spans="1:9" ht="15.75" hidden="1">
      <c r="A1506" s="222" t="s">
        <v>1025</v>
      </c>
      <c r="B1506" s="82"/>
      <c r="C1506" s="35" t="s">
        <v>1026</v>
      </c>
      <c r="D1506" s="35"/>
      <c r="E1506" s="35"/>
      <c r="F1506" s="26"/>
      <c r="G1506" s="24">
        <f>SUM(G1507)+G1511</f>
        <v>0</v>
      </c>
      <c r="H1506" s="24">
        <f>SUM(H1507)+H1511</f>
        <v>0</v>
      </c>
      <c r="I1506" s="24" t="e">
        <f t="shared" si="41"/>
        <v>#DIV/0!</v>
      </c>
    </row>
    <row r="1507" spans="1:9" ht="15" hidden="1">
      <c r="A1507" s="222" t="s">
        <v>1027</v>
      </c>
      <c r="B1507" s="28"/>
      <c r="C1507" s="22" t="s">
        <v>1026</v>
      </c>
      <c r="D1507" s="22" t="s">
        <v>1026</v>
      </c>
      <c r="E1507" s="22"/>
      <c r="F1507" s="23"/>
      <c r="G1507" s="24">
        <f aca="true" t="shared" si="42" ref="G1507:H1509">SUM(G1508)</f>
        <v>0</v>
      </c>
      <c r="H1507" s="24">
        <f t="shared" si="42"/>
        <v>0</v>
      </c>
      <c r="I1507" s="24" t="e">
        <f t="shared" si="41"/>
        <v>#DIV/0!</v>
      </c>
    </row>
    <row r="1508" spans="1:9" ht="15" hidden="1">
      <c r="A1508" s="224" t="s">
        <v>1311</v>
      </c>
      <c r="B1508" s="28"/>
      <c r="C1508" s="22" t="s">
        <v>1026</v>
      </c>
      <c r="D1508" s="22" t="s">
        <v>1026</v>
      </c>
      <c r="E1508" s="22" t="s">
        <v>1029</v>
      </c>
      <c r="F1508" s="23"/>
      <c r="G1508" s="24">
        <f t="shared" si="42"/>
        <v>0</v>
      </c>
      <c r="H1508" s="24">
        <f t="shared" si="42"/>
        <v>0</v>
      </c>
      <c r="I1508" s="24" t="e">
        <f t="shared" si="41"/>
        <v>#DIV/0!</v>
      </c>
    </row>
    <row r="1509" spans="1:9" ht="15" hidden="1">
      <c r="A1509" s="224" t="s">
        <v>1312</v>
      </c>
      <c r="B1509" s="28"/>
      <c r="C1509" s="22" t="s">
        <v>1026</v>
      </c>
      <c r="D1509" s="22" t="s">
        <v>1026</v>
      </c>
      <c r="E1509" s="22" t="s">
        <v>1313</v>
      </c>
      <c r="F1509" s="23"/>
      <c r="G1509" s="24">
        <f t="shared" si="42"/>
        <v>0</v>
      </c>
      <c r="H1509" s="24">
        <f t="shared" si="42"/>
        <v>0</v>
      </c>
      <c r="I1509" s="24" t="e">
        <f t="shared" si="41"/>
        <v>#DIV/0!</v>
      </c>
    </row>
    <row r="1510" spans="1:9" ht="19.5" customHeight="1" hidden="1">
      <c r="A1510" s="234" t="s">
        <v>237</v>
      </c>
      <c r="B1510" s="28"/>
      <c r="C1510" s="22" t="s">
        <v>1026</v>
      </c>
      <c r="D1510" s="22" t="s">
        <v>1026</v>
      </c>
      <c r="E1510" s="22" t="s">
        <v>1313</v>
      </c>
      <c r="F1510" s="23" t="s">
        <v>238</v>
      </c>
      <c r="G1510" s="24"/>
      <c r="H1510" s="24"/>
      <c r="I1510" s="24" t="e">
        <f t="shared" si="41"/>
        <v>#DIV/0!</v>
      </c>
    </row>
    <row r="1511" spans="1:9" ht="19.5" customHeight="1" hidden="1">
      <c r="A1511" s="234" t="s">
        <v>1318</v>
      </c>
      <c r="B1511" s="28"/>
      <c r="C1511" s="22" t="s">
        <v>1026</v>
      </c>
      <c r="D1511" s="22" t="s">
        <v>389</v>
      </c>
      <c r="E1511" s="22"/>
      <c r="F1511" s="23"/>
      <c r="G1511" s="24">
        <f>SUM(G1512)</f>
        <v>0</v>
      </c>
      <c r="H1511" s="24">
        <f>SUM(H1512)</f>
        <v>0</v>
      </c>
      <c r="I1511" s="24" t="e">
        <f t="shared" si="41"/>
        <v>#DIV/0!</v>
      </c>
    </row>
    <row r="1512" spans="1:9" ht="19.5" customHeight="1" hidden="1">
      <c r="A1512" s="234" t="s">
        <v>1046</v>
      </c>
      <c r="B1512" s="28"/>
      <c r="C1512" s="22" t="s">
        <v>1026</v>
      </c>
      <c r="D1512" s="22" t="s">
        <v>389</v>
      </c>
      <c r="E1512" s="22" t="s">
        <v>1047</v>
      </c>
      <c r="F1512" s="23"/>
      <c r="G1512" s="24">
        <f>SUM(G1513)</f>
        <v>0</v>
      </c>
      <c r="H1512" s="24">
        <f>SUM(H1513)</f>
        <v>0</v>
      </c>
      <c r="I1512" s="24" t="e">
        <f t="shared" si="41"/>
        <v>#DIV/0!</v>
      </c>
    </row>
    <row r="1513" spans="1:9" ht="19.5" customHeight="1" hidden="1">
      <c r="A1513" s="222" t="s">
        <v>414</v>
      </c>
      <c r="B1513" s="28"/>
      <c r="C1513" s="22" t="s">
        <v>1026</v>
      </c>
      <c r="D1513" s="22" t="s">
        <v>389</v>
      </c>
      <c r="E1513" s="22" t="s">
        <v>1047</v>
      </c>
      <c r="F1513" s="23" t="s">
        <v>1173</v>
      </c>
      <c r="G1513" s="24"/>
      <c r="H1513" s="24"/>
      <c r="I1513" s="24" t="e">
        <f t="shared" si="41"/>
        <v>#DIV/0!</v>
      </c>
    </row>
    <row r="1514" spans="1:11" ht="15">
      <c r="A1514" s="222" t="s">
        <v>444</v>
      </c>
      <c r="B1514" s="21"/>
      <c r="C1514" s="35" t="s">
        <v>389</v>
      </c>
      <c r="D1514" s="35"/>
      <c r="E1514" s="35"/>
      <c r="F1514" s="26"/>
      <c r="G1514" s="24">
        <f>SUM(G1515+G1535+G1584+G1596+G1579)</f>
        <v>306718.8</v>
      </c>
      <c r="H1514" s="24" t="e">
        <f>SUM(H1515+H1535+H1584+H1596+H1579)</f>
        <v>#REF!</v>
      </c>
      <c r="I1514" s="24" t="e">
        <f t="shared" si="41"/>
        <v>#REF!</v>
      </c>
      <c r="K1514" s="208"/>
    </row>
    <row r="1515" spans="1:9" ht="13.5" customHeight="1">
      <c r="A1515" s="222" t="s">
        <v>1174</v>
      </c>
      <c r="B1515" s="21"/>
      <c r="C1515" s="35" t="s">
        <v>389</v>
      </c>
      <c r="D1515" s="35" t="s">
        <v>663</v>
      </c>
      <c r="E1515" s="35"/>
      <c r="F1515" s="26"/>
      <c r="G1515" s="24">
        <f>SUM(G1516+G1519)</f>
        <v>16086.000000000002</v>
      </c>
      <c r="H1515" s="24">
        <f>SUM(H1516+H1519)</f>
        <v>46235.5</v>
      </c>
      <c r="I1515" s="24">
        <f aca="true" t="shared" si="43" ref="I1515:I1611">SUM(H1515/G1515*100)</f>
        <v>287.42695511625016</v>
      </c>
    </row>
    <row r="1516" spans="1:9" ht="29.25" customHeight="1">
      <c r="A1516" s="222" t="s">
        <v>1021</v>
      </c>
      <c r="B1516" s="21"/>
      <c r="C1516" s="35" t="s">
        <v>389</v>
      </c>
      <c r="D1516" s="35" t="s">
        <v>663</v>
      </c>
      <c r="E1516" s="22" t="s">
        <v>1022</v>
      </c>
      <c r="F1516" s="27"/>
      <c r="G1516" s="24">
        <f>SUM(G1517)</f>
        <v>265.1</v>
      </c>
      <c r="H1516" s="24">
        <f>SUM(H1517)</f>
        <v>146.8</v>
      </c>
      <c r="I1516" s="24">
        <f t="shared" si="43"/>
        <v>55.37533006412675</v>
      </c>
    </row>
    <row r="1517" spans="1:9" ht="32.25" customHeight="1">
      <c r="A1517" s="239" t="s">
        <v>745</v>
      </c>
      <c r="B1517" s="21"/>
      <c r="C1517" s="35" t="s">
        <v>389</v>
      </c>
      <c r="D1517" s="35" t="s">
        <v>663</v>
      </c>
      <c r="E1517" s="22" t="s">
        <v>746</v>
      </c>
      <c r="F1517" s="26"/>
      <c r="G1517" s="24">
        <f>SUM(G1518)</f>
        <v>265.1</v>
      </c>
      <c r="H1517" s="24">
        <f>SUM(H1518)</f>
        <v>146.8</v>
      </c>
      <c r="I1517" s="24">
        <f t="shared" si="43"/>
        <v>55.37533006412675</v>
      </c>
    </row>
    <row r="1518" spans="1:9" ht="19.5" customHeight="1">
      <c r="A1518" s="234" t="s">
        <v>1080</v>
      </c>
      <c r="B1518" s="21"/>
      <c r="C1518" s="35" t="s">
        <v>389</v>
      </c>
      <c r="D1518" s="35" t="s">
        <v>663</v>
      </c>
      <c r="E1518" s="22" t="s">
        <v>746</v>
      </c>
      <c r="F1518" s="88" t="s">
        <v>978</v>
      </c>
      <c r="G1518" s="24">
        <v>265.1</v>
      </c>
      <c r="H1518" s="24">
        <v>146.8</v>
      </c>
      <c r="I1518" s="24">
        <f t="shared" si="43"/>
        <v>55.37533006412675</v>
      </c>
    </row>
    <row r="1519" spans="1:9" ht="15">
      <c r="A1519" s="222" t="s">
        <v>1212</v>
      </c>
      <c r="B1519" s="21"/>
      <c r="C1519" s="35" t="s">
        <v>389</v>
      </c>
      <c r="D1519" s="35" t="s">
        <v>663</v>
      </c>
      <c r="E1519" s="35" t="s">
        <v>1178</v>
      </c>
      <c r="F1519" s="26"/>
      <c r="G1519" s="24">
        <f>SUM(G1520)</f>
        <v>15820.900000000001</v>
      </c>
      <c r="H1519" s="24">
        <f>SUM(H1520)</f>
        <v>46088.7</v>
      </c>
      <c r="I1519" s="24">
        <f t="shared" si="43"/>
        <v>291.31528547680597</v>
      </c>
    </row>
    <row r="1520" spans="1:9" ht="15.75">
      <c r="A1520" s="222" t="s">
        <v>1000</v>
      </c>
      <c r="B1520" s="82"/>
      <c r="C1520" s="35" t="s">
        <v>389</v>
      </c>
      <c r="D1520" s="35" t="s">
        <v>663</v>
      </c>
      <c r="E1520" s="35" t="s">
        <v>979</v>
      </c>
      <c r="F1520" s="26"/>
      <c r="G1520" s="24">
        <f>SUM(G1531)+G1521</f>
        <v>15820.900000000001</v>
      </c>
      <c r="H1520" s="24">
        <f>SUM(H1530:H1533)</f>
        <v>46088.7</v>
      </c>
      <c r="I1520" s="24">
        <f t="shared" si="43"/>
        <v>291.31528547680597</v>
      </c>
    </row>
    <row r="1521" spans="1:9" ht="15" customHeight="1">
      <c r="A1521" s="234" t="s">
        <v>1126</v>
      </c>
      <c r="B1521" s="82"/>
      <c r="C1521" s="35" t="s">
        <v>389</v>
      </c>
      <c r="D1521" s="35" t="s">
        <v>663</v>
      </c>
      <c r="E1521" s="35" t="s">
        <v>1078</v>
      </c>
      <c r="F1521" s="26"/>
      <c r="G1521" s="24">
        <f>SUM(G1526+G1528)+G1522+G1524</f>
        <v>6239.8</v>
      </c>
      <c r="H1521" s="24"/>
      <c r="I1521" s="24"/>
    </row>
    <row r="1522" spans="1:9" ht="33" customHeight="1">
      <c r="A1522" s="234" t="s">
        <v>729</v>
      </c>
      <c r="B1522" s="82"/>
      <c r="C1522" s="35" t="s">
        <v>389</v>
      </c>
      <c r="D1522" s="35" t="s">
        <v>663</v>
      </c>
      <c r="E1522" s="35" t="s">
        <v>730</v>
      </c>
      <c r="F1522" s="26"/>
      <c r="G1522" s="24">
        <f>SUM(G1523)</f>
        <v>3136.3</v>
      </c>
      <c r="H1522" s="24"/>
      <c r="I1522" s="24"/>
    </row>
    <row r="1523" spans="1:9" ht="15" customHeight="1">
      <c r="A1523" s="234" t="s">
        <v>1080</v>
      </c>
      <c r="B1523" s="82"/>
      <c r="C1523" s="35" t="s">
        <v>389</v>
      </c>
      <c r="D1523" s="35" t="s">
        <v>663</v>
      </c>
      <c r="E1523" s="35" t="s">
        <v>730</v>
      </c>
      <c r="F1523" s="26" t="s">
        <v>978</v>
      </c>
      <c r="G1523" s="24">
        <v>3136.3</v>
      </c>
      <c r="H1523" s="24"/>
      <c r="I1523" s="24"/>
    </row>
    <row r="1524" spans="1:9" ht="15" customHeight="1">
      <c r="A1524" s="234" t="s">
        <v>1081</v>
      </c>
      <c r="B1524" s="82"/>
      <c r="C1524" s="35" t="s">
        <v>389</v>
      </c>
      <c r="D1524" s="35" t="s">
        <v>663</v>
      </c>
      <c r="E1524" s="35" t="s">
        <v>747</v>
      </c>
      <c r="F1524" s="26"/>
      <c r="G1524" s="24">
        <f>SUM(G1525)</f>
        <v>158.2</v>
      </c>
      <c r="H1524" s="24"/>
      <c r="I1524" s="24"/>
    </row>
    <row r="1525" spans="1:9" ht="15" customHeight="1">
      <c r="A1525" s="234" t="s">
        <v>1080</v>
      </c>
      <c r="B1525" s="82"/>
      <c r="C1525" s="35" t="s">
        <v>389</v>
      </c>
      <c r="D1525" s="35" t="s">
        <v>663</v>
      </c>
      <c r="E1525" s="35" t="s">
        <v>747</v>
      </c>
      <c r="F1525" s="26" t="s">
        <v>978</v>
      </c>
      <c r="G1525" s="24">
        <v>158.2</v>
      </c>
      <c r="H1525" s="24"/>
      <c r="I1525" s="24"/>
    </row>
    <row r="1526" spans="1:9" ht="28.5">
      <c r="A1526" s="234" t="s">
        <v>578</v>
      </c>
      <c r="B1526" s="82"/>
      <c r="C1526" s="35" t="s">
        <v>389</v>
      </c>
      <c r="D1526" s="35" t="s">
        <v>663</v>
      </c>
      <c r="E1526" s="35" t="s">
        <v>1079</v>
      </c>
      <c r="F1526" s="26"/>
      <c r="G1526" s="24">
        <f>SUM(G1527)</f>
        <v>85</v>
      </c>
      <c r="H1526" s="24"/>
      <c r="I1526" s="24"/>
    </row>
    <row r="1527" spans="1:9" ht="15.75">
      <c r="A1527" s="234" t="s">
        <v>1080</v>
      </c>
      <c r="B1527" s="82"/>
      <c r="C1527" s="35" t="s">
        <v>389</v>
      </c>
      <c r="D1527" s="35" t="s">
        <v>663</v>
      </c>
      <c r="E1527" s="35" t="s">
        <v>1079</v>
      </c>
      <c r="F1527" s="26" t="s">
        <v>978</v>
      </c>
      <c r="G1527" s="24">
        <v>85</v>
      </c>
      <c r="H1527" s="24"/>
      <c r="I1527" s="24"/>
    </row>
    <row r="1528" spans="1:9" ht="15.75">
      <c r="A1528" s="222" t="s">
        <v>1261</v>
      </c>
      <c r="B1528" s="82"/>
      <c r="C1528" s="35" t="s">
        <v>389</v>
      </c>
      <c r="D1528" s="35" t="s">
        <v>663</v>
      </c>
      <c r="E1528" s="35" t="s">
        <v>1265</v>
      </c>
      <c r="F1528" s="26"/>
      <c r="G1528" s="24">
        <f>SUM(G1529)</f>
        <v>2860.3</v>
      </c>
      <c r="H1528" s="24"/>
      <c r="I1528" s="24"/>
    </row>
    <row r="1529" spans="1:9" ht="15.75">
      <c r="A1529" s="222" t="s">
        <v>1126</v>
      </c>
      <c r="B1529" s="82"/>
      <c r="C1529" s="35" t="s">
        <v>389</v>
      </c>
      <c r="D1529" s="35" t="s">
        <v>663</v>
      </c>
      <c r="E1529" s="35" t="s">
        <v>1265</v>
      </c>
      <c r="F1529" s="26" t="s">
        <v>978</v>
      </c>
      <c r="G1529" s="24">
        <v>2860.3</v>
      </c>
      <c r="H1529" s="24"/>
      <c r="I1529" s="24"/>
    </row>
    <row r="1530" spans="1:9" ht="28.5">
      <c r="A1530" s="222" t="s">
        <v>398</v>
      </c>
      <c r="B1530" s="82"/>
      <c r="C1530" s="35" t="s">
        <v>389</v>
      </c>
      <c r="D1530" s="35" t="s">
        <v>663</v>
      </c>
      <c r="E1530" s="35" t="s">
        <v>397</v>
      </c>
      <c r="F1530" s="26"/>
      <c r="G1530" s="24">
        <f>SUM(G1531)</f>
        <v>9581.1</v>
      </c>
      <c r="H1530" s="24">
        <v>46088.7</v>
      </c>
      <c r="I1530" s="24">
        <f t="shared" si="43"/>
        <v>481.0376679086952</v>
      </c>
    </row>
    <row r="1531" spans="1:9" ht="42" customHeight="1">
      <c r="A1531" s="234" t="s">
        <v>813</v>
      </c>
      <c r="B1531" s="51"/>
      <c r="C1531" s="35" t="s">
        <v>389</v>
      </c>
      <c r="D1531" s="35" t="s">
        <v>663</v>
      </c>
      <c r="E1531" s="35" t="s">
        <v>397</v>
      </c>
      <c r="F1531" s="27" t="s">
        <v>1300</v>
      </c>
      <c r="G1531" s="24">
        <v>9581.1</v>
      </c>
      <c r="H1531" s="24"/>
      <c r="I1531" s="24">
        <f t="shared" si="43"/>
        <v>0</v>
      </c>
    </row>
    <row r="1532" spans="1:9" ht="19.5" customHeight="1" hidden="1">
      <c r="A1532" s="234" t="s">
        <v>482</v>
      </c>
      <c r="B1532" s="21"/>
      <c r="C1532" s="35" t="s">
        <v>389</v>
      </c>
      <c r="D1532" s="35" t="s">
        <v>663</v>
      </c>
      <c r="E1532" s="35" t="s">
        <v>1179</v>
      </c>
      <c r="F1532" s="26" t="s">
        <v>483</v>
      </c>
      <c r="G1532" s="24"/>
      <c r="H1532" s="24"/>
      <c r="I1532" s="24" t="e">
        <f t="shared" si="43"/>
        <v>#DIV/0!</v>
      </c>
    </row>
    <row r="1533" spans="1:9" ht="19.5" customHeight="1" hidden="1">
      <c r="A1533" s="222" t="s">
        <v>282</v>
      </c>
      <c r="B1533" s="21"/>
      <c r="C1533" s="35" t="s">
        <v>1180</v>
      </c>
      <c r="D1533" s="35" t="s">
        <v>663</v>
      </c>
      <c r="E1533" s="35" t="s">
        <v>1337</v>
      </c>
      <c r="F1533" s="26"/>
      <c r="G1533" s="24">
        <f>SUM(G1534)</f>
        <v>0</v>
      </c>
      <c r="H1533" s="24">
        <f>SUM(H1534)</f>
        <v>0</v>
      </c>
      <c r="I1533" s="24" t="e">
        <f t="shared" si="43"/>
        <v>#DIV/0!</v>
      </c>
    </row>
    <row r="1534" spans="1:9" ht="12" customHeight="1" hidden="1">
      <c r="A1534" s="234" t="s">
        <v>237</v>
      </c>
      <c r="B1534" s="21"/>
      <c r="C1534" s="35" t="s">
        <v>1180</v>
      </c>
      <c r="D1534" s="35" t="s">
        <v>663</v>
      </c>
      <c r="E1534" s="35" t="s">
        <v>1337</v>
      </c>
      <c r="F1534" s="26" t="s">
        <v>238</v>
      </c>
      <c r="G1534" s="24"/>
      <c r="H1534" s="24"/>
      <c r="I1534" s="24" t="e">
        <f t="shared" si="43"/>
        <v>#DIV/0!</v>
      </c>
    </row>
    <row r="1535" spans="1:9" ht="15">
      <c r="A1535" s="222" t="s">
        <v>1338</v>
      </c>
      <c r="B1535" s="21"/>
      <c r="C1535" s="35" t="s">
        <v>389</v>
      </c>
      <c r="D1535" s="35" t="s">
        <v>665</v>
      </c>
      <c r="E1535" s="35"/>
      <c r="F1535" s="26"/>
      <c r="G1535" s="24">
        <f>SUM(G1539+G1557+G1569+G1576)+G1536</f>
        <v>25011.4</v>
      </c>
      <c r="H1535" s="24">
        <f>SUM(H1539+H1557+H1569+H1576)</f>
        <v>31424.600000000002</v>
      </c>
      <c r="I1535" s="24">
        <f t="shared" si="43"/>
        <v>125.64110765490936</v>
      </c>
    </row>
    <row r="1536" spans="1:9" ht="28.5">
      <c r="A1536" s="222" t="s">
        <v>1021</v>
      </c>
      <c r="B1536" s="21"/>
      <c r="C1536" s="35" t="s">
        <v>389</v>
      </c>
      <c r="D1536" s="35" t="s">
        <v>665</v>
      </c>
      <c r="E1536" s="22" t="s">
        <v>1022</v>
      </c>
      <c r="F1536" s="27"/>
      <c r="G1536" s="24">
        <f>SUM(G1537)</f>
        <v>334.5</v>
      </c>
      <c r="H1536" s="24"/>
      <c r="I1536" s="24"/>
    </row>
    <row r="1537" spans="1:9" ht="28.5">
      <c r="A1537" s="239" t="s">
        <v>745</v>
      </c>
      <c r="B1537" s="21"/>
      <c r="C1537" s="35" t="s">
        <v>389</v>
      </c>
      <c r="D1537" s="35" t="s">
        <v>665</v>
      </c>
      <c r="E1537" s="22" t="s">
        <v>746</v>
      </c>
      <c r="F1537" s="26"/>
      <c r="G1537" s="24">
        <f>SUM(G1538)</f>
        <v>334.5</v>
      </c>
      <c r="H1537" s="24"/>
      <c r="I1537" s="24"/>
    </row>
    <row r="1538" spans="1:9" ht="15">
      <c r="A1538" s="222" t="s">
        <v>1126</v>
      </c>
      <c r="B1538" s="21"/>
      <c r="C1538" s="35" t="s">
        <v>389</v>
      </c>
      <c r="D1538" s="35" t="s">
        <v>665</v>
      </c>
      <c r="E1538" s="22" t="s">
        <v>746</v>
      </c>
      <c r="F1538" s="88" t="s">
        <v>978</v>
      </c>
      <c r="G1538" s="24">
        <v>334.5</v>
      </c>
      <c r="H1538" s="24"/>
      <c r="I1538" s="24"/>
    </row>
    <row r="1539" spans="1:9" ht="15">
      <c r="A1539" s="222" t="s">
        <v>1212</v>
      </c>
      <c r="B1539" s="21"/>
      <c r="C1539" s="35" t="s">
        <v>389</v>
      </c>
      <c r="D1539" s="35" t="s">
        <v>665</v>
      </c>
      <c r="E1539" s="35" t="s">
        <v>1178</v>
      </c>
      <c r="F1539" s="26"/>
      <c r="G1539" s="24">
        <f>SUM(G1540)</f>
        <v>13528.5</v>
      </c>
      <c r="H1539" s="24">
        <f>SUM(H1540)</f>
        <v>21799.8</v>
      </c>
      <c r="I1539" s="24">
        <f t="shared" si="43"/>
        <v>161.13981594411797</v>
      </c>
    </row>
    <row r="1540" spans="1:9" ht="15.75">
      <c r="A1540" s="222" t="s">
        <v>1000</v>
      </c>
      <c r="B1540" s="82"/>
      <c r="C1540" s="35" t="s">
        <v>389</v>
      </c>
      <c r="D1540" s="35" t="s">
        <v>665</v>
      </c>
      <c r="E1540" s="35" t="s">
        <v>979</v>
      </c>
      <c r="F1540" s="26"/>
      <c r="G1540" s="24">
        <f>SUM(G1553)+G1541+G1550</f>
        <v>13528.5</v>
      </c>
      <c r="H1540" s="24">
        <f>SUM(H1552:H1555)</f>
        <v>21799.8</v>
      </c>
      <c r="I1540" s="24">
        <f t="shared" si="43"/>
        <v>161.13981594411797</v>
      </c>
    </row>
    <row r="1541" spans="1:9" ht="15.75">
      <c r="A1541" s="234" t="s">
        <v>1126</v>
      </c>
      <c r="B1541" s="82"/>
      <c r="C1541" s="35" t="s">
        <v>389</v>
      </c>
      <c r="D1541" s="35" t="s">
        <v>665</v>
      </c>
      <c r="E1541" s="35" t="s">
        <v>1078</v>
      </c>
      <c r="F1541" s="26"/>
      <c r="G1541" s="24">
        <f>SUM(G1548)+G1546+G1542+G1544</f>
        <v>3480</v>
      </c>
      <c r="H1541" s="24"/>
      <c r="I1541" s="24"/>
    </row>
    <row r="1542" spans="1:9" ht="28.5">
      <c r="A1542" s="234" t="s">
        <v>729</v>
      </c>
      <c r="B1542" s="82"/>
      <c r="C1542" s="35" t="s">
        <v>389</v>
      </c>
      <c r="D1542" s="35" t="s">
        <v>665</v>
      </c>
      <c r="E1542" s="35" t="s">
        <v>730</v>
      </c>
      <c r="F1542" s="26"/>
      <c r="G1542" s="24">
        <f>SUM(G1543)</f>
        <v>880.9</v>
      </c>
      <c r="H1542" s="24"/>
      <c r="I1542" s="24"/>
    </row>
    <row r="1543" spans="1:9" ht="15.75">
      <c r="A1543" s="234" t="s">
        <v>1080</v>
      </c>
      <c r="B1543" s="82"/>
      <c r="C1543" s="35" t="s">
        <v>389</v>
      </c>
      <c r="D1543" s="35" t="s">
        <v>665</v>
      </c>
      <c r="E1543" s="35" t="s">
        <v>730</v>
      </c>
      <c r="F1543" s="26" t="s">
        <v>978</v>
      </c>
      <c r="G1543" s="24">
        <v>880.9</v>
      </c>
      <c r="H1543" s="24"/>
      <c r="I1543" s="24"/>
    </row>
    <row r="1544" spans="1:9" ht="28.5">
      <c r="A1544" s="234" t="s">
        <v>1081</v>
      </c>
      <c r="B1544" s="82"/>
      <c r="C1544" s="35" t="s">
        <v>389</v>
      </c>
      <c r="D1544" s="35" t="s">
        <v>665</v>
      </c>
      <c r="E1544" s="35" t="s">
        <v>747</v>
      </c>
      <c r="F1544" s="26"/>
      <c r="G1544" s="24">
        <f>SUM(G1545)</f>
        <v>111.4</v>
      </c>
      <c r="H1544" s="24"/>
      <c r="I1544" s="24"/>
    </row>
    <row r="1545" spans="1:9" ht="15.75">
      <c r="A1545" s="234" t="s">
        <v>1080</v>
      </c>
      <c r="B1545" s="82"/>
      <c r="C1545" s="35" t="s">
        <v>389</v>
      </c>
      <c r="D1545" s="35" t="s">
        <v>665</v>
      </c>
      <c r="E1545" s="35" t="s">
        <v>747</v>
      </c>
      <c r="F1545" s="26" t="s">
        <v>978</v>
      </c>
      <c r="G1545" s="24">
        <v>111.4</v>
      </c>
      <c r="H1545" s="24"/>
      <c r="I1545" s="24"/>
    </row>
    <row r="1546" spans="1:9" ht="28.5">
      <c r="A1546" s="234" t="s">
        <v>578</v>
      </c>
      <c r="B1546" s="82"/>
      <c r="C1546" s="35" t="s">
        <v>389</v>
      </c>
      <c r="D1546" s="35" t="s">
        <v>665</v>
      </c>
      <c r="E1546" s="35" t="s">
        <v>1079</v>
      </c>
      <c r="F1546" s="26"/>
      <c r="G1546" s="24">
        <f>SUM(G1547)</f>
        <v>510.5</v>
      </c>
      <c r="H1546" s="24"/>
      <c r="I1546" s="24"/>
    </row>
    <row r="1547" spans="1:9" ht="15.75">
      <c r="A1547" s="234" t="s">
        <v>1080</v>
      </c>
      <c r="B1547" s="82"/>
      <c r="C1547" s="35" t="s">
        <v>389</v>
      </c>
      <c r="D1547" s="35" t="s">
        <v>665</v>
      </c>
      <c r="E1547" s="35" t="s">
        <v>1079</v>
      </c>
      <c r="F1547" s="26" t="s">
        <v>978</v>
      </c>
      <c r="G1547" s="24">
        <v>510.5</v>
      </c>
      <c r="H1547" s="24"/>
      <c r="I1547" s="24"/>
    </row>
    <row r="1548" spans="1:9" ht="15.75">
      <c r="A1548" s="222" t="s">
        <v>1261</v>
      </c>
      <c r="B1548" s="82"/>
      <c r="C1548" s="35" t="s">
        <v>389</v>
      </c>
      <c r="D1548" s="35" t="s">
        <v>665</v>
      </c>
      <c r="E1548" s="35" t="s">
        <v>1265</v>
      </c>
      <c r="F1548" s="26"/>
      <c r="G1548" s="24">
        <f>SUM(G1549)</f>
        <v>1977.2</v>
      </c>
      <c r="H1548" s="24"/>
      <c r="I1548" s="24"/>
    </row>
    <row r="1549" spans="1:9" ht="17.25" customHeight="1">
      <c r="A1549" s="234" t="s">
        <v>1080</v>
      </c>
      <c r="B1549" s="82"/>
      <c r="C1549" s="35" t="s">
        <v>389</v>
      </c>
      <c r="D1549" s="35" t="s">
        <v>665</v>
      </c>
      <c r="E1549" s="35" t="s">
        <v>1265</v>
      </c>
      <c r="F1549" s="26" t="s">
        <v>978</v>
      </c>
      <c r="G1549" s="24">
        <v>1977.2</v>
      </c>
      <c r="H1549" s="24"/>
      <c r="I1549" s="24"/>
    </row>
    <row r="1550" spans="1:9" ht="13.5" customHeight="1" hidden="1">
      <c r="A1550" s="234" t="s">
        <v>578</v>
      </c>
      <c r="B1550" s="82"/>
      <c r="C1550" s="35" t="s">
        <v>389</v>
      </c>
      <c r="D1550" s="35" t="s">
        <v>665</v>
      </c>
      <c r="E1550" s="35" t="s">
        <v>1079</v>
      </c>
      <c r="F1550" s="26"/>
      <c r="G1550" s="24">
        <f>SUM(G1551)</f>
        <v>0</v>
      </c>
      <c r="H1550" s="24"/>
      <c r="I1550" s="24"/>
    </row>
    <row r="1551" spans="1:9" ht="13.5" customHeight="1" hidden="1">
      <c r="A1551" s="234" t="s">
        <v>1080</v>
      </c>
      <c r="B1551" s="82"/>
      <c r="C1551" s="35" t="s">
        <v>389</v>
      </c>
      <c r="D1551" s="35" t="s">
        <v>665</v>
      </c>
      <c r="E1551" s="35" t="s">
        <v>1079</v>
      </c>
      <c r="F1551" s="26" t="s">
        <v>978</v>
      </c>
      <c r="G1551" s="24"/>
      <c r="H1551" s="24"/>
      <c r="I1551" s="24"/>
    </row>
    <row r="1552" spans="1:9" ht="38.25" customHeight="1">
      <c r="A1552" s="222" t="s">
        <v>398</v>
      </c>
      <c r="B1552" s="82"/>
      <c r="C1552" s="35" t="s">
        <v>389</v>
      </c>
      <c r="D1552" s="35" t="s">
        <v>665</v>
      </c>
      <c r="E1552" s="35" t="s">
        <v>397</v>
      </c>
      <c r="F1552" s="26"/>
      <c r="G1552" s="24">
        <f>SUM(G1553)</f>
        <v>10048.5</v>
      </c>
      <c r="H1552" s="24">
        <v>21799.8</v>
      </c>
      <c r="I1552" s="24">
        <f t="shared" si="43"/>
        <v>216.9458128078818</v>
      </c>
    </row>
    <row r="1553" spans="1:9" ht="49.5" customHeight="1">
      <c r="A1553" s="234" t="s">
        <v>813</v>
      </c>
      <c r="B1553" s="51"/>
      <c r="C1553" s="35" t="s">
        <v>389</v>
      </c>
      <c r="D1553" s="35" t="s">
        <v>665</v>
      </c>
      <c r="E1553" s="35" t="s">
        <v>397</v>
      </c>
      <c r="F1553" s="27" t="s">
        <v>1300</v>
      </c>
      <c r="G1553" s="24">
        <v>10048.5</v>
      </c>
      <c r="H1553" s="24"/>
      <c r="I1553" s="24">
        <f t="shared" si="43"/>
        <v>0</v>
      </c>
    </row>
    <row r="1554" spans="1:9" ht="19.5" customHeight="1" hidden="1">
      <c r="A1554" s="234" t="s">
        <v>482</v>
      </c>
      <c r="B1554" s="21"/>
      <c r="C1554" s="35" t="s">
        <v>389</v>
      </c>
      <c r="D1554" s="35" t="s">
        <v>665</v>
      </c>
      <c r="E1554" s="35" t="s">
        <v>1179</v>
      </c>
      <c r="F1554" s="26" t="s">
        <v>483</v>
      </c>
      <c r="G1554" s="24"/>
      <c r="H1554" s="24"/>
      <c r="I1554" s="24" t="e">
        <f t="shared" si="43"/>
        <v>#DIV/0!</v>
      </c>
    </row>
    <row r="1555" spans="1:9" ht="19.5" customHeight="1" hidden="1">
      <c r="A1555" s="222" t="s">
        <v>282</v>
      </c>
      <c r="B1555" s="21"/>
      <c r="C1555" s="35" t="s">
        <v>389</v>
      </c>
      <c r="D1555" s="35" t="s">
        <v>665</v>
      </c>
      <c r="E1555" s="35" t="s">
        <v>1337</v>
      </c>
      <c r="F1555" s="26"/>
      <c r="G1555" s="24">
        <f>SUM(G1556)</f>
        <v>0</v>
      </c>
      <c r="H1555" s="24">
        <f>SUM(H1556)</f>
        <v>0</v>
      </c>
      <c r="I1555" s="24" t="e">
        <f t="shared" si="43"/>
        <v>#DIV/0!</v>
      </c>
    </row>
    <row r="1556" spans="1:9" ht="15" hidden="1">
      <c r="A1556" s="234" t="s">
        <v>237</v>
      </c>
      <c r="B1556" s="21"/>
      <c r="C1556" s="35" t="s">
        <v>389</v>
      </c>
      <c r="D1556" s="35" t="s">
        <v>665</v>
      </c>
      <c r="E1556" s="35" t="s">
        <v>1337</v>
      </c>
      <c r="F1556" s="26" t="s">
        <v>238</v>
      </c>
      <c r="G1556" s="24"/>
      <c r="H1556" s="24"/>
      <c r="I1556" s="24" t="e">
        <f t="shared" si="43"/>
        <v>#DIV/0!</v>
      </c>
    </row>
    <row r="1557" spans="1:9" ht="18.75" customHeight="1">
      <c r="A1557" s="222" t="s">
        <v>1339</v>
      </c>
      <c r="B1557" s="21"/>
      <c r="C1557" s="35" t="s">
        <v>389</v>
      </c>
      <c r="D1557" s="35" t="s">
        <v>665</v>
      </c>
      <c r="E1557" s="35" t="s">
        <v>1340</v>
      </c>
      <c r="F1557" s="26"/>
      <c r="G1557" s="24">
        <f>SUM(G1558)</f>
        <v>8323.7</v>
      </c>
      <c r="H1557" s="24">
        <f>SUM(H1558)</f>
        <v>7467.6</v>
      </c>
      <c r="I1557" s="24">
        <f t="shared" si="43"/>
        <v>89.71491043646455</v>
      </c>
    </row>
    <row r="1558" spans="1:9" ht="15">
      <c r="A1558" s="222" t="s">
        <v>1000</v>
      </c>
      <c r="B1558" s="21"/>
      <c r="C1558" s="35" t="s">
        <v>389</v>
      </c>
      <c r="D1558" s="35" t="s">
        <v>665</v>
      </c>
      <c r="E1558" s="35" t="s">
        <v>399</v>
      </c>
      <c r="F1558" s="26"/>
      <c r="G1558" s="24">
        <f>SUM(G1566:G1567)+G1559</f>
        <v>8323.7</v>
      </c>
      <c r="H1558" s="24">
        <f>SUM(H1566:H1567)</f>
        <v>7467.6</v>
      </c>
      <c r="I1558" s="24">
        <f t="shared" si="43"/>
        <v>89.71491043646455</v>
      </c>
    </row>
    <row r="1559" spans="1:9" ht="15">
      <c r="A1559" s="234" t="s">
        <v>1126</v>
      </c>
      <c r="B1559" s="21"/>
      <c r="C1559" s="35" t="s">
        <v>389</v>
      </c>
      <c r="D1559" s="35" t="s">
        <v>665</v>
      </c>
      <c r="E1559" s="35" t="s">
        <v>1266</v>
      </c>
      <c r="F1559" s="26"/>
      <c r="G1559" s="24">
        <f>SUM(G1560)+G1562+G1564</f>
        <v>1040.2</v>
      </c>
      <c r="H1559" s="24"/>
      <c r="I1559" s="24"/>
    </row>
    <row r="1560" spans="1:9" ht="28.5">
      <c r="A1560" s="234" t="s">
        <v>1081</v>
      </c>
      <c r="B1560" s="82"/>
      <c r="C1560" s="35" t="s">
        <v>389</v>
      </c>
      <c r="D1560" s="35" t="s">
        <v>665</v>
      </c>
      <c r="E1560" s="35" t="s">
        <v>1082</v>
      </c>
      <c r="F1560" s="26"/>
      <c r="G1560" s="24">
        <f>SUM(G1561)</f>
        <v>951.4</v>
      </c>
      <c r="H1560" s="24"/>
      <c r="I1560" s="24"/>
    </row>
    <row r="1561" spans="1:9" ht="15.75">
      <c r="A1561" s="234" t="s">
        <v>1080</v>
      </c>
      <c r="B1561" s="82"/>
      <c r="C1561" s="35" t="s">
        <v>389</v>
      </c>
      <c r="D1561" s="35" t="s">
        <v>665</v>
      </c>
      <c r="E1561" s="35" t="s">
        <v>1082</v>
      </c>
      <c r="F1561" s="26" t="s">
        <v>978</v>
      </c>
      <c r="G1561" s="24">
        <v>951.4</v>
      </c>
      <c r="H1561" s="24"/>
      <c r="I1561" s="24"/>
    </row>
    <row r="1562" spans="1:9" ht="28.5">
      <c r="A1562" s="234" t="s">
        <v>578</v>
      </c>
      <c r="B1562" s="82"/>
      <c r="C1562" s="35" t="s">
        <v>389</v>
      </c>
      <c r="D1562" s="35" t="s">
        <v>665</v>
      </c>
      <c r="E1562" s="35" t="s">
        <v>731</v>
      </c>
      <c r="F1562" s="26"/>
      <c r="G1562" s="24">
        <f>SUM(G1563)</f>
        <v>46</v>
      </c>
      <c r="H1562" s="24"/>
      <c r="I1562" s="24"/>
    </row>
    <row r="1563" spans="1:9" ht="15.75">
      <c r="A1563" s="234" t="s">
        <v>1080</v>
      </c>
      <c r="B1563" s="82"/>
      <c r="C1563" s="35" t="s">
        <v>389</v>
      </c>
      <c r="D1563" s="35" t="s">
        <v>665</v>
      </c>
      <c r="E1563" s="35" t="s">
        <v>731</v>
      </c>
      <c r="F1563" s="26" t="s">
        <v>978</v>
      </c>
      <c r="G1563" s="24">
        <v>46</v>
      </c>
      <c r="H1563" s="24"/>
      <c r="I1563" s="24"/>
    </row>
    <row r="1564" spans="1:9" ht="15.75">
      <c r="A1564" s="222" t="s">
        <v>1261</v>
      </c>
      <c r="B1564" s="82"/>
      <c r="C1564" s="35" t="s">
        <v>389</v>
      </c>
      <c r="D1564" s="35" t="s">
        <v>665</v>
      </c>
      <c r="E1564" s="35" t="s">
        <v>748</v>
      </c>
      <c r="F1564" s="26"/>
      <c r="G1564" s="24">
        <f>SUM(G1565)</f>
        <v>42.8</v>
      </c>
      <c r="H1564" s="24"/>
      <c r="I1564" s="24"/>
    </row>
    <row r="1565" spans="1:9" ht="15.75">
      <c r="A1565" s="234" t="s">
        <v>1080</v>
      </c>
      <c r="B1565" s="82"/>
      <c r="C1565" s="35" t="s">
        <v>389</v>
      </c>
      <c r="D1565" s="35" t="s">
        <v>665</v>
      </c>
      <c r="E1565" s="35" t="s">
        <v>748</v>
      </c>
      <c r="F1565" s="26" t="s">
        <v>978</v>
      </c>
      <c r="G1565" s="24">
        <v>42.8</v>
      </c>
      <c r="H1565" s="24"/>
      <c r="I1565" s="24"/>
    </row>
    <row r="1566" spans="1:9" ht="36.75" customHeight="1">
      <c r="A1566" s="234" t="s">
        <v>398</v>
      </c>
      <c r="B1566" s="21"/>
      <c r="C1566" s="35" t="s">
        <v>389</v>
      </c>
      <c r="D1566" s="35" t="s">
        <v>665</v>
      </c>
      <c r="E1566" s="35" t="s">
        <v>400</v>
      </c>
      <c r="F1566" s="26"/>
      <c r="G1566" s="24">
        <f>SUM(G1568)</f>
        <v>7283.5</v>
      </c>
      <c r="H1566" s="24">
        <v>7467.6</v>
      </c>
      <c r="I1566" s="24">
        <f t="shared" si="43"/>
        <v>102.52763094666027</v>
      </c>
    </row>
    <row r="1567" spans="1:9" ht="19.5" customHeight="1" hidden="1">
      <c r="A1567" s="222" t="s">
        <v>282</v>
      </c>
      <c r="B1567" s="21"/>
      <c r="C1567" s="35" t="s">
        <v>389</v>
      </c>
      <c r="D1567" s="35" t="s">
        <v>665</v>
      </c>
      <c r="E1567" s="35" t="s">
        <v>1341</v>
      </c>
      <c r="F1567" s="26" t="s">
        <v>1342</v>
      </c>
      <c r="G1567" s="24"/>
      <c r="H1567" s="24"/>
      <c r="I1567" s="24" t="e">
        <f t="shared" si="43"/>
        <v>#DIV/0!</v>
      </c>
    </row>
    <row r="1568" spans="1:9" ht="42.75">
      <c r="A1568" s="234" t="s">
        <v>813</v>
      </c>
      <c r="B1568" s="21"/>
      <c r="C1568" s="35" t="s">
        <v>389</v>
      </c>
      <c r="D1568" s="35" t="s">
        <v>665</v>
      </c>
      <c r="E1568" s="35" t="s">
        <v>401</v>
      </c>
      <c r="F1568" s="26" t="s">
        <v>1300</v>
      </c>
      <c r="G1568" s="24">
        <v>7283.5</v>
      </c>
      <c r="H1568" s="24"/>
      <c r="I1568" s="24"/>
    </row>
    <row r="1569" spans="1:9" ht="15">
      <c r="A1569" s="222" t="s">
        <v>1343</v>
      </c>
      <c r="B1569" s="21"/>
      <c r="C1569" s="35" t="s">
        <v>389</v>
      </c>
      <c r="D1569" s="35" t="s">
        <v>665</v>
      </c>
      <c r="E1569" s="35" t="s">
        <v>1344</v>
      </c>
      <c r="F1569" s="26"/>
      <c r="G1569" s="24">
        <f>SUM(G1570)</f>
        <v>2258.7</v>
      </c>
      <c r="H1569" s="24">
        <f>SUM(H1570)</f>
        <v>1817.2</v>
      </c>
      <c r="I1569" s="24">
        <f t="shared" si="43"/>
        <v>80.45335812635588</v>
      </c>
    </row>
    <row r="1570" spans="1:9" ht="15.75">
      <c r="A1570" s="222" t="s">
        <v>1000</v>
      </c>
      <c r="B1570" s="82"/>
      <c r="C1570" s="35" t="s">
        <v>389</v>
      </c>
      <c r="D1570" s="35" t="s">
        <v>665</v>
      </c>
      <c r="E1570" s="35" t="s">
        <v>980</v>
      </c>
      <c r="F1570" s="26"/>
      <c r="G1570" s="24">
        <f>SUM(G1575)+G1571</f>
        <v>2258.7</v>
      </c>
      <c r="H1570" s="24">
        <f>SUM(H1574:H1575)</f>
        <v>1817.2</v>
      </c>
      <c r="I1570" s="24">
        <f t="shared" si="43"/>
        <v>80.45335812635588</v>
      </c>
    </row>
    <row r="1571" spans="1:9" ht="15">
      <c r="A1571" s="234" t="s">
        <v>1126</v>
      </c>
      <c r="B1571" s="21"/>
      <c r="C1571" s="35" t="s">
        <v>389</v>
      </c>
      <c r="D1571" s="35" t="s">
        <v>665</v>
      </c>
      <c r="E1571" s="35" t="s">
        <v>732</v>
      </c>
      <c r="F1571" s="26"/>
      <c r="G1571" s="24">
        <f>SUM(G1572)</f>
        <v>21.2</v>
      </c>
      <c r="H1571" s="24"/>
      <c r="I1571" s="24"/>
    </row>
    <row r="1572" spans="1:9" ht="28.5">
      <c r="A1572" s="234" t="s">
        <v>578</v>
      </c>
      <c r="B1572" s="82"/>
      <c r="C1572" s="35" t="s">
        <v>389</v>
      </c>
      <c r="D1572" s="35" t="s">
        <v>665</v>
      </c>
      <c r="E1572" s="35" t="s">
        <v>733</v>
      </c>
      <c r="F1572" s="26"/>
      <c r="G1572" s="24">
        <f>SUM(G1573)</f>
        <v>21.2</v>
      </c>
      <c r="H1572" s="24"/>
      <c r="I1572" s="24"/>
    </row>
    <row r="1573" spans="1:9" ht="15.75">
      <c r="A1573" s="234" t="s">
        <v>1080</v>
      </c>
      <c r="B1573" s="82"/>
      <c r="C1573" s="35" t="s">
        <v>389</v>
      </c>
      <c r="D1573" s="35" t="s">
        <v>665</v>
      </c>
      <c r="E1573" s="35" t="s">
        <v>733</v>
      </c>
      <c r="F1573" s="26" t="s">
        <v>978</v>
      </c>
      <c r="G1573" s="24">
        <v>21.2</v>
      </c>
      <c r="H1573" s="24"/>
      <c r="I1573" s="24"/>
    </row>
    <row r="1574" spans="1:9" ht="40.5" customHeight="1">
      <c r="A1574" s="222" t="s">
        <v>398</v>
      </c>
      <c r="B1574" s="82"/>
      <c r="C1574" s="35" t="s">
        <v>389</v>
      </c>
      <c r="D1574" s="35" t="s">
        <v>665</v>
      </c>
      <c r="E1574" s="35" t="s">
        <v>402</v>
      </c>
      <c r="F1574" s="26"/>
      <c r="G1574" s="24">
        <f>SUM(G1575)</f>
        <v>2237.5</v>
      </c>
      <c r="H1574" s="24">
        <v>1817.2</v>
      </c>
      <c r="I1574" s="24">
        <f t="shared" si="43"/>
        <v>81.21564245810056</v>
      </c>
    </row>
    <row r="1575" spans="1:9" ht="48.75" customHeight="1">
      <c r="A1575" s="234" t="s">
        <v>813</v>
      </c>
      <c r="B1575" s="51"/>
      <c r="C1575" s="35" t="s">
        <v>389</v>
      </c>
      <c r="D1575" s="35" t="s">
        <v>665</v>
      </c>
      <c r="E1575" s="35" t="s">
        <v>402</v>
      </c>
      <c r="F1575" s="27" t="s">
        <v>1300</v>
      </c>
      <c r="G1575" s="24">
        <v>2237.5</v>
      </c>
      <c r="H1575" s="24"/>
      <c r="I1575" s="24">
        <f t="shared" si="43"/>
        <v>0</v>
      </c>
    </row>
    <row r="1576" spans="1:9" ht="15">
      <c r="A1576" s="257" t="s">
        <v>458</v>
      </c>
      <c r="B1576" s="21"/>
      <c r="C1576" s="35" t="s">
        <v>389</v>
      </c>
      <c r="D1576" s="35" t="s">
        <v>665</v>
      </c>
      <c r="E1576" s="35" t="s">
        <v>459</v>
      </c>
      <c r="F1576" s="26"/>
      <c r="G1576" s="24">
        <f>SUM(G1577)</f>
        <v>566</v>
      </c>
      <c r="H1576" s="24">
        <f>SUM(H1577)</f>
        <v>340</v>
      </c>
      <c r="I1576" s="24">
        <f t="shared" si="43"/>
        <v>60.07067137809188</v>
      </c>
    </row>
    <row r="1577" spans="1:9" ht="42.75">
      <c r="A1577" s="224" t="s">
        <v>285</v>
      </c>
      <c r="B1577" s="21"/>
      <c r="C1577" s="35" t="s">
        <v>389</v>
      </c>
      <c r="D1577" s="35" t="s">
        <v>665</v>
      </c>
      <c r="E1577" s="35" t="s">
        <v>1345</v>
      </c>
      <c r="F1577" s="26"/>
      <c r="G1577" s="24">
        <f>SUM(G1578)</f>
        <v>566</v>
      </c>
      <c r="H1577" s="24">
        <f>SUM(H1578)</f>
        <v>340</v>
      </c>
      <c r="I1577" s="24">
        <f t="shared" si="43"/>
        <v>60.07067137809188</v>
      </c>
    </row>
    <row r="1578" spans="1:9" ht="15">
      <c r="A1578" s="234" t="s">
        <v>1126</v>
      </c>
      <c r="B1578" s="21"/>
      <c r="C1578" s="35" t="s">
        <v>389</v>
      </c>
      <c r="D1578" s="35" t="s">
        <v>665</v>
      </c>
      <c r="E1578" s="35" t="s">
        <v>1345</v>
      </c>
      <c r="F1578" s="27" t="s">
        <v>978</v>
      </c>
      <c r="G1578" s="24">
        <v>566</v>
      </c>
      <c r="H1578" s="24">
        <v>340</v>
      </c>
      <c r="I1578" s="24">
        <f t="shared" si="43"/>
        <v>60.07067137809188</v>
      </c>
    </row>
    <row r="1579" spans="1:9" ht="15" hidden="1">
      <c r="A1579" s="260" t="s">
        <v>224</v>
      </c>
      <c r="B1579" s="58"/>
      <c r="C1579" s="35" t="s">
        <v>389</v>
      </c>
      <c r="D1579" s="35" t="s">
        <v>1013</v>
      </c>
      <c r="E1579" s="35"/>
      <c r="F1579" s="26"/>
      <c r="G1579" s="24">
        <f>SUM(G1580)</f>
        <v>0</v>
      </c>
      <c r="H1579" s="24">
        <f>SUM(H1580)</f>
        <v>9494.7</v>
      </c>
      <c r="I1579" s="24" t="e">
        <f t="shared" si="43"/>
        <v>#DIV/0!</v>
      </c>
    </row>
    <row r="1580" spans="1:9" ht="15" hidden="1">
      <c r="A1580" s="260" t="s">
        <v>225</v>
      </c>
      <c r="B1580" s="58"/>
      <c r="C1580" s="35" t="s">
        <v>389</v>
      </c>
      <c r="D1580" s="35" t="s">
        <v>1013</v>
      </c>
      <c r="E1580" s="35" t="s">
        <v>1178</v>
      </c>
      <c r="F1580" s="26"/>
      <c r="G1580" s="24">
        <f>SUM(G1581)</f>
        <v>0</v>
      </c>
      <c r="H1580" s="24">
        <f>SUM(H1581)</f>
        <v>9494.7</v>
      </c>
      <c r="I1580" s="24" t="e">
        <f t="shared" si="43"/>
        <v>#DIV/0!</v>
      </c>
    </row>
    <row r="1581" spans="1:9" ht="15" hidden="1">
      <c r="A1581" s="239" t="s">
        <v>235</v>
      </c>
      <c r="B1581" s="58"/>
      <c r="C1581" s="35" t="s">
        <v>389</v>
      </c>
      <c r="D1581" s="35" t="s">
        <v>1013</v>
      </c>
      <c r="E1581" s="35" t="s">
        <v>1179</v>
      </c>
      <c r="F1581" s="26"/>
      <c r="G1581" s="24">
        <f>SUM(G1582:G1583)</f>
        <v>0</v>
      </c>
      <c r="H1581" s="24">
        <f>SUM(H1582:H1583)</f>
        <v>9494.7</v>
      </c>
      <c r="I1581" s="24" t="e">
        <f t="shared" si="43"/>
        <v>#DIV/0!</v>
      </c>
    </row>
    <row r="1582" spans="1:9" ht="15" hidden="1">
      <c r="A1582" s="239" t="s">
        <v>237</v>
      </c>
      <c r="B1582" s="58"/>
      <c r="C1582" s="35" t="s">
        <v>389</v>
      </c>
      <c r="D1582" s="35" t="s">
        <v>1013</v>
      </c>
      <c r="E1582" s="35" t="s">
        <v>1179</v>
      </c>
      <c r="F1582" s="26" t="s">
        <v>238</v>
      </c>
      <c r="G1582" s="24"/>
      <c r="H1582" s="24">
        <v>9494.7</v>
      </c>
      <c r="I1582" s="24" t="e">
        <f t="shared" si="43"/>
        <v>#DIV/0!</v>
      </c>
    </row>
    <row r="1583" spans="1:9" ht="19.5" customHeight="1" hidden="1">
      <c r="A1583" s="222" t="s">
        <v>282</v>
      </c>
      <c r="B1583" s="21"/>
      <c r="C1583" s="35" t="s">
        <v>389</v>
      </c>
      <c r="D1583" s="35" t="s">
        <v>1013</v>
      </c>
      <c r="E1583" s="35" t="s">
        <v>1341</v>
      </c>
      <c r="F1583" s="26" t="s">
        <v>1342</v>
      </c>
      <c r="G1583" s="24"/>
      <c r="H1583" s="24"/>
      <c r="I1583" s="24" t="e">
        <f t="shared" si="43"/>
        <v>#DIV/0!</v>
      </c>
    </row>
    <row r="1584" spans="1:9" ht="21" customHeight="1">
      <c r="A1584" s="234" t="s">
        <v>226</v>
      </c>
      <c r="B1584" s="21"/>
      <c r="C1584" s="35" t="s">
        <v>389</v>
      </c>
      <c r="D1584" s="35" t="s">
        <v>1037</v>
      </c>
      <c r="E1584" s="35"/>
      <c r="F1584" s="26"/>
      <c r="G1584" s="24">
        <f>SUM(G1587+G1591+G1585)</f>
        <v>75479.6</v>
      </c>
      <c r="H1584" s="24">
        <f>SUM(H1587+H1591+H1585)</f>
        <v>40136</v>
      </c>
      <c r="I1584" s="24">
        <f t="shared" si="43"/>
        <v>53.1746326159651</v>
      </c>
    </row>
    <row r="1585" spans="1:9" ht="15" hidden="1">
      <c r="A1585" s="234" t="s">
        <v>545</v>
      </c>
      <c r="B1585" s="21"/>
      <c r="C1585" s="35" t="s">
        <v>389</v>
      </c>
      <c r="D1585" s="35" t="s">
        <v>1037</v>
      </c>
      <c r="E1585" s="35" t="s">
        <v>546</v>
      </c>
      <c r="F1585" s="26"/>
      <c r="G1585" s="24">
        <f>SUM(G1586)</f>
        <v>0</v>
      </c>
      <c r="H1585" s="24">
        <f>SUM(H1586)</f>
        <v>60</v>
      </c>
      <c r="I1585" s="24" t="e">
        <f t="shared" si="43"/>
        <v>#DIV/0!</v>
      </c>
    </row>
    <row r="1586" spans="1:9" ht="11.25" customHeight="1" hidden="1">
      <c r="A1586" s="234" t="s">
        <v>237</v>
      </c>
      <c r="B1586" s="21"/>
      <c r="C1586" s="35" t="s">
        <v>389</v>
      </c>
      <c r="D1586" s="35" t="s">
        <v>1037</v>
      </c>
      <c r="E1586" s="35" t="s">
        <v>546</v>
      </c>
      <c r="F1586" s="26" t="s">
        <v>238</v>
      </c>
      <c r="G1586" s="24"/>
      <c r="H1586" s="24">
        <v>60</v>
      </c>
      <c r="I1586" s="24" t="e">
        <f t="shared" si="43"/>
        <v>#DIV/0!</v>
      </c>
    </row>
    <row r="1587" spans="1:9" ht="15">
      <c r="A1587" s="222" t="s">
        <v>227</v>
      </c>
      <c r="B1587" s="21"/>
      <c r="C1587" s="35" t="s">
        <v>389</v>
      </c>
      <c r="D1587" s="35" t="s">
        <v>1037</v>
      </c>
      <c r="E1587" s="35" t="s">
        <v>228</v>
      </c>
      <c r="F1587" s="26"/>
      <c r="G1587" s="24">
        <f>SUM(G1588)</f>
        <v>66440.3</v>
      </c>
      <c r="H1587" s="24">
        <f>SUM(H1588)</f>
        <v>34637.7</v>
      </c>
      <c r="I1587" s="24">
        <f t="shared" si="43"/>
        <v>52.133569535357296</v>
      </c>
    </row>
    <row r="1588" spans="1:9" ht="28.5">
      <c r="A1588" s="222" t="s">
        <v>894</v>
      </c>
      <c r="B1588" s="21"/>
      <c r="C1588" s="35" t="s">
        <v>389</v>
      </c>
      <c r="D1588" s="35" t="s">
        <v>1037</v>
      </c>
      <c r="E1588" s="35" t="s">
        <v>229</v>
      </c>
      <c r="F1588" s="26"/>
      <c r="G1588" s="24">
        <f>SUM(G1589:G1590)</f>
        <v>66440.3</v>
      </c>
      <c r="H1588" s="24">
        <f>SUM(H1589:H1590)</f>
        <v>34637.7</v>
      </c>
      <c r="I1588" s="24">
        <f t="shared" si="43"/>
        <v>52.133569535357296</v>
      </c>
    </row>
    <row r="1589" spans="1:9" ht="14.25" customHeight="1">
      <c r="A1589" s="234" t="s">
        <v>895</v>
      </c>
      <c r="B1589" s="21"/>
      <c r="C1589" s="35" t="s">
        <v>389</v>
      </c>
      <c r="D1589" s="35" t="s">
        <v>1037</v>
      </c>
      <c r="E1589" s="35" t="s">
        <v>229</v>
      </c>
      <c r="F1589" s="26" t="s">
        <v>238</v>
      </c>
      <c r="G1589" s="24">
        <v>66440.3</v>
      </c>
      <c r="H1589" s="24">
        <v>34637.7</v>
      </c>
      <c r="I1589" s="24">
        <f t="shared" si="43"/>
        <v>52.133569535357296</v>
      </c>
    </row>
    <row r="1590" spans="1:9" ht="19.5" customHeight="1" hidden="1">
      <c r="A1590" s="222" t="s">
        <v>282</v>
      </c>
      <c r="B1590" s="21"/>
      <c r="C1590" s="35" t="s">
        <v>389</v>
      </c>
      <c r="D1590" s="35" t="s">
        <v>1037</v>
      </c>
      <c r="E1590" s="35" t="s">
        <v>229</v>
      </c>
      <c r="F1590" s="26" t="s">
        <v>1342</v>
      </c>
      <c r="G1590" s="24"/>
      <c r="H1590" s="24"/>
      <c r="I1590" s="24" t="e">
        <f t="shared" si="43"/>
        <v>#DIV/0!</v>
      </c>
    </row>
    <row r="1591" spans="1:9" ht="15">
      <c r="A1591" s="257" t="s">
        <v>458</v>
      </c>
      <c r="B1591" s="21"/>
      <c r="C1591" s="35" t="s">
        <v>389</v>
      </c>
      <c r="D1591" s="35" t="s">
        <v>1037</v>
      </c>
      <c r="E1591" s="35" t="s">
        <v>459</v>
      </c>
      <c r="F1591" s="26"/>
      <c r="G1591" s="24">
        <f>SUM(G1592)</f>
        <v>9039.3</v>
      </c>
      <c r="H1591" s="24">
        <f>SUM(H1592)</f>
        <v>5438.3</v>
      </c>
      <c r="I1591" s="24">
        <f t="shared" si="43"/>
        <v>60.162844468045094</v>
      </c>
    </row>
    <row r="1592" spans="1:9" ht="42.75">
      <c r="A1592" s="224" t="s">
        <v>285</v>
      </c>
      <c r="B1592" s="21"/>
      <c r="C1592" s="35" t="s">
        <v>389</v>
      </c>
      <c r="D1592" s="35" t="s">
        <v>1037</v>
      </c>
      <c r="E1592" s="35" t="s">
        <v>1345</v>
      </c>
      <c r="F1592" s="26"/>
      <c r="G1592" s="24">
        <f>SUM(G1593)</f>
        <v>9039.3</v>
      </c>
      <c r="H1592" s="24">
        <f>SUM(H1593)</f>
        <v>5438.3</v>
      </c>
      <c r="I1592" s="24">
        <f t="shared" si="43"/>
        <v>60.162844468045094</v>
      </c>
    </row>
    <row r="1593" spans="1:9" ht="15">
      <c r="A1593" s="234" t="s">
        <v>895</v>
      </c>
      <c r="B1593" s="21"/>
      <c r="C1593" s="35" t="s">
        <v>389</v>
      </c>
      <c r="D1593" s="35" t="s">
        <v>1037</v>
      </c>
      <c r="E1593" s="35" t="s">
        <v>1345</v>
      </c>
      <c r="F1593" s="26" t="s">
        <v>238</v>
      </c>
      <c r="G1593" s="24">
        <v>9039.3</v>
      </c>
      <c r="H1593" s="24">
        <v>5438.3</v>
      </c>
      <c r="I1593" s="24">
        <f t="shared" si="43"/>
        <v>60.162844468045094</v>
      </c>
    </row>
    <row r="1594" spans="1:9" ht="15" hidden="1">
      <c r="A1594" s="224" t="s">
        <v>785</v>
      </c>
      <c r="B1594" s="21"/>
      <c r="C1594" s="35" t="s">
        <v>389</v>
      </c>
      <c r="D1594" s="35" t="s">
        <v>663</v>
      </c>
      <c r="E1594" s="35" t="s">
        <v>313</v>
      </c>
      <c r="F1594" s="23"/>
      <c r="G1594" s="24">
        <f>SUM(G1595)</f>
        <v>0</v>
      </c>
      <c r="H1594" s="24">
        <f>SUM(H1595)</f>
        <v>0</v>
      </c>
      <c r="I1594" s="24" t="e">
        <f t="shared" si="43"/>
        <v>#DIV/0!</v>
      </c>
    </row>
    <row r="1595" spans="1:9" ht="12.75" customHeight="1" hidden="1">
      <c r="A1595" s="222" t="s">
        <v>485</v>
      </c>
      <c r="B1595" s="21"/>
      <c r="C1595" s="35" t="s">
        <v>389</v>
      </c>
      <c r="D1595" s="35" t="s">
        <v>663</v>
      </c>
      <c r="E1595" s="35" t="s">
        <v>313</v>
      </c>
      <c r="F1595" s="23" t="s">
        <v>314</v>
      </c>
      <c r="G1595" s="24"/>
      <c r="H1595" s="24"/>
      <c r="I1595" s="24" t="e">
        <f t="shared" si="43"/>
        <v>#DIV/0!</v>
      </c>
    </row>
    <row r="1596" spans="1:9" ht="18" customHeight="1">
      <c r="A1596" s="229" t="s">
        <v>1335</v>
      </c>
      <c r="B1596" s="34"/>
      <c r="C1596" s="35" t="s">
        <v>389</v>
      </c>
      <c r="D1596" s="35" t="s">
        <v>389</v>
      </c>
      <c r="E1596" s="35"/>
      <c r="F1596" s="26"/>
      <c r="G1596" s="24">
        <f>SUM(G1599+G1603+G1608)+G1597</f>
        <v>190141.8</v>
      </c>
      <c r="H1596" s="24" t="e">
        <f>SUM(H1599+H1603+#REF!+H1608)</f>
        <v>#REF!</v>
      </c>
      <c r="I1596" s="24" t="e">
        <f t="shared" si="43"/>
        <v>#REF!</v>
      </c>
    </row>
    <row r="1597" spans="1:9" ht="47.25" customHeight="1">
      <c r="A1597" s="229" t="s">
        <v>1270</v>
      </c>
      <c r="B1597" s="34"/>
      <c r="C1597" s="35" t="s">
        <v>389</v>
      </c>
      <c r="D1597" s="35" t="s">
        <v>389</v>
      </c>
      <c r="E1597" s="35" t="s">
        <v>1271</v>
      </c>
      <c r="F1597" s="26"/>
      <c r="G1597" s="24">
        <f>SUM(G1598)</f>
        <v>118967</v>
      </c>
      <c r="H1597" s="24"/>
      <c r="I1597" s="24"/>
    </row>
    <row r="1598" spans="1:9" ht="18" customHeight="1">
      <c r="A1598" s="234" t="s">
        <v>1126</v>
      </c>
      <c r="B1598" s="34"/>
      <c r="C1598" s="35" t="s">
        <v>389</v>
      </c>
      <c r="D1598" s="35" t="s">
        <v>389</v>
      </c>
      <c r="E1598" s="35" t="s">
        <v>1271</v>
      </c>
      <c r="F1598" s="26" t="s">
        <v>978</v>
      </c>
      <c r="G1598" s="24">
        <f>92007.5+26959.5</f>
        <v>118967</v>
      </c>
      <c r="H1598" s="24"/>
      <c r="I1598" s="24"/>
    </row>
    <row r="1599" spans="1:9" ht="28.5">
      <c r="A1599" s="229" t="s">
        <v>1175</v>
      </c>
      <c r="B1599" s="21"/>
      <c r="C1599" s="35" t="s">
        <v>389</v>
      </c>
      <c r="D1599" s="35" t="s">
        <v>389</v>
      </c>
      <c r="E1599" s="35" t="s">
        <v>1176</v>
      </c>
      <c r="F1599" s="26"/>
      <c r="G1599" s="24">
        <f>SUM(G1600)</f>
        <v>11342.1</v>
      </c>
      <c r="H1599" s="24">
        <f>SUM(H1600)</f>
        <v>6864.8</v>
      </c>
      <c r="I1599" s="24">
        <f t="shared" si="43"/>
        <v>60.524946879325704</v>
      </c>
    </row>
    <row r="1600" spans="1:9" ht="28.5">
      <c r="A1600" s="222" t="s">
        <v>894</v>
      </c>
      <c r="B1600" s="21"/>
      <c r="C1600" s="35" t="s">
        <v>389</v>
      </c>
      <c r="D1600" s="35" t="s">
        <v>389</v>
      </c>
      <c r="E1600" s="35" t="s">
        <v>1177</v>
      </c>
      <c r="F1600" s="26"/>
      <c r="G1600" s="24">
        <f>SUM(G1601:G1602)</f>
        <v>11342.1</v>
      </c>
      <c r="H1600" s="24">
        <f>SUM(H1601:H1602)</f>
        <v>6864.8</v>
      </c>
      <c r="I1600" s="24">
        <f t="shared" si="43"/>
        <v>60.524946879325704</v>
      </c>
    </row>
    <row r="1601" spans="1:9" ht="17.25" customHeight="1">
      <c r="A1601" s="234" t="s">
        <v>895</v>
      </c>
      <c r="B1601" s="21"/>
      <c r="C1601" s="35" t="s">
        <v>389</v>
      </c>
      <c r="D1601" s="35" t="s">
        <v>389</v>
      </c>
      <c r="E1601" s="35" t="s">
        <v>1177</v>
      </c>
      <c r="F1601" s="26" t="s">
        <v>238</v>
      </c>
      <c r="G1601" s="24">
        <v>11342.1</v>
      </c>
      <c r="H1601" s="24">
        <v>6864.8</v>
      </c>
      <c r="I1601" s="24">
        <f t="shared" si="43"/>
        <v>60.524946879325704</v>
      </c>
    </row>
    <row r="1602" spans="1:9" ht="42.75" hidden="1">
      <c r="A1602" s="222" t="s">
        <v>282</v>
      </c>
      <c r="B1602" s="21"/>
      <c r="C1602" s="35" t="s">
        <v>389</v>
      </c>
      <c r="D1602" s="35" t="s">
        <v>389</v>
      </c>
      <c r="E1602" s="35" t="s">
        <v>1177</v>
      </c>
      <c r="F1602" s="26" t="s">
        <v>1342</v>
      </c>
      <c r="G1602" s="24"/>
      <c r="H1602" s="24"/>
      <c r="I1602" s="24" t="e">
        <f t="shared" si="43"/>
        <v>#DIV/0!</v>
      </c>
    </row>
    <row r="1603" spans="1:9" ht="15" hidden="1">
      <c r="A1603" s="222" t="s">
        <v>785</v>
      </c>
      <c r="B1603" s="21"/>
      <c r="C1603" s="35" t="s">
        <v>389</v>
      </c>
      <c r="D1603" s="35" t="s">
        <v>389</v>
      </c>
      <c r="E1603" s="35" t="s">
        <v>786</v>
      </c>
      <c r="F1603" s="26"/>
      <c r="G1603" s="24">
        <f>SUM(G1604+G1606)</f>
        <v>0</v>
      </c>
      <c r="H1603" s="24">
        <f>SUM(H1604+H1606)</f>
        <v>0</v>
      </c>
      <c r="I1603" s="24" t="e">
        <f t="shared" si="43"/>
        <v>#DIV/0!</v>
      </c>
    </row>
    <row r="1604" spans="1:9" ht="28.5" hidden="1">
      <c r="A1604" s="234" t="s">
        <v>284</v>
      </c>
      <c r="B1604" s="51"/>
      <c r="C1604" s="35" t="s">
        <v>389</v>
      </c>
      <c r="D1604" s="35" t="s">
        <v>389</v>
      </c>
      <c r="E1604" s="35" t="s">
        <v>355</v>
      </c>
      <c r="F1604" s="27"/>
      <c r="G1604" s="24">
        <f>SUM(G1605)</f>
        <v>0</v>
      </c>
      <c r="H1604" s="24">
        <f>SUM(H1605)</f>
        <v>0</v>
      </c>
      <c r="I1604" s="24" t="e">
        <f t="shared" si="43"/>
        <v>#DIV/0!</v>
      </c>
    </row>
    <row r="1605" spans="1:9" ht="28.5" hidden="1">
      <c r="A1605" s="222" t="s">
        <v>485</v>
      </c>
      <c r="B1605" s="51"/>
      <c r="C1605" s="35" t="s">
        <v>389</v>
      </c>
      <c r="D1605" s="35" t="s">
        <v>389</v>
      </c>
      <c r="E1605" s="35" t="s">
        <v>355</v>
      </c>
      <c r="F1605" s="27" t="s">
        <v>354</v>
      </c>
      <c r="G1605" s="24"/>
      <c r="H1605" s="24"/>
      <c r="I1605" s="24" t="e">
        <f t="shared" si="43"/>
        <v>#DIV/0!</v>
      </c>
    </row>
    <row r="1606" spans="1:9" ht="28.5" hidden="1">
      <c r="A1606" s="222" t="s">
        <v>1327</v>
      </c>
      <c r="B1606" s="21"/>
      <c r="C1606" s="35" t="s">
        <v>389</v>
      </c>
      <c r="D1606" s="35" t="s">
        <v>389</v>
      </c>
      <c r="E1606" s="35" t="s">
        <v>1328</v>
      </c>
      <c r="F1606" s="26"/>
      <c r="G1606" s="24">
        <f>SUM(G1607)</f>
        <v>0</v>
      </c>
      <c r="H1606" s="24">
        <f>SUM(H1607)</f>
        <v>0</v>
      </c>
      <c r="I1606" s="24" t="e">
        <f t="shared" si="43"/>
        <v>#DIV/0!</v>
      </c>
    </row>
    <row r="1607" spans="1:9" ht="29.25" customHeight="1" hidden="1">
      <c r="A1607" s="222" t="s">
        <v>485</v>
      </c>
      <c r="B1607" s="21"/>
      <c r="C1607" s="35" t="s">
        <v>389</v>
      </c>
      <c r="D1607" s="35" t="s">
        <v>389</v>
      </c>
      <c r="E1607" s="35" t="s">
        <v>1328</v>
      </c>
      <c r="F1607" s="26" t="s">
        <v>354</v>
      </c>
      <c r="G1607" s="24"/>
      <c r="H1607" s="24"/>
      <c r="I1607" s="24" t="e">
        <f t="shared" si="43"/>
        <v>#DIV/0!</v>
      </c>
    </row>
    <row r="1608" spans="1:9" ht="23.25" customHeight="1">
      <c r="A1608" s="234" t="s">
        <v>1046</v>
      </c>
      <c r="B1608" s="34"/>
      <c r="C1608" s="35" t="s">
        <v>389</v>
      </c>
      <c r="D1608" s="35" t="s">
        <v>389</v>
      </c>
      <c r="E1608" s="35" t="s">
        <v>1047</v>
      </c>
      <c r="F1608" s="26"/>
      <c r="G1608" s="24">
        <f>SUM(G1609+G1613)+G1615+G1617+G1619</f>
        <v>59832.69999999999</v>
      </c>
      <c r="H1608" s="24">
        <f>SUM(H1609)</f>
        <v>1831.4</v>
      </c>
      <c r="I1608" s="24">
        <f t="shared" si="43"/>
        <v>3.0608680537565585</v>
      </c>
    </row>
    <row r="1609" spans="1:9" ht="19.5" customHeight="1" hidden="1">
      <c r="A1609" s="222" t="s">
        <v>445</v>
      </c>
      <c r="B1609" s="34"/>
      <c r="C1609" s="35" t="s">
        <v>389</v>
      </c>
      <c r="D1609" s="35" t="s">
        <v>389</v>
      </c>
      <c r="E1609" s="35" t="s">
        <v>1047</v>
      </c>
      <c r="F1609" s="26" t="s">
        <v>354</v>
      </c>
      <c r="G1609" s="24"/>
      <c r="H1609" s="24">
        <f>SUM(H1611:H1624)</f>
        <v>1831.4</v>
      </c>
      <c r="I1609" s="24" t="e">
        <f t="shared" si="43"/>
        <v>#DIV/0!</v>
      </c>
    </row>
    <row r="1610" spans="1:9" ht="28.5" hidden="1">
      <c r="A1610" s="222" t="s">
        <v>1329</v>
      </c>
      <c r="B1610" s="91"/>
      <c r="C1610" s="35" t="s">
        <v>389</v>
      </c>
      <c r="D1610" s="35" t="s">
        <v>389</v>
      </c>
      <c r="E1610" s="35" t="s">
        <v>1330</v>
      </c>
      <c r="F1610" s="26"/>
      <c r="G1610" s="24"/>
      <c r="H1610" s="24"/>
      <c r="I1610" s="24" t="e">
        <f t="shared" si="43"/>
        <v>#DIV/0!</v>
      </c>
    </row>
    <row r="1611" spans="1:9" ht="19.5" customHeight="1" hidden="1">
      <c r="A1611" s="222" t="s">
        <v>1329</v>
      </c>
      <c r="B1611" s="91"/>
      <c r="C1611" s="35" t="s">
        <v>389</v>
      </c>
      <c r="D1611" s="35" t="s">
        <v>389</v>
      </c>
      <c r="E1611" s="35" t="s">
        <v>1330</v>
      </c>
      <c r="F1611" s="26" t="s">
        <v>354</v>
      </c>
      <c r="G1611" s="49"/>
      <c r="H1611" s="49"/>
      <c r="I1611" s="24" t="e">
        <f t="shared" si="43"/>
        <v>#DIV/0!</v>
      </c>
    </row>
    <row r="1612" spans="1:9" ht="19.5" customHeight="1" hidden="1">
      <c r="A1612" s="222" t="s">
        <v>382</v>
      </c>
      <c r="B1612" s="91"/>
      <c r="C1612" s="35" t="s">
        <v>389</v>
      </c>
      <c r="D1612" s="35" t="s">
        <v>389</v>
      </c>
      <c r="E1612" s="35" t="s">
        <v>383</v>
      </c>
      <c r="F1612" s="26" t="s">
        <v>354</v>
      </c>
      <c r="G1612" s="49"/>
      <c r="H1612" s="49"/>
      <c r="I1612" s="24"/>
    </row>
    <row r="1613" spans="1:9" ht="32.25" customHeight="1">
      <c r="A1613" s="222" t="s">
        <v>286</v>
      </c>
      <c r="B1613" s="91"/>
      <c r="C1613" s="35" t="s">
        <v>389</v>
      </c>
      <c r="D1613" s="35" t="s">
        <v>389</v>
      </c>
      <c r="E1613" s="35" t="s">
        <v>574</v>
      </c>
      <c r="F1613" s="26"/>
      <c r="G1613" s="49">
        <f>SUM(G1614)</f>
        <v>50093.1</v>
      </c>
      <c r="H1613" s="49"/>
      <c r="I1613" s="24"/>
    </row>
    <row r="1614" spans="1:9" ht="18" customHeight="1">
      <c r="A1614" s="234" t="s">
        <v>1126</v>
      </c>
      <c r="B1614" s="21"/>
      <c r="C1614" s="35" t="s">
        <v>389</v>
      </c>
      <c r="D1614" s="35" t="s">
        <v>389</v>
      </c>
      <c r="E1614" s="35" t="s">
        <v>574</v>
      </c>
      <c r="F1614" s="27" t="s">
        <v>978</v>
      </c>
      <c r="G1614" s="24">
        <v>50093.1</v>
      </c>
      <c r="H1614" s="24">
        <v>340</v>
      </c>
      <c r="I1614" s="24">
        <f>SUM(H1614/G1614*100)</f>
        <v>0.6787361932082463</v>
      </c>
    </row>
    <row r="1615" spans="1:9" ht="33" customHeight="1">
      <c r="A1615" s="236" t="s">
        <v>735</v>
      </c>
      <c r="B1615" s="92"/>
      <c r="C1615" s="31" t="s">
        <v>389</v>
      </c>
      <c r="D1615" s="35" t="s">
        <v>389</v>
      </c>
      <c r="E1615" s="31" t="s">
        <v>509</v>
      </c>
      <c r="F1615" s="88"/>
      <c r="G1615" s="49">
        <f>SUM(G1616)</f>
        <v>4661.2</v>
      </c>
      <c r="H1615" s="49">
        <v>1424.2</v>
      </c>
      <c r="I1615" s="24">
        <f aca="true" t="shared" si="44" ref="I1615:I1625">SUM(H1615/G1615*100)</f>
        <v>30.55436368317172</v>
      </c>
    </row>
    <row r="1616" spans="1:9" ht="27" customHeight="1">
      <c r="A1616" s="234" t="s">
        <v>1126</v>
      </c>
      <c r="B1616" s="92"/>
      <c r="C1616" s="31" t="s">
        <v>389</v>
      </c>
      <c r="D1616" s="35" t="s">
        <v>389</v>
      </c>
      <c r="E1616" s="31" t="s">
        <v>509</v>
      </c>
      <c r="F1616" s="27" t="s">
        <v>978</v>
      </c>
      <c r="G1616" s="49">
        <v>4661.2</v>
      </c>
      <c r="H1616" s="49"/>
      <c r="I1616" s="24"/>
    </row>
    <row r="1617" spans="1:9" ht="30.75" customHeight="1">
      <c r="A1617" s="236" t="s">
        <v>736</v>
      </c>
      <c r="B1617" s="92"/>
      <c r="C1617" s="31" t="s">
        <v>389</v>
      </c>
      <c r="D1617" s="35" t="s">
        <v>389</v>
      </c>
      <c r="E1617" s="31" t="s">
        <v>510</v>
      </c>
      <c r="F1617" s="88"/>
      <c r="G1617" s="49">
        <f>SUM(G1618)</f>
        <v>308.2</v>
      </c>
      <c r="H1617" s="49">
        <v>67.2</v>
      </c>
      <c r="I1617" s="24">
        <f t="shared" si="44"/>
        <v>21.804023361453602</v>
      </c>
    </row>
    <row r="1618" spans="1:9" ht="21" customHeight="1">
      <c r="A1618" s="234" t="s">
        <v>1126</v>
      </c>
      <c r="B1618" s="92"/>
      <c r="C1618" s="31" t="s">
        <v>389</v>
      </c>
      <c r="D1618" s="35" t="s">
        <v>389</v>
      </c>
      <c r="E1618" s="31" t="s">
        <v>510</v>
      </c>
      <c r="F1618" s="27" t="s">
        <v>978</v>
      </c>
      <c r="G1618" s="49">
        <v>308.2</v>
      </c>
      <c r="H1618" s="49"/>
      <c r="I1618" s="24"/>
    </row>
    <row r="1619" spans="1:9" ht="43.5" customHeight="1">
      <c r="A1619" s="234" t="s">
        <v>737</v>
      </c>
      <c r="B1619" s="92"/>
      <c r="C1619" s="31" t="s">
        <v>389</v>
      </c>
      <c r="D1619" s="35" t="s">
        <v>389</v>
      </c>
      <c r="E1619" s="31" t="s">
        <v>1106</v>
      </c>
      <c r="F1619" s="27"/>
      <c r="G1619" s="49">
        <f>SUM(G1620)</f>
        <v>4770.2</v>
      </c>
      <c r="H1619" s="49"/>
      <c r="I1619" s="24"/>
    </row>
    <row r="1620" spans="1:9" ht="22.5" customHeight="1">
      <c r="A1620" s="234" t="s">
        <v>1126</v>
      </c>
      <c r="B1620" s="92"/>
      <c r="C1620" s="31" t="s">
        <v>389</v>
      </c>
      <c r="D1620" s="35" t="s">
        <v>389</v>
      </c>
      <c r="E1620" s="31" t="s">
        <v>1106</v>
      </c>
      <c r="F1620" s="27" t="s">
        <v>978</v>
      </c>
      <c r="G1620" s="49">
        <v>4770.2</v>
      </c>
      <c r="H1620" s="49"/>
      <c r="I1620" s="24"/>
    </row>
    <row r="1621" spans="1:9" ht="0.75" customHeight="1" thickBot="1">
      <c r="A1621" s="236" t="s">
        <v>511</v>
      </c>
      <c r="B1621" s="92"/>
      <c r="C1621" s="31" t="s">
        <v>389</v>
      </c>
      <c r="D1621" s="31" t="s">
        <v>793</v>
      </c>
      <c r="E1621" s="31" t="s">
        <v>959</v>
      </c>
      <c r="F1621" s="88" t="s">
        <v>354</v>
      </c>
      <c r="G1621" s="49"/>
      <c r="H1621" s="49"/>
      <c r="I1621" s="24" t="e">
        <f t="shared" si="44"/>
        <v>#DIV/0!</v>
      </c>
    </row>
    <row r="1622" spans="1:9" ht="19.5" customHeight="1" hidden="1" thickBot="1">
      <c r="A1622" s="236" t="s">
        <v>960</v>
      </c>
      <c r="B1622" s="92"/>
      <c r="C1622" s="31" t="s">
        <v>389</v>
      </c>
      <c r="D1622" s="31" t="s">
        <v>793</v>
      </c>
      <c r="E1622" s="31" t="s">
        <v>961</v>
      </c>
      <c r="F1622" s="88" t="s">
        <v>354</v>
      </c>
      <c r="G1622" s="49"/>
      <c r="H1622" s="49"/>
      <c r="I1622" s="24" t="e">
        <f t="shared" si="44"/>
        <v>#DIV/0!</v>
      </c>
    </row>
    <row r="1623" spans="1:9" ht="19.5" customHeight="1" hidden="1" thickBot="1">
      <c r="A1623" s="257" t="s">
        <v>512</v>
      </c>
      <c r="B1623" s="92"/>
      <c r="C1623" s="31" t="s">
        <v>389</v>
      </c>
      <c r="D1623" s="31" t="s">
        <v>793</v>
      </c>
      <c r="E1623" s="31" t="s">
        <v>513</v>
      </c>
      <c r="F1623" s="88" t="s">
        <v>354</v>
      </c>
      <c r="G1623" s="49"/>
      <c r="H1623" s="49"/>
      <c r="I1623" s="24" t="e">
        <f t="shared" si="44"/>
        <v>#DIV/0!</v>
      </c>
    </row>
    <row r="1624" spans="1:9" ht="19.5" customHeight="1" hidden="1" thickBot="1">
      <c r="A1624" s="261" t="s">
        <v>1193</v>
      </c>
      <c r="B1624" s="152"/>
      <c r="C1624" s="153" t="s">
        <v>389</v>
      </c>
      <c r="D1624" s="153" t="s">
        <v>793</v>
      </c>
      <c r="E1624" s="153" t="s">
        <v>1194</v>
      </c>
      <c r="F1624" s="154" t="s">
        <v>354</v>
      </c>
      <c r="G1624" s="155"/>
      <c r="H1624" s="155"/>
      <c r="I1624" s="97" t="e">
        <f t="shared" si="44"/>
        <v>#DIV/0!</v>
      </c>
    </row>
    <row r="1625" spans="1:9" ht="30" customHeight="1" thickBot="1">
      <c r="A1625" s="242" t="s">
        <v>1158</v>
      </c>
      <c r="B1625" s="99"/>
      <c r="C1625" s="100"/>
      <c r="D1625" s="100"/>
      <c r="E1625" s="100"/>
      <c r="F1625" s="101"/>
      <c r="G1625" s="102">
        <f>SUM(G11+G37+G226+G654+G691+G949+G1137+G1160+G1402+G1505+G1044+G45)</f>
        <v>3636531.1999999993</v>
      </c>
      <c r="H1625" s="102" t="e">
        <f>SUM(H11+H37+H226+H654+H691+H949+H1137+H1160+H1402+H1505)</f>
        <v>#REF!</v>
      </c>
      <c r="I1625" s="103" t="e">
        <f t="shared" si="44"/>
        <v>#REF!</v>
      </c>
    </row>
    <row r="1626" spans="1:9" ht="26.25" hidden="1" thickBot="1">
      <c r="A1626" s="262" t="s">
        <v>1159</v>
      </c>
      <c r="B1626" s="156"/>
      <c r="C1626" s="157"/>
      <c r="D1626" s="156"/>
      <c r="E1626" s="156"/>
      <c r="F1626" s="158"/>
      <c r="G1626" s="114">
        <f>-76000-174.5-350</f>
        <v>-76524.5</v>
      </c>
      <c r="H1626" s="114">
        <f>-76000-174.5-350</f>
        <v>-76524.5</v>
      </c>
      <c r="I1626" s="114">
        <f>-76000-174.5-350</f>
        <v>-76524.5</v>
      </c>
    </row>
    <row r="1627" ht="12" customHeight="1">
      <c r="G1627" s="245"/>
    </row>
    <row r="1628" ht="15" customHeight="1"/>
    <row r="1629" ht="18" customHeight="1">
      <c r="G1629" s="246"/>
    </row>
    <row r="1630" ht="13.5">
      <c r="G1630" s="333"/>
    </row>
    <row r="1631" ht="12.75">
      <c r="G1631" s="334"/>
    </row>
    <row r="1632" ht="12.75">
      <c r="G1632" s="335"/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2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3">
      <selection activeCell="C5" sqref="C5:D5"/>
    </sheetView>
  </sheetViews>
  <sheetFormatPr defaultColWidth="9.00390625" defaultRowHeight="12.75"/>
  <cols>
    <col min="1" max="1" width="30.625" style="166" customWidth="1"/>
    <col min="2" max="2" width="55.125" style="169" customWidth="1"/>
    <col min="3" max="3" width="17.75390625" style="171" customWidth="1"/>
    <col min="4" max="4" width="14.875" style="167" hidden="1" customWidth="1"/>
    <col min="5" max="5" width="15.75390625" style="167" hidden="1" customWidth="1"/>
    <col min="6" max="6" width="9.125" style="167" customWidth="1"/>
    <col min="7" max="7" width="11.625" style="167" customWidth="1"/>
    <col min="8" max="16384" width="9.125" style="167" customWidth="1"/>
  </cols>
  <sheetData>
    <row r="1" spans="2:4" ht="12.75">
      <c r="B1" s="159"/>
      <c r="C1" s="278" t="s">
        <v>700</v>
      </c>
      <c r="D1" s="159"/>
    </row>
    <row r="2" spans="2:4" ht="12" customHeight="1">
      <c r="B2" s="168"/>
      <c r="C2" s="168" t="s">
        <v>315</v>
      </c>
      <c r="D2" s="159"/>
    </row>
    <row r="3" spans="1:4" ht="15.75" customHeight="1">
      <c r="A3" s="256"/>
      <c r="B3" s="168"/>
      <c r="C3" s="168" t="s">
        <v>316</v>
      </c>
      <c r="D3" s="159"/>
    </row>
    <row r="4" spans="3:4" ht="15">
      <c r="C4" s="168" t="s">
        <v>317</v>
      </c>
      <c r="D4" s="159"/>
    </row>
    <row r="5" spans="3:5" ht="19.5" customHeight="1">
      <c r="C5" s="400" t="s">
        <v>223</v>
      </c>
      <c r="D5" s="400"/>
      <c r="E5" s="170"/>
    </row>
    <row r="6" spans="1:3" ht="65.25" customHeight="1">
      <c r="A6" s="404" t="s">
        <v>366</v>
      </c>
      <c r="B6" s="405"/>
      <c r="C6" s="405"/>
    </row>
    <row r="7" spans="1:2" s="171" customFormat="1" ht="15">
      <c r="A7" s="166"/>
      <c r="B7" s="169"/>
    </row>
    <row r="8" spans="1:5" s="171" customFormat="1" ht="12.75" customHeight="1">
      <c r="A8" s="385" t="s">
        <v>908</v>
      </c>
      <c r="B8" s="407" t="s">
        <v>800</v>
      </c>
      <c r="C8" s="403" t="s">
        <v>801</v>
      </c>
      <c r="D8" s="403" t="s">
        <v>802</v>
      </c>
      <c r="E8" s="403" t="s">
        <v>801</v>
      </c>
    </row>
    <row r="9" spans="1:5" s="171" customFormat="1" ht="11.25" customHeight="1">
      <c r="A9" s="386"/>
      <c r="B9" s="407"/>
      <c r="C9" s="403"/>
      <c r="D9" s="403"/>
      <c r="E9" s="403"/>
    </row>
    <row r="10" spans="1:5" s="172" customFormat="1" ht="37.5" customHeight="1">
      <c r="A10" s="406"/>
      <c r="B10" s="407"/>
      <c r="C10" s="403"/>
      <c r="D10" s="403"/>
      <c r="E10" s="403"/>
    </row>
    <row r="11" spans="1:5" s="176" customFormat="1" ht="30" customHeight="1">
      <c r="A11" s="173" t="s">
        <v>803</v>
      </c>
      <c r="B11" s="174" t="s">
        <v>804</v>
      </c>
      <c r="C11" s="175">
        <f>C12+C17+C22+C27</f>
        <v>271391.3</v>
      </c>
      <c r="D11" s="175">
        <f>D12+D17+D22+D27</f>
        <v>-70000</v>
      </c>
      <c r="E11" s="175">
        <f>E12+E17+E22+E27</f>
        <v>295233.1</v>
      </c>
    </row>
    <row r="12" spans="1:7" s="176" customFormat="1" ht="31.5" customHeight="1">
      <c r="A12" s="177" t="s">
        <v>837</v>
      </c>
      <c r="B12" s="178" t="s">
        <v>838</v>
      </c>
      <c r="C12" s="175">
        <f>SUM(C13-C15)</f>
        <v>81289.99999999997</v>
      </c>
      <c r="D12" s="175">
        <f>SUM(D13+D15)</f>
        <v>-70000</v>
      </c>
      <c r="E12" s="175">
        <f>SUM(E13-E15)</f>
        <v>100131.79999999999</v>
      </c>
      <c r="G12" s="337"/>
    </row>
    <row r="13" spans="1:5" s="176" customFormat="1" ht="33" customHeight="1">
      <c r="A13" s="177" t="s">
        <v>839</v>
      </c>
      <c r="B13" s="178" t="s">
        <v>841</v>
      </c>
      <c r="C13" s="181">
        <f>160164.9+13.7-13.7-33.1+5000-53.2-23788.6</f>
        <v>141289.99999999997</v>
      </c>
      <c r="D13" s="179">
        <f>SUM(D14)</f>
        <v>0</v>
      </c>
      <c r="E13" s="181">
        <f>160164.9+13.7-13.7-33.1</f>
        <v>160131.8</v>
      </c>
    </row>
    <row r="14" spans="1:5" s="176" customFormat="1" ht="30" hidden="1">
      <c r="A14" s="177" t="s">
        <v>842</v>
      </c>
      <c r="B14" s="180" t="s">
        <v>843</v>
      </c>
      <c r="C14" s="181">
        <v>100580.5</v>
      </c>
      <c r="D14" s="181"/>
      <c r="E14" s="181">
        <v>100580.5</v>
      </c>
    </row>
    <row r="15" spans="1:5" s="176" customFormat="1" ht="29.25" customHeight="1">
      <c r="A15" s="177" t="s">
        <v>844</v>
      </c>
      <c r="B15" s="182" t="s">
        <v>487</v>
      </c>
      <c r="C15" s="181">
        <f>SUM(C16)</f>
        <v>60000</v>
      </c>
      <c r="D15" s="181">
        <f>SUM(D16)</f>
        <v>-70000</v>
      </c>
      <c r="E15" s="181">
        <f>SUM(E16)</f>
        <v>60000</v>
      </c>
    </row>
    <row r="16" spans="1:5" s="176" customFormat="1" ht="36" customHeight="1" hidden="1">
      <c r="A16" s="177" t="s">
        <v>488</v>
      </c>
      <c r="B16" s="180" t="s">
        <v>489</v>
      </c>
      <c r="C16" s="181">
        <v>60000</v>
      </c>
      <c r="D16" s="181">
        <v>-70000</v>
      </c>
      <c r="E16" s="181">
        <v>60000</v>
      </c>
    </row>
    <row r="17" spans="1:5" s="176" customFormat="1" ht="29.25" customHeight="1">
      <c r="A17" s="177" t="s">
        <v>490</v>
      </c>
      <c r="B17" s="183" t="s">
        <v>1163</v>
      </c>
      <c r="C17" s="175">
        <f>SUM(C18)-C21</f>
        <v>-25000</v>
      </c>
      <c r="D17" s="175">
        <f>SUM(D18)</f>
        <v>0</v>
      </c>
      <c r="E17" s="175">
        <f>SUM(E18)-E21</f>
        <v>0</v>
      </c>
    </row>
    <row r="18" spans="1:5" s="176" customFormat="1" ht="45" customHeight="1">
      <c r="A18" s="177" t="s">
        <v>491</v>
      </c>
      <c r="B18" s="184" t="s">
        <v>492</v>
      </c>
      <c r="C18" s="181">
        <v>50000</v>
      </c>
      <c r="D18" s="181">
        <f>SUM(D19)</f>
        <v>0</v>
      </c>
      <c r="E18" s="181">
        <v>75000</v>
      </c>
    </row>
    <row r="19" spans="1:5" s="185" customFormat="1" ht="48" customHeight="1" hidden="1">
      <c r="A19" s="177" t="s">
        <v>633</v>
      </c>
      <c r="B19" s="183" t="s">
        <v>1164</v>
      </c>
      <c r="C19" s="181">
        <v>150000</v>
      </c>
      <c r="D19" s="181"/>
      <c r="E19" s="181">
        <v>150000</v>
      </c>
    </row>
    <row r="20" spans="1:5" s="185" customFormat="1" ht="51" customHeight="1">
      <c r="A20" s="177" t="s">
        <v>634</v>
      </c>
      <c r="B20" s="186" t="s">
        <v>635</v>
      </c>
      <c r="C20" s="181">
        <f>SUM(C21)</f>
        <v>75000</v>
      </c>
      <c r="D20" s="181"/>
      <c r="E20" s="181">
        <f>SUM(E21)</f>
        <v>75000</v>
      </c>
    </row>
    <row r="21" spans="1:5" s="185" customFormat="1" ht="0.75" customHeight="1" hidden="1">
      <c r="A21" s="177" t="s">
        <v>636</v>
      </c>
      <c r="B21" s="180" t="s">
        <v>493</v>
      </c>
      <c r="C21" s="181">
        <v>75000</v>
      </c>
      <c r="D21" s="181"/>
      <c r="E21" s="181">
        <v>75000</v>
      </c>
    </row>
    <row r="22" spans="1:5" s="176" customFormat="1" ht="32.25" customHeight="1">
      <c r="A22" s="173" t="s">
        <v>494</v>
      </c>
      <c r="B22" s="174" t="s">
        <v>495</v>
      </c>
      <c r="C22" s="175">
        <f aca="true" t="shared" si="0" ref="C22:E25">SUM(C23)</f>
        <v>215101.30000000002</v>
      </c>
      <c r="D22" s="175">
        <f t="shared" si="0"/>
        <v>0</v>
      </c>
      <c r="E22" s="175">
        <f t="shared" si="0"/>
        <v>195101.30000000002</v>
      </c>
    </row>
    <row r="23" spans="1:5" s="176" customFormat="1" ht="32.25" customHeight="1">
      <c r="A23" s="177" t="s">
        <v>496</v>
      </c>
      <c r="B23" s="187" t="s">
        <v>497</v>
      </c>
      <c r="C23" s="181">
        <f>SUM(C24)</f>
        <v>215101.30000000002</v>
      </c>
      <c r="D23" s="181">
        <f t="shared" si="0"/>
        <v>0</v>
      </c>
      <c r="E23" s="181">
        <f>SUM(E24)</f>
        <v>195101.30000000002</v>
      </c>
    </row>
    <row r="24" spans="1:5" s="176" customFormat="1" ht="32.25" customHeight="1">
      <c r="A24" s="177" t="s">
        <v>498</v>
      </c>
      <c r="B24" s="187" t="s">
        <v>499</v>
      </c>
      <c r="C24" s="181">
        <f>156446+24247.2+14408.1+20000</f>
        <v>215101.30000000002</v>
      </c>
      <c r="D24" s="181">
        <f t="shared" si="0"/>
        <v>0</v>
      </c>
      <c r="E24" s="181">
        <f>156446+24247.2+14408.1</f>
        <v>195101.30000000002</v>
      </c>
    </row>
    <row r="25" spans="1:5" s="176" customFormat="1" ht="32.25" customHeight="1" hidden="1">
      <c r="A25" s="177" t="s">
        <v>500</v>
      </c>
      <c r="B25" s="187" t="s">
        <v>501</v>
      </c>
      <c r="C25" s="181">
        <f t="shared" si="0"/>
        <v>34419.5</v>
      </c>
      <c r="D25" s="181">
        <f t="shared" si="0"/>
        <v>0</v>
      </c>
      <c r="E25" s="181">
        <f t="shared" si="0"/>
        <v>34419.5</v>
      </c>
    </row>
    <row r="26" spans="1:5" s="185" customFormat="1" ht="38.25" customHeight="1" hidden="1">
      <c r="A26" s="177" t="s">
        <v>502</v>
      </c>
      <c r="B26" s="187" t="s">
        <v>503</v>
      </c>
      <c r="C26" s="181">
        <v>34419.5</v>
      </c>
      <c r="D26" s="181"/>
      <c r="E26" s="181">
        <v>34419.5</v>
      </c>
    </row>
    <row r="27" spans="1:6" ht="35.25" customHeight="1">
      <c r="A27" s="188" t="s">
        <v>504</v>
      </c>
      <c r="B27" s="189" t="s">
        <v>1172</v>
      </c>
      <c r="C27" s="190">
        <f>C28+C31</f>
        <v>0</v>
      </c>
      <c r="D27" s="190">
        <f>D28+D31</f>
        <v>0</v>
      </c>
      <c r="E27" s="190">
        <f>E28+E31</f>
        <v>0</v>
      </c>
      <c r="F27" s="185"/>
    </row>
    <row r="28" spans="1:6" ht="30.75" customHeight="1">
      <c r="A28" s="191" t="s">
        <v>505</v>
      </c>
      <c r="B28" s="192" t="s">
        <v>506</v>
      </c>
      <c r="C28" s="193">
        <f aca="true" t="shared" si="1" ref="C28:E29">SUM(C29)</f>
        <v>-10000</v>
      </c>
      <c r="D28" s="193">
        <f t="shared" si="1"/>
        <v>0</v>
      </c>
      <c r="E28" s="193">
        <f t="shared" si="1"/>
        <v>-10000</v>
      </c>
      <c r="F28" s="185"/>
    </row>
    <row r="29" spans="1:6" ht="123.75" customHeight="1">
      <c r="A29" s="191" t="s">
        <v>507</v>
      </c>
      <c r="B29" s="194" t="s">
        <v>1321</v>
      </c>
      <c r="C29" s="193">
        <f t="shared" si="1"/>
        <v>-10000</v>
      </c>
      <c r="D29" s="193">
        <f t="shared" si="1"/>
        <v>0</v>
      </c>
      <c r="E29" s="193">
        <f t="shared" si="1"/>
        <v>-10000</v>
      </c>
      <c r="F29" s="185"/>
    </row>
    <row r="30" spans="1:6" ht="110.25" customHeight="1" hidden="1">
      <c r="A30" s="191" t="s">
        <v>1322</v>
      </c>
      <c r="B30" s="195" t="s">
        <v>417</v>
      </c>
      <c r="C30" s="193">
        <v>-10000</v>
      </c>
      <c r="D30" s="193"/>
      <c r="E30" s="193">
        <v>-10000</v>
      </c>
      <c r="F30" s="185"/>
    </row>
    <row r="31" spans="1:6" ht="30" customHeight="1">
      <c r="A31" s="191" t="s">
        <v>418</v>
      </c>
      <c r="B31" s="192" t="s">
        <v>419</v>
      </c>
      <c r="C31" s="193">
        <f>SUM(C32)</f>
        <v>10000</v>
      </c>
      <c r="D31" s="193">
        <f>SUM(D32)</f>
        <v>0</v>
      </c>
      <c r="E31" s="193">
        <f>SUM(E32)</f>
        <v>10000</v>
      </c>
      <c r="F31" s="185"/>
    </row>
    <row r="32" spans="1:6" ht="30" customHeight="1">
      <c r="A32" s="191" t="s">
        <v>420</v>
      </c>
      <c r="B32" s="192" t="s">
        <v>421</v>
      </c>
      <c r="C32" s="193">
        <f>SUM(C33)</f>
        <v>10000</v>
      </c>
      <c r="D32" s="193">
        <f>SUM(D33)</f>
        <v>0</v>
      </c>
      <c r="E32" s="193">
        <v>10000</v>
      </c>
      <c r="F32" s="185"/>
    </row>
    <row r="33" spans="1:6" ht="45" customHeight="1" hidden="1">
      <c r="A33" s="191" t="s">
        <v>422</v>
      </c>
      <c r="B33" s="180" t="s">
        <v>423</v>
      </c>
      <c r="C33" s="193">
        <v>10000</v>
      </c>
      <c r="D33" s="193"/>
      <c r="E33" s="185"/>
      <c r="F33" s="185"/>
    </row>
    <row r="34" spans="1:6" ht="15">
      <c r="A34" s="196"/>
      <c r="C34" s="197"/>
      <c r="D34" s="185"/>
      <c r="E34" s="185"/>
      <c r="F34" s="185"/>
    </row>
  </sheetData>
  <sheetProtection/>
  <mergeCells count="7">
    <mergeCell ref="E8:E10"/>
    <mergeCell ref="C5:D5"/>
    <mergeCell ref="D8:D10"/>
    <mergeCell ref="A6:C6"/>
    <mergeCell ref="A8:A10"/>
    <mergeCell ref="B8:B10"/>
    <mergeCell ref="C8:C10"/>
  </mergeCells>
  <printOptions/>
  <pageMargins left="1.1811023622047245" right="0.3937007874015748" top="0.984251968503937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54.875" style="302" customWidth="1"/>
    <col min="2" max="2" width="22.625" style="302" customWidth="1"/>
    <col min="3" max="3" width="14.375" style="302" hidden="1" customWidth="1"/>
    <col min="4" max="4" width="15.875" style="302" hidden="1" customWidth="1"/>
    <col min="5" max="16384" width="9.125" style="302" customWidth="1"/>
  </cols>
  <sheetData>
    <row r="1" spans="2:7" ht="18" customHeight="1">
      <c r="B1" s="36" t="s">
        <v>682</v>
      </c>
      <c r="C1" s="303"/>
      <c r="D1" s="93" t="s">
        <v>683</v>
      </c>
      <c r="G1" s="304"/>
    </row>
    <row r="2" spans="2:7" ht="12.75">
      <c r="B2" s="2" t="s">
        <v>315</v>
      </c>
      <c r="C2" s="303"/>
      <c r="D2" s="303"/>
      <c r="G2" s="304"/>
    </row>
    <row r="3" spans="2:7" ht="12.75">
      <c r="B3" s="2" t="s">
        <v>316</v>
      </c>
      <c r="C3" s="303"/>
      <c r="D3" s="303"/>
      <c r="G3" s="304"/>
    </row>
    <row r="4" spans="2:7" ht="12.75">
      <c r="B4" s="305" t="s">
        <v>317</v>
      </c>
      <c r="C4" s="303"/>
      <c r="D4" s="303"/>
      <c r="G4" s="304"/>
    </row>
    <row r="5" spans="2:7" ht="15" customHeight="1">
      <c r="B5" s="400" t="s">
        <v>223</v>
      </c>
      <c r="C5" s="400"/>
      <c r="D5" s="98"/>
      <c r="G5" s="304"/>
    </row>
    <row r="6" ht="12.75">
      <c r="B6" s="304"/>
    </row>
    <row r="9" s="304" customFormat="1" ht="15">
      <c r="A9" s="306" t="s">
        <v>684</v>
      </c>
    </row>
    <row r="10" spans="1:4" s="304" customFormat="1" ht="15">
      <c r="A10" s="306" t="s">
        <v>685</v>
      </c>
      <c r="C10" s="306"/>
      <c r="D10" s="306"/>
    </row>
    <row r="11" ht="15.75">
      <c r="A11" s="307"/>
    </row>
    <row r="12" s="306" customFormat="1" ht="15"/>
    <row r="13" s="306" customFormat="1" ht="15">
      <c r="A13" s="306" t="s">
        <v>686</v>
      </c>
    </row>
    <row r="14" s="306" customFormat="1" ht="15"/>
    <row r="15" s="306" customFormat="1" ht="15.75" thickBot="1">
      <c r="B15" s="306" t="s">
        <v>687</v>
      </c>
    </row>
    <row r="16" spans="1:4" s="306" customFormat="1" ht="40.5" customHeight="1" thickBot="1">
      <c r="A16" s="308" t="s">
        <v>321</v>
      </c>
      <c r="B16" s="309" t="s">
        <v>688</v>
      </c>
      <c r="C16" s="309" t="s">
        <v>689</v>
      </c>
      <c r="D16" s="309" t="s">
        <v>690</v>
      </c>
    </row>
    <row r="17" spans="1:4" s="306" customFormat="1" ht="45.75" customHeight="1">
      <c r="A17" s="310" t="s">
        <v>691</v>
      </c>
      <c r="B17" s="311">
        <f>SUM(B18-B19)</f>
        <v>81289.99999999997</v>
      </c>
      <c r="C17" s="311">
        <f>SUM(C18-C19)</f>
        <v>31656.5</v>
      </c>
      <c r="D17" s="311">
        <f>SUM(D18-D19)</f>
        <v>97105</v>
      </c>
    </row>
    <row r="18" spans="1:4" s="306" customFormat="1" ht="24" customHeight="1">
      <c r="A18" s="312" t="s">
        <v>692</v>
      </c>
      <c r="B18" s="313">
        <f>160178.6-13.7-33.1+5000-53.2-23788.6</f>
        <v>141289.99999999997</v>
      </c>
      <c r="C18" s="313">
        <f>31656.5+100580.5</f>
        <v>132237</v>
      </c>
      <c r="D18" s="313">
        <f>132237+97105</f>
        <v>229342</v>
      </c>
    </row>
    <row r="19" spans="1:4" s="306" customFormat="1" ht="25.5" customHeight="1" thickBot="1">
      <c r="A19" s="314" t="s">
        <v>693</v>
      </c>
      <c r="B19" s="313">
        <v>60000</v>
      </c>
      <c r="C19" s="313">
        <v>100580.5</v>
      </c>
      <c r="D19" s="313">
        <v>132237</v>
      </c>
    </row>
    <row r="20" spans="1:4" s="306" customFormat="1" ht="45.75" thickBot="1">
      <c r="A20" s="315" t="s">
        <v>694</v>
      </c>
      <c r="B20" s="316">
        <f>SUM(B22-B23)</f>
        <v>-25000</v>
      </c>
      <c r="C20" s="316">
        <f>SUM(C22-C23)</f>
        <v>0</v>
      </c>
      <c r="D20" s="316">
        <f>SUM(D22-D23)</f>
        <v>0</v>
      </c>
    </row>
    <row r="21" spans="1:4" s="306" customFormat="1" ht="15" hidden="1">
      <c r="A21" s="317"/>
      <c r="B21" s="313"/>
      <c r="C21" s="313"/>
      <c r="D21" s="313"/>
    </row>
    <row r="22" spans="1:4" s="306" customFormat="1" ht="24" customHeight="1">
      <c r="A22" s="312" t="s">
        <v>692</v>
      </c>
      <c r="B22" s="313">
        <v>50000</v>
      </c>
      <c r="C22" s="313"/>
      <c r="D22" s="313"/>
    </row>
    <row r="23" spans="1:4" s="306" customFormat="1" ht="25.5" customHeight="1" thickBot="1">
      <c r="A23" s="318" t="s">
        <v>693</v>
      </c>
      <c r="B23" s="319">
        <v>75000</v>
      </c>
      <c r="C23" s="319"/>
      <c r="D23" s="319"/>
    </row>
    <row r="24" spans="1:4" s="306" customFormat="1" ht="21" customHeight="1" thickBot="1">
      <c r="A24" s="320" t="s">
        <v>695</v>
      </c>
      <c r="B24" s="316">
        <f>SUM(B25-B26)</f>
        <v>56289.99999999997</v>
      </c>
      <c r="C24" s="316">
        <f>SUM(C25-C26)</f>
        <v>31656.5</v>
      </c>
      <c r="D24" s="316">
        <f>SUM(D25-D26)</f>
        <v>97105</v>
      </c>
    </row>
    <row r="25" spans="1:4" s="306" customFormat="1" ht="24" customHeight="1">
      <c r="A25" s="321" t="s">
        <v>692</v>
      </c>
      <c r="B25" s="311">
        <f>SUM(B18+B22)</f>
        <v>191289.99999999997</v>
      </c>
      <c r="C25" s="311">
        <f>SUM(C18+C22)</f>
        <v>132237</v>
      </c>
      <c r="D25" s="311">
        <f>SUM(D18+D22)</f>
        <v>229342</v>
      </c>
    </row>
    <row r="26" spans="1:4" s="306" customFormat="1" ht="21.75" customHeight="1" thickBot="1">
      <c r="A26" s="314" t="s">
        <v>693</v>
      </c>
      <c r="B26" s="322">
        <f>SUM(B23)+B19</f>
        <v>135000</v>
      </c>
      <c r="C26" s="322">
        <f>SUM(C23)+C19</f>
        <v>100580.5</v>
      </c>
      <c r="D26" s="322">
        <f>SUM(D23)+D19</f>
        <v>132237</v>
      </c>
    </row>
  </sheetData>
  <sheetProtection/>
  <mergeCells count="1">
    <mergeCell ref="B5:C5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5" sqref="D5:E5"/>
    </sheetView>
  </sheetViews>
  <sheetFormatPr defaultColWidth="9.00390625" defaultRowHeight="12.75"/>
  <cols>
    <col min="1" max="1" width="54.875" style="302" customWidth="1"/>
    <col min="2" max="2" width="17.375" style="302" hidden="1" customWidth="1"/>
    <col min="3" max="3" width="14.375" style="302" customWidth="1"/>
    <col min="4" max="4" width="15.875" style="302" customWidth="1"/>
    <col min="5" max="16384" width="9.125" style="302" customWidth="1"/>
  </cols>
  <sheetData>
    <row r="1" spans="4:7" ht="18" customHeight="1">
      <c r="D1" s="36" t="s">
        <v>683</v>
      </c>
      <c r="G1" s="304"/>
    </row>
    <row r="2" spans="4:7" ht="12.75">
      <c r="D2" s="2" t="s">
        <v>315</v>
      </c>
      <c r="G2" s="304"/>
    </row>
    <row r="3" spans="4:7" ht="12.75">
      <c r="D3" s="2" t="s">
        <v>316</v>
      </c>
      <c r="G3" s="304"/>
    </row>
    <row r="4" spans="4:7" ht="12.75">
      <c r="D4" s="2" t="s">
        <v>317</v>
      </c>
      <c r="G4" s="304"/>
    </row>
    <row r="5" spans="4:7" ht="14.25" customHeight="1">
      <c r="D5" s="400" t="s">
        <v>223</v>
      </c>
      <c r="E5" s="400"/>
      <c r="G5" s="304"/>
    </row>
    <row r="6" ht="12.75">
      <c r="C6" s="304"/>
    </row>
    <row r="9" s="304" customFormat="1" ht="15">
      <c r="A9" s="306" t="s">
        <v>684</v>
      </c>
    </row>
    <row r="10" spans="1:4" s="304" customFormat="1" ht="15">
      <c r="A10" s="306" t="s">
        <v>696</v>
      </c>
      <c r="C10" s="306"/>
      <c r="D10" s="306"/>
    </row>
    <row r="11" ht="15.75">
      <c r="A11" s="307"/>
    </row>
    <row r="12" s="306" customFormat="1" ht="15"/>
    <row r="13" s="306" customFormat="1" ht="15">
      <c r="A13" s="306" t="s">
        <v>686</v>
      </c>
    </row>
    <row r="14" s="306" customFormat="1" ht="15"/>
    <row r="15" spans="2:3" s="306" customFormat="1" ht="15.75" thickBot="1">
      <c r="B15" s="306" t="s">
        <v>687</v>
      </c>
      <c r="C15" s="306" t="s">
        <v>687</v>
      </c>
    </row>
    <row r="16" spans="1:4" s="306" customFormat="1" ht="40.5" customHeight="1" thickBot="1">
      <c r="A16" s="308" t="s">
        <v>321</v>
      </c>
      <c r="B16" s="309" t="s">
        <v>688</v>
      </c>
      <c r="C16" s="309" t="s">
        <v>689</v>
      </c>
      <c r="D16" s="309" t="s">
        <v>690</v>
      </c>
    </row>
    <row r="17" spans="1:4" s="306" customFormat="1" ht="45.75" customHeight="1">
      <c r="A17" s="310" t="s">
        <v>691</v>
      </c>
      <c r="B17" s="311">
        <f>SUM(B18-B19)</f>
        <v>40580.5</v>
      </c>
      <c r="C17" s="311">
        <f>SUM(C18-C19)</f>
        <v>81656.1</v>
      </c>
      <c r="D17" s="311">
        <f>SUM(D18-D19)</f>
        <v>97105</v>
      </c>
    </row>
    <row r="18" spans="1:4" s="306" customFormat="1" ht="24" customHeight="1">
      <c r="A18" s="312" t="s">
        <v>692</v>
      </c>
      <c r="B18" s="313">
        <v>100580.5</v>
      </c>
      <c r="C18" s="313">
        <f>160164.9+31656.5+13.7+75000-13.7-33.1-20000-53.6-23788.6</f>
        <v>222946.09999999998</v>
      </c>
      <c r="D18" s="313">
        <f>C18+97105</f>
        <v>320051.1</v>
      </c>
    </row>
    <row r="19" spans="1:4" s="306" customFormat="1" ht="25.5" customHeight="1" thickBot="1">
      <c r="A19" s="314" t="s">
        <v>693</v>
      </c>
      <c r="B19" s="313">
        <v>60000</v>
      </c>
      <c r="C19" s="313">
        <f>160178.6-13.7-33.1+5000-53.2-23788.6</f>
        <v>141289.99999999997</v>
      </c>
      <c r="D19" s="313">
        <f>SUM(C18)</f>
        <v>222946.09999999998</v>
      </c>
    </row>
    <row r="20" spans="1:4" s="306" customFormat="1" ht="45.75" thickBot="1">
      <c r="A20" s="315" t="s">
        <v>694</v>
      </c>
      <c r="B20" s="316">
        <f>SUM(B22-B23)</f>
        <v>-75000</v>
      </c>
      <c r="C20" s="316">
        <f>SUM(C22-C23)</f>
        <v>-50000</v>
      </c>
      <c r="D20" s="316">
        <f>SUM(D22-D23)</f>
        <v>0</v>
      </c>
    </row>
    <row r="21" spans="1:4" s="306" customFormat="1" ht="15" hidden="1">
      <c r="A21" s="317"/>
      <c r="B21" s="313"/>
      <c r="C21" s="313"/>
      <c r="D21" s="313"/>
    </row>
    <row r="22" spans="1:4" s="306" customFormat="1" ht="24" customHeight="1">
      <c r="A22" s="312" t="s">
        <v>692</v>
      </c>
      <c r="B22" s="313"/>
      <c r="C22" s="313">
        <v>0</v>
      </c>
      <c r="D22" s="313">
        <v>0</v>
      </c>
    </row>
    <row r="23" spans="1:4" s="306" customFormat="1" ht="25.5" customHeight="1" thickBot="1">
      <c r="A23" s="318" t="s">
        <v>693</v>
      </c>
      <c r="B23" s="319">
        <v>75000</v>
      </c>
      <c r="C23" s="313">
        <v>50000</v>
      </c>
      <c r="D23" s="313">
        <v>0</v>
      </c>
    </row>
    <row r="24" spans="1:4" s="306" customFormat="1" ht="21" customHeight="1" thickBot="1">
      <c r="A24" s="320" t="s">
        <v>695</v>
      </c>
      <c r="B24" s="316">
        <f>SUM(B25-B26)</f>
        <v>-34419.5</v>
      </c>
      <c r="C24" s="316">
        <f>SUM(C25-C26)</f>
        <v>31656.100000000006</v>
      </c>
      <c r="D24" s="316">
        <f>SUM(D25-D26)</f>
        <v>97105</v>
      </c>
    </row>
    <row r="25" spans="1:4" s="306" customFormat="1" ht="24" customHeight="1">
      <c r="A25" s="321" t="s">
        <v>692</v>
      </c>
      <c r="B25" s="311">
        <f>SUM(B18+B22)</f>
        <v>100580.5</v>
      </c>
      <c r="C25" s="311">
        <f>SUM(C18+C22)</f>
        <v>222946.09999999998</v>
      </c>
      <c r="D25" s="311">
        <f>SUM(D18+D22)</f>
        <v>320051.1</v>
      </c>
    </row>
    <row r="26" spans="1:4" s="306" customFormat="1" ht="21.75" customHeight="1" thickBot="1">
      <c r="A26" s="314" t="s">
        <v>693</v>
      </c>
      <c r="B26" s="322">
        <f>SUM(B23)+B19</f>
        <v>135000</v>
      </c>
      <c r="C26" s="322">
        <f>SUM(C23)+C19</f>
        <v>191289.99999999997</v>
      </c>
      <c r="D26" s="322">
        <f>SUM(D23)+D19</f>
        <v>222946.09999999998</v>
      </c>
    </row>
  </sheetData>
  <sheetProtection/>
  <mergeCells count="1">
    <mergeCell ref="D5:E5"/>
  </mergeCells>
  <printOptions/>
  <pageMargins left="1.1023622047244095" right="0.5118110236220472" top="0.7480314960629921" bottom="0.5511811023622047" header="0.31496062992125984" footer="0.31496062992125984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0.625" style="166" customWidth="1"/>
    <col min="2" max="2" width="53.25390625" style="325" customWidth="1"/>
    <col min="3" max="3" width="16.375" style="171" customWidth="1"/>
    <col min="4" max="4" width="15.25390625" style="167" customWidth="1"/>
    <col min="5" max="16384" width="9.125" style="167" customWidth="1"/>
  </cols>
  <sheetData>
    <row r="1" spans="2:4" ht="12.75">
      <c r="B1" s="323"/>
      <c r="C1" s="278" t="s">
        <v>734</v>
      </c>
      <c r="D1" s="303"/>
    </row>
    <row r="2" spans="2:4" ht="12" customHeight="1">
      <c r="B2" s="324"/>
      <c r="C2" s="168" t="s">
        <v>315</v>
      </c>
      <c r="D2" s="303"/>
    </row>
    <row r="3" spans="2:4" ht="12.75">
      <c r="B3" s="324"/>
      <c r="C3" s="168" t="s">
        <v>316</v>
      </c>
      <c r="D3" s="303"/>
    </row>
    <row r="4" spans="3:4" ht="15">
      <c r="C4" s="168" t="s">
        <v>317</v>
      </c>
      <c r="D4" s="303"/>
    </row>
    <row r="5" spans="3:5" ht="17.25" customHeight="1">
      <c r="C5" s="400" t="s">
        <v>223</v>
      </c>
      <c r="D5" s="400"/>
      <c r="E5" s="170"/>
    </row>
    <row r="6" spans="1:3" ht="75.75" customHeight="1">
      <c r="A6" s="404" t="s">
        <v>697</v>
      </c>
      <c r="B6" s="405"/>
      <c r="C6" s="405"/>
    </row>
    <row r="7" spans="1:2" s="171" customFormat="1" ht="15">
      <c r="A7" s="166"/>
      <c r="B7" s="325"/>
    </row>
    <row r="8" spans="1:4" s="171" customFormat="1" ht="12.75" customHeight="1">
      <c r="A8" s="385" t="s">
        <v>908</v>
      </c>
      <c r="B8" s="407" t="s">
        <v>800</v>
      </c>
      <c r="C8" s="403" t="s">
        <v>698</v>
      </c>
      <c r="D8" s="403" t="s">
        <v>699</v>
      </c>
    </row>
    <row r="9" spans="1:4" s="171" customFormat="1" ht="11.25" customHeight="1">
      <c r="A9" s="386"/>
      <c r="B9" s="407"/>
      <c r="C9" s="403"/>
      <c r="D9" s="403"/>
    </row>
    <row r="10" spans="1:4" s="172" customFormat="1" ht="37.5" customHeight="1">
      <c r="A10" s="406"/>
      <c r="B10" s="407"/>
      <c r="C10" s="403"/>
      <c r="D10" s="403"/>
    </row>
    <row r="11" spans="1:4" s="176" customFormat="1" ht="30" customHeight="1">
      <c r="A11" s="173" t="s">
        <v>803</v>
      </c>
      <c r="B11" s="174" t="s">
        <v>804</v>
      </c>
      <c r="C11" s="175">
        <f>C12+C17+C22+C27</f>
        <v>31656.5</v>
      </c>
      <c r="D11" s="175">
        <f>D12+D17+D22+D27</f>
        <v>97105.00000000003</v>
      </c>
    </row>
    <row r="12" spans="1:4" s="176" customFormat="1" ht="30" customHeight="1">
      <c r="A12" s="177" t="s">
        <v>837</v>
      </c>
      <c r="B12" s="326" t="s">
        <v>838</v>
      </c>
      <c r="C12" s="175">
        <f>SUM(C13-C15)</f>
        <v>81656.5</v>
      </c>
      <c r="D12" s="175">
        <f>SUM(D13-D15)</f>
        <v>97105.00000000003</v>
      </c>
    </row>
    <row r="13" spans="1:4" s="176" customFormat="1" ht="30" customHeight="1">
      <c r="A13" s="177" t="s">
        <v>839</v>
      </c>
      <c r="B13" s="326" t="s">
        <v>841</v>
      </c>
      <c r="C13" s="181">
        <f>160164.9+31656.5+13.7+75000-13.7-33.1-20000-53.2-23788.6</f>
        <v>222946.49999999997</v>
      </c>
      <c r="D13" s="181">
        <f>C13+97105</f>
        <v>320051.5</v>
      </c>
    </row>
    <row r="14" spans="1:4" s="176" customFormat="1" ht="30" hidden="1">
      <c r="A14" s="177" t="s">
        <v>842</v>
      </c>
      <c r="B14" s="195" t="s">
        <v>843</v>
      </c>
      <c r="C14" s="181">
        <v>270656.5</v>
      </c>
      <c r="D14" s="181">
        <v>229342</v>
      </c>
    </row>
    <row r="15" spans="1:4" s="176" customFormat="1" ht="34.5" customHeight="1">
      <c r="A15" s="177" t="s">
        <v>844</v>
      </c>
      <c r="B15" s="327" t="s">
        <v>487</v>
      </c>
      <c r="C15" s="181">
        <f>160178.6-13.7-33.1+5000-53.2-23788.6</f>
        <v>141289.99999999997</v>
      </c>
      <c r="D15" s="181">
        <f>SUM(C13)</f>
        <v>222946.49999999997</v>
      </c>
    </row>
    <row r="16" spans="1:4" s="176" customFormat="1" ht="36" customHeight="1" hidden="1">
      <c r="A16" s="177" t="s">
        <v>488</v>
      </c>
      <c r="B16" s="195" t="s">
        <v>489</v>
      </c>
      <c r="C16" s="181"/>
      <c r="D16" s="181"/>
    </row>
    <row r="17" spans="1:4" s="176" customFormat="1" ht="30" customHeight="1">
      <c r="A17" s="177" t="s">
        <v>490</v>
      </c>
      <c r="B17" s="183" t="s">
        <v>1163</v>
      </c>
      <c r="C17" s="175">
        <f>SUM(C18)-C20</f>
        <v>-50000</v>
      </c>
      <c r="D17" s="175">
        <f>SUM(D18)-D20</f>
        <v>0</v>
      </c>
    </row>
    <row r="18" spans="1:4" s="176" customFormat="1" ht="45" customHeight="1">
      <c r="A18" s="177" t="s">
        <v>491</v>
      </c>
      <c r="B18" s="183" t="s">
        <v>492</v>
      </c>
      <c r="C18" s="181">
        <v>0</v>
      </c>
      <c r="D18" s="181">
        <v>0</v>
      </c>
    </row>
    <row r="19" spans="1:4" s="185" customFormat="1" ht="45" customHeight="1" hidden="1">
      <c r="A19" s="177" t="s">
        <v>633</v>
      </c>
      <c r="B19" s="183" t="s">
        <v>1164</v>
      </c>
      <c r="C19" s="181"/>
      <c r="D19" s="181"/>
    </row>
    <row r="20" spans="1:4" s="185" customFormat="1" ht="53.25" customHeight="1">
      <c r="A20" s="177" t="s">
        <v>634</v>
      </c>
      <c r="B20" s="186" t="s">
        <v>635</v>
      </c>
      <c r="C20" s="181">
        <v>50000</v>
      </c>
      <c r="D20" s="181">
        <v>0</v>
      </c>
    </row>
    <row r="21" spans="1:4" s="185" customFormat="1" ht="45.75" customHeight="1" hidden="1">
      <c r="A21" s="177" t="s">
        <v>636</v>
      </c>
      <c r="B21" s="195" t="s">
        <v>493</v>
      </c>
      <c r="C21" s="181"/>
      <c r="D21" s="181"/>
    </row>
    <row r="22" spans="1:4" s="176" customFormat="1" ht="32.25" customHeight="1" hidden="1">
      <c r="A22" s="173" t="s">
        <v>494</v>
      </c>
      <c r="B22" s="174" t="s">
        <v>495</v>
      </c>
      <c r="C22" s="175">
        <f aca="true" t="shared" si="0" ref="C22:D25">SUM(C23)</f>
        <v>0</v>
      </c>
      <c r="D22" s="175">
        <f t="shared" si="0"/>
        <v>0</v>
      </c>
    </row>
    <row r="23" spans="1:4" s="176" customFormat="1" ht="32.25" customHeight="1" hidden="1">
      <c r="A23" s="177" t="s">
        <v>496</v>
      </c>
      <c r="B23" s="187" t="s">
        <v>497</v>
      </c>
      <c r="C23" s="181">
        <f t="shared" si="0"/>
        <v>0</v>
      </c>
      <c r="D23" s="181">
        <f t="shared" si="0"/>
        <v>0</v>
      </c>
    </row>
    <row r="24" spans="1:4" s="176" customFormat="1" ht="32.25" customHeight="1" hidden="1">
      <c r="A24" s="177" t="s">
        <v>498</v>
      </c>
      <c r="B24" s="187" t="s">
        <v>499</v>
      </c>
      <c r="C24" s="181">
        <f t="shared" si="0"/>
        <v>0</v>
      </c>
      <c r="D24" s="181">
        <f t="shared" si="0"/>
        <v>0</v>
      </c>
    </row>
    <row r="25" spans="1:4" s="176" customFormat="1" ht="32.25" customHeight="1" hidden="1">
      <c r="A25" s="177" t="s">
        <v>500</v>
      </c>
      <c r="B25" s="187" t="s">
        <v>501</v>
      </c>
      <c r="C25" s="181">
        <f t="shared" si="0"/>
        <v>0</v>
      </c>
      <c r="D25" s="181">
        <f t="shared" si="0"/>
        <v>0</v>
      </c>
    </row>
    <row r="26" spans="1:4" s="185" customFormat="1" ht="38.25" customHeight="1" hidden="1">
      <c r="A26" s="177" t="s">
        <v>502</v>
      </c>
      <c r="B26" s="187" t="s">
        <v>503</v>
      </c>
      <c r="C26" s="181"/>
      <c r="D26" s="181"/>
    </row>
    <row r="27" spans="1:6" ht="33" customHeight="1">
      <c r="A27" s="188" t="s">
        <v>504</v>
      </c>
      <c r="B27" s="328" t="s">
        <v>1172</v>
      </c>
      <c r="C27" s="190">
        <f>C28+C31</f>
        <v>0</v>
      </c>
      <c r="D27" s="190">
        <f>D28+D31</f>
        <v>0</v>
      </c>
      <c r="E27" s="185"/>
      <c r="F27" s="185"/>
    </row>
    <row r="28" spans="1:6" ht="30.75" customHeight="1">
      <c r="A28" s="191" t="s">
        <v>505</v>
      </c>
      <c r="B28" s="329" t="s">
        <v>506</v>
      </c>
      <c r="C28" s="193">
        <f>SUM(C29)</f>
        <v>-10000</v>
      </c>
      <c r="D28" s="193">
        <f>SUM(D29)</f>
        <v>-10000</v>
      </c>
      <c r="E28" s="185"/>
      <c r="F28" s="185"/>
    </row>
    <row r="29" spans="1:6" ht="128.25" customHeight="1">
      <c r="A29" s="191" t="s">
        <v>507</v>
      </c>
      <c r="B29" s="330" t="s">
        <v>1321</v>
      </c>
      <c r="C29" s="193">
        <f>SUM(C30)</f>
        <v>-10000</v>
      </c>
      <c r="D29" s="193">
        <f>SUM(D30)</f>
        <v>-10000</v>
      </c>
      <c r="E29" s="185"/>
      <c r="F29" s="185"/>
    </row>
    <row r="30" spans="1:6" ht="126" customHeight="1">
      <c r="A30" s="191" t="s">
        <v>1322</v>
      </c>
      <c r="B30" s="195" t="s">
        <v>417</v>
      </c>
      <c r="C30" s="193">
        <v>-10000</v>
      </c>
      <c r="D30" s="193">
        <v>-10000</v>
      </c>
      <c r="E30" s="185"/>
      <c r="F30" s="185"/>
    </row>
    <row r="31" spans="1:6" ht="30" customHeight="1">
      <c r="A31" s="191" t="s">
        <v>418</v>
      </c>
      <c r="B31" s="329" t="s">
        <v>419</v>
      </c>
      <c r="C31" s="193">
        <f>SUM(C32)</f>
        <v>10000</v>
      </c>
      <c r="D31" s="193">
        <f>SUM(D32)</f>
        <v>10000</v>
      </c>
      <c r="E31" s="185"/>
      <c r="F31" s="185"/>
    </row>
    <row r="32" spans="1:6" ht="30" customHeight="1">
      <c r="A32" s="191" t="s">
        <v>420</v>
      </c>
      <c r="B32" s="329" t="s">
        <v>421</v>
      </c>
      <c r="C32" s="193">
        <f>SUM(C33)</f>
        <v>10000</v>
      </c>
      <c r="D32" s="193">
        <f>SUM(D33)</f>
        <v>10000</v>
      </c>
      <c r="E32" s="185"/>
      <c r="F32" s="185"/>
    </row>
    <row r="33" spans="1:6" ht="45" customHeight="1">
      <c r="A33" s="191" t="s">
        <v>422</v>
      </c>
      <c r="B33" s="195" t="s">
        <v>423</v>
      </c>
      <c r="C33" s="193">
        <v>10000</v>
      </c>
      <c r="D33" s="193">
        <v>10000</v>
      </c>
      <c r="E33" s="185"/>
      <c r="F33" s="185"/>
    </row>
    <row r="34" spans="1:6" ht="15">
      <c r="A34" s="196"/>
      <c r="C34" s="197"/>
      <c r="D34" s="185"/>
      <c r="E34" s="185"/>
      <c r="F34" s="185"/>
    </row>
  </sheetData>
  <sheetProtection/>
  <mergeCells count="6">
    <mergeCell ref="C5:D5"/>
    <mergeCell ref="A6:C6"/>
    <mergeCell ref="A8:A10"/>
    <mergeCell ref="B8:B10"/>
    <mergeCell ref="C8:C10"/>
    <mergeCell ref="D8:D10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2013-01-09T05:41:19Z</cp:lastPrinted>
  <dcterms:created xsi:type="dcterms:W3CDTF">2010-10-13T06:28:56Z</dcterms:created>
  <dcterms:modified xsi:type="dcterms:W3CDTF">2013-01-09T05:41:59Z</dcterms:modified>
  <cp:category/>
  <cp:version/>
  <cp:contentType/>
  <cp:contentStatus/>
</cp:coreProperties>
</file>