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activeTab="3"/>
  </bookViews>
  <sheets>
    <sheet name="функцион." sheetId="1" r:id="rId1"/>
    <sheet name="ведомствен." sheetId="2" r:id="rId2"/>
    <sheet name="Источники" sheetId="3" r:id="rId3"/>
    <sheet name="заимств.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<sst xmlns="http://schemas.openxmlformats.org/spreadsheetml/2006/main" count="9672" uniqueCount="984">
  <si>
    <t>Руководитель контрольно-счетной палаты муниципального образования и его заместители</t>
  </si>
  <si>
    <t>002 25 00</t>
  </si>
  <si>
    <t>Управление жилищно-коммунального хозяйства, энергетики и транспорта Администрации МГО</t>
  </si>
  <si>
    <t>293</t>
  </si>
  <si>
    <t>Национальная экономика</t>
  </si>
  <si>
    <t>04</t>
  </si>
  <si>
    <t>Транспорт</t>
  </si>
  <si>
    <t>08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</si>
  <si>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</si>
  <si>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</si>
  <si>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</si>
  <si>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</si>
  <si>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</si>
  <si>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</si>
  <si>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</si>
  <si>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</si>
  <si>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</si>
  <si>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</si>
  <si>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Другие вопросы в области национальной экономики</t>
  </si>
  <si>
    <t>12</t>
  </si>
  <si>
    <t>Целевые программы муниципальных образований</t>
  </si>
  <si>
    <t>795 00 00</t>
  </si>
  <si>
    <t>Муниципальная целевая программа "Развитие общественного пассажирского транспорта в Миасском городском округе на 2010-2012гг."</t>
  </si>
  <si>
    <t>795 00 18</t>
  </si>
  <si>
    <t>Дорожное хозяйство (дорожные фонды)</t>
  </si>
  <si>
    <t>09</t>
  </si>
  <si>
    <t>Дорожное хозяйство</t>
  </si>
  <si>
    <t>315 00 00</t>
  </si>
  <si>
    <t>Содержание и ремонт автомобильных дорог общего пользования местного назначения</t>
  </si>
  <si>
    <t>315 06 00</t>
  </si>
  <si>
    <t>Жилищно-коммунальное хозяйство</t>
  </si>
  <si>
    <t>05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</si>
  <si>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</si>
  <si>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</si>
  <si>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</si>
  <si>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</si>
  <si>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</si>
  <si>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</si>
  <si>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</si>
  <si>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</si>
  <si>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</si>
  <si>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Бюджетные инвестиции</t>
  </si>
  <si>
    <t>003</t>
  </si>
  <si>
    <t>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</si>
  <si>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098 01 04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</si>
  <si>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</si>
  <si>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</si>
  <si>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</si>
  <si>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</si>
  <si>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</si>
  <si>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</si>
  <si>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</si>
  <si>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</si>
  <si>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строительства, собственности муниципальных образований</t>
  </si>
  <si>
    <t>102 01 02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</si>
  <si>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</si>
  <si>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</si>
  <si>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</si>
  <si>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</si>
  <si>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</si>
  <si>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</si>
  <si>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</si>
  <si>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</si>
  <si>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</si>
  <si>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</si>
  <si>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</si>
  <si>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</si>
  <si>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Региональные целевые программы</t>
  </si>
  <si>
    <t>522 00 00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</si>
  <si>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</si>
  <si>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</si>
  <si>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</si>
  <si>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</si>
  <si>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</si>
  <si>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</si>
  <si>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</si>
  <si>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</si>
  <si>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</si>
  <si>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</si>
  <si>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</si>
  <si>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</si>
  <si>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</si>
  <si>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</si>
  <si>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Капитальный ремонт государственного жилищного фонда субъектов Российской Федерации и муниципального жилищного фонда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</si>
  <si>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</si>
  <si>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</si>
  <si>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</si>
  <si>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</si>
  <si>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</si>
  <si>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</si>
  <si>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</si>
  <si>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</si>
  <si>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</si>
  <si>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</si>
  <si>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Резервные фонды</t>
  </si>
  <si>
    <t>070 00 00</t>
  </si>
  <si>
    <t>Резервные фонды местных администраций</t>
  </si>
  <si>
    <t>070 05 00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</si>
  <si>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</si>
  <si>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</si>
  <si>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</si>
  <si>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</si>
  <si>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</si>
  <si>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</si>
  <si>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</si>
  <si>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</si>
  <si>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</si>
  <si>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</si>
  <si>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</si>
  <si>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</si>
  <si>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</si>
  <si>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</si>
  <si>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</si>
  <si>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</si>
  <si>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</si>
  <si>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</si>
  <si>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</si>
  <si>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</si>
  <si>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</si>
  <si>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</si>
  <si>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</si>
  <si>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</si>
  <si>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</si>
  <si>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</si>
  <si>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</si>
  <si>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</si>
  <si>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</si>
  <si>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</si>
  <si>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</si>
  <si>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Расходы на оплату ТЭР, услуг водоснабжения,водоотведения, потребляемых МБУ и эл.энергии, расходов на уличное освещение за счет субсидий из областного  бюджета</t>
  </si>
  <si>
    <t>600 01 68</t>
  </si>
  <si>
    <t xml:space="preserve">Программа муниципальных внутренних заимствований </t>
  </si>
  <si>
    <t>на 2011 год</t>
  </si>
  <si>
    <t>1. Источники внутренних заимствований</t>
  </si>
  <si>
    <t>тыс.руб.</t>
  </si>
  <si>
    <t>Сумма,                 2011г.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</si>
  <si>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</si>
  <si>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</si>
  <si>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</si>
  <si>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</si>
  <si>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</si>
  <si>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 xml:space="preserve">к решению Собрания </t>
  </si>
  <si>
    <t>депутатов Миасского</t>
  </si>
  <si>
    <t>Источники
внутреннего финансирования дефицита бюджета Миасского городского округа
на 2011 год</t>
  </si>
  <si>
    <t>Код бюджетной классификации РФ</t>
  </si>
  <si>
    <t>Наименование источника средств</t>
  </si>
  <si>
    <t>Сумма, 
тыс.руб.</t>
  </si>
  <si>
    <t>01 00 00 00 00 0000 000</t>
  </si>
  <si>
    <t>ИСТОЧНИКИ ВНУТРЕННЕГО ФИНАНСИРОВАНИЯ ДЕФИЦИТА 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</si>
  <si>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</si>
  <si>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</si>
  <si>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</si>
  <si>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</si>
  <si>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000.01020000000000.800</t>
  </si>
  <si>
    <t>Погашение кредитов, предоставленных кредитными организациями в валюте Российской Федерации</t>
  </si>
  <si>
    <t>000.01020000040000.810</t>
  </si>
  <si>
    <t>Погашение бюджетами городских округов кредитов от кредитных организаций в валюте Российской Федерации</t>
  </si>
  <si>
    <t>284.01020000040000.810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</si>
  <si>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</si>
  <si>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</si>
  <si>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</si>
  <si>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</si>
  <si>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</si>
  <si>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</si>
  <si>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</si>
  <si>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</si>
  <si>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000.01050000000000.500</t>
  </si>
  <si>
    <t>Увеличение остатков средств бюджетов</t>
  </si>
  <si>
    <t>000.01050200000000.500</t>
  </si>
  <si>
    <t>Увеличение прочих остатков средств бюджетов</t>
  </si>
  <si>
    <t>000.01050201000000.510</t>
  </si>
  <si>
    <t>Увеличение прочих остатков денежных средств бюджетов</t>
  </si>
  <si>
    <t>000.01050201040000.510</t>
  </si>
  <si>
    <t>284.01050201040000.510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</si>
  <si>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</si>
  <si>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</si>
  <si>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</si>
  <si>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</si>
  <si>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</si>
  <si>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</si>
  <si>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</si>
  <si>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</si>
  <si>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</si>
  <si>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</si>
  <si>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 дефицитов бюджетов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</si>
  <si>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</si>
  <si>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</si>
  <si>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</si>
  <si>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</si>
  <si>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</si>
  <si>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</si>
  <si>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</si>
  <si>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</si>
  <si>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</si>
  <si>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</si>
  <si>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Бюджетные инвестиции 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</si>
  <si>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</si>
  <si>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</si>
  <si>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</si>
  <si>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</si>
  <si>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</si>
  <si>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</si>
  <si>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Целевая программа "Содержание и благоустройство кладбищ Миасского городского округа на 2010г"</t>
  </si>
  <si>
    <t>Программа по поддержанию дорог и дорожных сооружений МГО в проезжем состоянии на 2008-2010гг.</t>
  </si>
  <si>
    <t>795 00 09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</si>
  <si>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</si>
  <si>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</si>
  <si>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Программа "Экология  Миасского городского округа" на 2010-2015гг.</t>
  </si>
  <si>
    <t xml:space="preserve">795 00 22 </t>
  </si>
  <si>
    <t>795 00 22</t>
  </si>
  <si>
    <t>Другие вопросы в области жилищно-коммунального хозяйства</t>
  </si>
  <si>
    <t>Федеральная целевая программа "Жилище"  на 2002-2010 годы</t>
  </si>
  <si>
    <t>104 00 00</t>
  </si>
  <si>
    <t>Строительство объектов общегражданского назначения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</si>
  <si>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</si>
  <si>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</si>
  <si>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</si>
  <si>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</si>
  <si>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</si>
  <si>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</si>
  <si>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</si>
  <si>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Областная целевая Программа "Повышение энергетической эффектвности экономики Челябинской области и сокращения энергетических издержек в бюджетном секторе на 2010-2020 годы"</t>
  </si>
  <si>
    <t>522 35 00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</si>
  <si>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</si>
  <si>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</si>
  <si>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</si>
  <si>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</si>
  <si>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</si>
  <si>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</si>
  <si>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</si>
  <si>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795 19 12</t>
  </si>
  <si>
    <t>Общее образование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</si>
  <si>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</si>
  <si>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</si>
  <si>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</si>
  <si>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</si>
  <si>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Мероприятия в области образования</t>
  </si>
  <si>
    <t>436 00 00</t>
  </si>
  <si>
    <t>Модернизация региональных систем общего образования</t>
  </si>
  <si>
    <t>436 21 00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</si>
  <si>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</si>
  <si>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2011-2015 годыгг.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</si>
  <si>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</si>
  <si>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</si>
  <si>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</si>
  <si>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</si>
  <si>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Природоохранные мероприятия</t>
  </si>
  <si>
    <t>025</t>
  </si>
  <si>
    <t>Администрация Миасского городского округа</t>
  </si>
  <si>
    <t>283</t>
  </si>
  <si>
    <t>Функционирование Правительства РВ, высших исполнительных органов государственной власти субъектов РФ, местных администраций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</si>
  <si>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</si>
  <si>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</si>
  <si>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002 04 68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</si>
  <si>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</si>
  <si>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</si>
  <si>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Расходы за счет субвенций из областного бюджета на образование и организацию деятельности административных комиссий</t>
  </si>
  <si>
    <t>002 04 54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</si>
  <si>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</si>
  <si>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</si>
  <si>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Лицензирование розничной продажи алкогольной продукции за счет субвенций из областного бюджета</t>
  </si>
  <si>
    <t>002 04 98</t>
  </si>
  <si>
    <t>Глава местной администрации (исполнительно-распорядительного органа муниципального образования)</t>
  </si>
  <si>
    <t>002 08 00</t>
  </si>
  <si>
    <t>Программа "Развитие муниципальной службы в МГО"</t>
  </si>
  <si>
    <t>795 00 10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</si>
  <si>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</si>
  <si>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</si>
  <si>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 xml:space="preserve">00 140 00 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</si>
  <si>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</si>
  <si>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</si>
  <si>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</si>
  <si>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</si>
  <si>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</si>
  <si>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</si>
  <si>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</si>
  <si>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</si>
  <si>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</si>
  <si>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</si>
  <si>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</si>
  <si>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</si>
  <si>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</si>
  <si>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</si>
  <si>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</si>
  <si>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</si>
  <si>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</si>
  <si>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</si>
  <si>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Учреждения культуры и мероприятия в сфере культуры и кинематографии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</si>
  <si>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</si>
  <si>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</si>
  <si>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</si>
  <si>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</si>
  <si>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</si>
  <si>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14</t>
  </si>
  <si>
    <t>795 00 02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</si>
  <si>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</si>
  <si>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</si>
  <si>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</si>
  <si>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Резервные фонды исполнительных органов государственной власти субъектов Российской Федерации</t>
  </si>
  <si>
    <t>070 04 00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</si>
  <si>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</si>
  <si>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</si>
  <si>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</si>
  <si>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</si>
  <si>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Целевой финансовый резерв для предупреждения и ликвидации чрезвычайных ситуаций</t>
  </si>
  <si>
    <t>218 01 50</t>
  </si>
  <si>
    <t>Прочие расходы</t>
  </si>
  <si>
    <t>013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</si>
  <si>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</si>
  <si>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</si>
  <si>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</si>
  <si>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</si>
  <si>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Реализция государственных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</si>
  <si>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</si>
  <si>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</si>
  <si>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Муниципальная целевая программа "Обеспечение безопасности гидротехнических сооружений на территории Миасского городского округа на 2011-2015 годы"</t>
  </si>
  <si>
    <t>795 00 29</t>
  </si>
  <si>
    <t>Муниципальная целевая программа "Пожарная безопасность Миасского городского округа на 2011-2013 г.г."</t>
  </si>
  <si>
    <t>795 00 68</t>
  </si>
  <si>
    <t>Другие вопросы в области национальной безопасности и правоохранительной деятельности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</si>
  <si>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</si>
  <si>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522 13 00</t>
  </si>
  <si>
    <t>Водное хозяйство</t>
  </si>
  <si>
    <t>Областная целевая программа "Обеспечение безопасности гидротехнических сооружений в Челябинской области на 2011-2015 годы"</t>
  </si>
  <si>
    <t>522 32 00</t>
  </si>
  <si>
    <t>Отдельные мероприятия по другим видам транспорта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</si>
  <si>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</si>
  <si>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</si>
  <si>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</si>
  <si>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</si>
  <si>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</si>
  <si>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</si>
  <si>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ОЦП по реализации НП "Доступное и комфортное жилье - гражданам России" в Челябинской области, подпрограмма "Подготовка земельных участков для освоения в целях жилищного строительства"</t>
  </si>
  <si>
    <t>Программа "Поддержки и развития малого и среднего предпринимательства в Миасском городском округе на 2011-2015 годы"</t>
  </si>
  <si>
    <t>795 00 03</t>
  </si>
  <si>
    <t>ЦП "Доступное и комфортное жилье - гражданам России (Подпрограмма "Подготовка земельных участков для освоения в целях жилищного стр-ва")</t>
  </si>
  <si>
    <t>ЦП "Капитальное строительство на территории Миасского городского округа на 2009-2011 годы"</t>
  </si>
  <si>
    <t>Бюджетные инвестиции в объекты капитального строительства собственности муниципальных образований</t>
  </si>
  <si>
    <t>Областная целевая Программа "Повышение энергетической эффективности экономики Челябинской области и сокращения энергетических издержек в бюджетном секторе на 2010-2020 годы"</t>
  </si>
  <si>
    <t>Программа "Чистая вода на территории Миасского городского округа на 2010-2020гг."</t>
  </si>
  <si>
    <t>795 00 28</t>
  </si>
  <si>
    <t>Программа "Обеспечение безопасности ГТС на территории Миасского городского округа на 2011-2015гг."</t>
  </si>
  <si>
    <t xml:space="preserve">Национальный проект "Доступное и комфортное жилье - гражданам России" на территории МГО </t>
  </si>
  <si>
    <t>Целевая Программа "Капитальное строительство на территории Миасского городского округа на 2009-2011 годы"</t>
  </si>
  <si>
    <t>Муниципальная целевая программа "Источник" Миасского городского округа на 2011 год</t>
  </si>
  <si>
    <t>795 26 00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</si>
  <si>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</si>
  <si>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</si>
  <si>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</si>
  <si>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</si>
  <si>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</si>
  <si>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ОЦП Природоохранных мероприятий оздоровления экологической обстановки в Челябинской области на 2011-2015 гг.</t>
  </si>
  <si>
    <t>Программа "Сбор и утилизация твердых коммунальных и промышленных отходов"</t>
  </si>
  <si>
    <t>795 00 23</t>
  </si>
  <si>
    <t>443</t>
  </si>
  <si>
    <t>Дошкольное образование</t>
  </si>
  <si>
    <t>Областная целевая программа "Поддержка и развитие дошкольного образования в Челябинской области" на 2011-2014 гг. за счет субсидий из областного бюджета</t>
  </si>
  <si>
    <t>522 15 00</t>
  </si>
  <si>
    <t>ЦП "Поддержка и развитие дошкольного образования в Миасском городском округе на 2011-2012гг."</t>
  </si>
  <si>
    <t>795 00 45</t>
  </si>
  <si>
    <t>Учреждения по внешкольной работе с детьми</t>
  </si>
  <si>
    <t>423 00 00</t>
  </si>
  <si>
    <t>423 99 00</t>
  </si>
  <si>
    <t>Проведение противоаварийных
мероприятий в зданиях государственных и муниципальных
общеобразовательных учреждений</t>
  </si>
  <si>
    <t>436 15 00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</si>
  <si>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</si>
  <si>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</si>
  <si>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</si>
  <si>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</si>
  <si>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Другие вопросы в области образования</t>
  </si>
  <si>
    <t>Областная целевая программа "Развитие дошкольного образования в Челябинской области" на 2006-2010 годы</t>
  </si>
  <si>
    <t>Культура, кинематография, средства массовой информации</t>
  </si>
  <si>
    <t xml:space="preserve">Культура </t>
  </si>
  <si>
    <t>Дворцы и дома культуры, другие учреждения культуры и СМИ</t>
  </si>
  <si>
    <t>Библиотеки</t>
  </si>
  <si>
    <t>442 00 00</t>
  </si>
  <si>
    <t>442 99 00</t>
  </si>
  <si>
    <t>Другие вопросы в области культуры, кинематографии и средств массовой информации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</si>
  <si>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</si>
  <si>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</si>
  <si>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</si>
  <si>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Больницы, клиники, госпитали, МСЧ</t>
  </si>
  <si>
    <t>470 00 00</t>
  </si>
  <si>
    <t>470 99 00</t>
  </si>
  <si>
    <t>Амбулаторная помощь</t>
  </si>
  <si>
    <t>Больницы, клиники, госпитали,МСЧ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</si>
  <si>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</si>
  <si>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</si>
  <si>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</si>
  <si>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</si>
  <si>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</si>
  <si>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Физкультурно-оздоровительная работа и спортивные  мероприятия </t>
  </si>
  <si>
    <t>512 00 00</t>
  </si>
  <si>
    <t>Мероприятия в области здравоохранения, спорта и физической культуры, туризма</t>
  </si>
  <si>
    <t>512 97 00</t>
  </si>
  <si>
    <t>079</t>
  </si>
  <si>
    <t>Программа "Развитие физической культуры и спорта в Миасском городском округе в 2007-2010гг"</t>
  </si>
  <si>
    <t>795 00 35</t>
  </si>
  <si>
    <t>Другие вопросы в области здравоохранения</t>
  </si>
  <si>
    <t xml:space="preserve">Нац.проект "Здоровье" на территории  Миасского городского округа на 2006-2010 гг. </t>
  </si>
  <si>
    <t>795 18 31</t>
  </si>
  <si>
    <t>Программа "Профилактика противодействия незаконному обороту и употреблению наркотических средств"</t>
  </si>
  <si>
    <t>795 00 41</t>
  </si>
  <si>
    <t xml:space="preserve">09 </t>
  </si>
  <si>
    <t>Социальное обслуживание населения</t>
  </si>
  <si>
    <t>Учреждения социального обслуживания населения</t>
  </si>
  <si>
    <t>506 00 00</t>
  </si>
  <si>
    <t>327</t>
  </si>
  <si>
    <t>Федеральная целевая программа "Жилище"  на 2002-2010 годы (второй этап)</t>
  </si>
  <si>
    <t>Подпрограмма "Обеспечение жильем молодых семей"</t>
  </si>
  <si>
    <t>104 02 00</t>
  </si>
  <si>
    <t>Субсидии на обеспечение жильем</t>
  </si>
  <si>
    <t>501</t>
  </si>
  <si>
    <t>Мероприятия в области социальной политики</t>
  </si>
  <si>
    <t>505 33 00</t>
  </si>
  <si>
    <t>Меры социальной поддержки граждан</t>
  </si>
  <si>
    <t>505 33 65</t>
  </si>
  <si>
    <t>Обеспечение жилыми помещениями дете-сирот,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</si>
  <si>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</si>
  <si>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</si>
  <si>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</si>
  <si>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Оказание других видов социальной помощи</t>
  </si>
  <si>
    <t>505 85 00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</si>
  <si>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</si>
  <si>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</si>
  <si>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</si>
  <si>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Подпрограмма "Предоставление работникам бюджетной сферы безвозмездных субсидий на приобретение или стр-во жилья"</t>
  </si>
  <si>
    <t>522 19 15</t>
  </si>
  <si>
    <t>Подпрграмма "Предоставление работникам бюджетной сферы социальных выплат на приобретение или строительство жилья"</t>
  </si>
  <si>
    <t>795 19 14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</si>
  <si>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</si>
  <si>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</si>
  <si>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11</t>
  </si>
  <si>
    <t>Другие вопросы в области физической культуры и спорта</t>
  </si>
  <si>
    <t>Областная целевая программа капитального строительства в челябинской области на 2009-2011 года</t>
  </si>
  <si>
    <t xml:space="preserve">Финансовое управление Администрации Миасского городского округа </t>
  </si>
  <si>
    <t>284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</si>
  <si>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</si>
  <si>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</si>
  <si>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</si>
  <si>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</si>
  <si>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</si>
  <si>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</si>
  <si>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</si>
  <si>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 xml:space="preserve">Прочие расходы </t>
  </si>
  <si>
    <t>00</t>
  </si>
  <si>
    <t>Обслуживание внутреннего государственного и муниципального долга</t>
  </si>
  <si>
    <t>518 02 42</t>
  </si>
  <si>
    <t>Управление социальной защиты населения Администрации Миасского городского округа</t>
  </si>
  <si>
    <t>285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</si>
  <si>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</si>
  <si>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</si>
  <si>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Детские дома</t>
  </si>
  <si>
    <t>424 00 00</t>
  </si>
  <si>
    <t>424 99 00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</si>
  <si>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</si>
  <si>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424 99 70</t>
  </si>
  <si>
    <t>Расходы за счет субвенций из областного бюджета на содержание и обеспечение деятельности детских домов</t>
  </si>
  <si>
    <t>424 99 75</t>
  </si>
  <si>
    <t>Мероприятия в сфере образования</t>
  </si>
  <si>
    <t>022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</si>
  <si>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</si>
  <si>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</si>
  <si>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</si>
  <si>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</si>
  <si>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</si>
  <si>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508 00 00</t>
  </si>
  <si>
    <t>Расходы за счет бюджета округа на содержание учреждений социального обслуживания населения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</si>
  <si>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</si>
  <si>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</si>
  <si>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</si>
  <si>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</si>
  <si>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</si>
  <si>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</si>
  <si>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</si>
  <si>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Приложение    2</t>
  </si>
  <si>
    <t>от 26.12.2011 г.  №2 __</t>
  </si>
  <si>
    <t>Приложение 3</t>
  </si>
  <si>
    <t>Приложение 4</t>
  </si>
  <si>
    <t>от 26.12.2011 г. №2</t>
  </si>
  <si>
    <t>Приложение 5</t>
  </si>
  <si>
    <t xml:space="preserve">от 26.12.2011 г. №2 </t>
  </si>
  <si>
    <t xml:space="preserve">от 26.12.2011 г.№2  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</si>
  <si>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</si>
  <si>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</si>
  <si>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505 02 11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</si>
  <si>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</si>
  <si>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</si>
  <si>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</si>
  <si>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</si>
  <si>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</si>
  <si>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</si>
  <si>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</si>
  <si>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505 33 31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</si>
  <si>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</si>
  <si>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505 33 32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</si>
  <si>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</si>
  <si>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</si>
  <si>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</si>
  <si>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</si>
  <si>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</si>
  <si>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</si>
  <si>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</si>
  <si>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505 33 55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</si>
  <si>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</si>
  <si>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</si>
  <si>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</si>
  <si>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</si>
  <si>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</si>
  <si>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</si>
  <si>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</si>
  <si>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</si>
  <si>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Реализация мер социальной поддержки отдельных категорий граждан</t>
  </si>
  <si>
    <t>505 55 00</t>
  </si>
  <si>
    <t xml:space="preserve">Расходы за счет субвенции из областного бюджета на ежемесячное пособие на ребенка </t>
  </si>
  <si>
    <t>505 55 10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</si>
  <si>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</t>
  </si>
  <si>
    <t>505 55 20</t>
  </si>
  <si>
    <t>505 55 23</t>
  </si>
  <si>
    <t>505 55 24</t>
  </si>
  <si>
    <t xml:space="preserve"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</si>
  <si>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</si>
  <si>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</si>
  <si>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</si>
  <si>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505 55 25</t>
  </si>
  <si>
    <t>505 55 33</t>
  </si>
  <si>
    <t>505 55 34</t>
  </si>
  <si>
    <t>505 99 72</t>
  </si>
  <si>
    <t>505 55 35</t>
  </si>
  <si>
    <t>Адресная субсидия гражданам, в связи с ростом платы за коммунальные услуги</t>
  </si>
  <si>
    <t>505 58 01</t>
  </si>
  <si>
    <t>Реализация государственных функций в области социальной политики</t>
  </si>
  <si>
    <t>514 00 00</t>
  </si>
  <si>
    <t>514 01 00</t>
  </si>
  <si>
    <t xml:space="preserve">Софинансирование социальных программ субъектов Российской Федерации, связанных с предоставлением субсидий бюджетам субъектов Российской </t>
  </si>
  <si>
    <t>521 00 00</t>
  </si>
  <si>
    <t>521 58 01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</si>
  <si>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</si>
  <si>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795 00 65</t>
  </si>
  <si>
    <t>068</t>
  </si>
  <si>
    <t>Охрана семьи и детства</t>
  </si>
  <si>
    <t>Выплата единовременного пособия при всех формах устройства детей,лишенных родительского попечения, в семью</t>
  </si>
  <si>
    <t>505 05 02</t>
  </si>
  <si>
    <t>Иные  безвозмездные и безвозвратные перечисления</t>
  </si>
  <si>
    <t>520 00 00</t>
  </si>
  <si>
    <t>Расходы за счет субвенций из областного бюджета на выплату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</si>
  <si>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520 13 00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</si>
  <si>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</si>
  <si>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</si>
  <si>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</si>
  <si>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</si>
  <si>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</si>
  <si>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</si>
  <si>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</si>
  <si>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</si>
  <si>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</si>
  <si>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</si>
  <si>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</si>
  <si>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</si>
  <si>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</si>
  <si>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</si>
  <si>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</si>
  <si>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</si>
  <si>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</si>
  <si>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</si>
  <si>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Областная целевая программа "Повышение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Челябинской  в 2010-2011 годах"</t>
  </si>
  <si>
    <t>522 27 00</t>
  </si>
  <si>
    <t>Муниципальная целевая программа "Повышение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Миасском городском округе в 2011 году"</t>
  </si>
  <si>
    <t>795 00 67</t>
  </si>
  <si>
    <t>352 02 00</t>
  </si>
  <si>
    <t xml:space="preserve">Капитальный ремонт муниципального жилищного фонда </t>
  </si>
  <si>
    <t>352 00 00</t>
  </si>
  <si>
    <t>795 00 69</t>
  </si>
  <si>
    <t>Муниципальная целевая программа "Снос и обрезка сухих, аварийных, больных деревьев, посадка деревьев и кустарников на территории МГО на 2011-2013 годы"</t>
  </si>
  <si>
    <t>Капитальный ремонт муниципального жилищного фонда</t>
  </si>
  <si>
    <t>Комитет по управлению имуществом Миасского городского округа</t>
  </si>
  <si>
    <t>286</t>
  </si>
  <si>
    <t>Другие мероприятия по реализации муниципальных функций</t>
  </si>
  <si>
    <t>092 15 01</t>
  </si>
  <si>
    <t>Отдельные мероприятия в других видах транспорта</t>
  </si>
  <si>
    <t>317 02 00</t>
  </si>
  <si>
    <t>Содействие развитию жилищного строительства</t>
  </si>
  <si>
    <t>Субсидии в виде имущественного взноса в Федеральный фонд содействия развитию жилищного строительства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</si>
  <si>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</si>
  <si>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</si>
  <si>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Мероприятия в области жилищного хозяйства</t>
  </si>
  <si>
    <t>350 03 00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</si>
  <si>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</si>
  <si>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</si>
  <si>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Федеральная целевая программа "Жилище" на 2011 - 2015 годы</t>
  </si>
  <si>
    <t>100 88 00</t>
  </si>
  <si>
    <t>Приобретение жилья гражданами, уволенными с военной службы (службы), и приравненными к ним лицами</t>
  </si>
  <si>
    <t>100 88 11</t>
  </si>
  <si>
    <t>100 88 20</t>
  </si>
  <si>
    <t>Подпрограмма "Оказание молодым семьям государственной поддержки для улучшения жилищных условий"</t>
  </si>
  <si>
    <t>Целевая программа по реализации НП "Доступное и комфортное жилье - гражданам России" на территории МГО на 2011-2015 годы</t>
  </si>
  <si>
    <t>Муниципальная программа по реализации НП "Доступное и комфортное жилье-гражданам России" на территории МГО на 2011-2015 г., подпрограмма "Оказание молодым семьям государственной поддержки для улучшения жилищных условий"</t>
  </si>
  <si>
    <t>Муниципальная программа по реализации НП "Доступное и комфортное жилье-гражданам России на территории МГО на 2011-2015 г, подпрограмма "Предоставление работникам бюджетной сферы социальных выплат на приобретение или строительство жилья"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</si>
  <si>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</si>
  <si>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"Предоставление работникам бюджетной сферы безвозмездных субсидий на приобретение или строительство жилья"</t>
  </si>
  <si>
    <t>Управление по физической культуре, спорту, туризму, молодежной политике Администрации МГО</t>
  </si>
  <si>
    <t>287</t>
  </si>
  <si>
    <t xml:space="preserve">423 00 00 </t>
  </si>
  <si>
    <t>Расходы за счет субсидий из областного бюджета на выплату ежемесячноцй надбавки к заработной плате молодым специалистам и оказание единовременной материальной помощи молодым специалистам</t>
  </si>
  <si>
    <t>423 99 01</t>
  </si>
  <si>
    <t>Реализация национального проекта "Образование" в Челябинской области</t>
  </si>
  <si>
    <t>908</t>
  </si>
  <si>
    <t>Проведение мероприятий для детей и молодежи за счет субсидии из областного бюджета</t>
  </si>
  <si>
    <t>431 01 39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</si>
  <si>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</si>
  <si>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</si>
  <si>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</si>
  <si>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</si>
  <si>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</si>
  <si>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</si>
  <si>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</si>
  <si>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Областная целевая программа "Развитие физической культуры и спорта в Челябинской области на 2009-2011годы" за счет субсидий из областного бюджета</t>
  </si>
  <si>
    <t>522 08 00</t>
  </si>
  <si>
    <t>Муниципальная целевая программа "Развитие туризма в Миасском городском округе на период 2011-2013г.г."</t>
  </si>
  <si>
    <t>795 00 40</t>
  </si>
  <si>
    <t>Программа "Профилактика противодействия незаконному обороту и употреблению наркотических средств" на 2010 - 2012гг.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</si>
  <si>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</si>
  <si>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</si>
  <si>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</si>
  <si>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</si>
  <si>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 xml:space="preserve">Физическая культура </t>
  </si>
  <si>
    <t>Отдел Министерства внутренних дел Российской Федерации по городу Миассу Челябинской области</t>
  </si>
  <si>
    <t>188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</si>
  <si>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</si>
  <si>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</si>
  <si>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</si>
  <si>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</si>
  <si>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</si>
  <si>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</si>
  <si>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</si>
  <si>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</si>
  <si>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</si>
  <si>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Денежное довольствие военнослужащих и сотрудников правоохранительных органов</t>
  </si>
  <si>
    <t>202 58 01</t>
  </si>
  <si>
    <t>Дополнительное денежное стимулирование военнослужащих Министерства обороны Российской Федерации и сотрудников органов внутренних дел Министерства внутренних дел Российской Федерации</t>
  </si>
  <si>
    <t>202 58 02</t>
  </si>
  <si>
    <t>Выплаты в соответствии с законодательством Российской Федерации, зависящие от размера денежного довольствия</t>
  </si>
  <si>
    <t>202 58 03</t>
  </si>
  <si>
    <t>Функционирование Вооруженных сил Российской Федерации, органов в сфере национальной безопасности и правоохранительной деятельности,войск и иных воинских формирований</t>
  </si>
  <si>
    <t>202 67 00</t>
  </si>
  <si>
    <t>Продовольственное обеспечение</t>
  </si>
  <si>
    <t>202 71 00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</si>
  <si>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</si>
  <si>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</si>
  <si>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</si>
  <si>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</si>
  <si>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</si>
  <si>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</si>
  <si>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</si>
  <si>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</si>
  <si>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</si>
  <si>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</si>
  <si>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</si>
  <si>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 xml:space="preserve">795 00 00 </t>
  </si>
  <si>
    <t>Программа "Профилактика противодействия незаконному обороту и употреблению наркотических средств" на 2010-2012 гг.</t>
  </si>
  <si>
    <t>Муниципальная целевая программа повышения безопасности дорожного движения на территории МГО на 2011-1013 годы</t>
  </si>
  <si>
    <t>795 00 46</t>
  </si>
  <si>
    <t>Комплексная программа профилактики правонарушений и усиления борьбы с преступностью на территории МГО на 2010-2011гг.</t>
  </si>
  <si>
    <t>795 00 64</t>
  </si>
  <si>
    <t>МУ МГО "Образование"</t>
  </si>
  <si>
    <t>288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</si>
  <si>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</si>
  <si>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</si>
  <si>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</si>
  <si>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</si>
  <si>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Детские дошкольные учреждения</t>
  </si>
  <si>
    <t>420 00 00</t>
  </si>
  <si>
    <t>420 99 00</t>
  </si>
  <si>
    <t>420 99 01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</si>
  <si>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</si>
  <si>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</si>
  <si>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 xml:space="preserve">Обеспечение продуктами питания учреждений социальной сферы муниципальных образований </t>
  </si>
  <si>
    <t>420 99 62</t>
  </si>
  <si>
    <t>Решение вопросов местного значения, связанных с проведением антитеррористических и противопожарных мероприятий</t>
  </si>
  <si>
    <t>420 99 63</t>
  </si>
  <si>
    <t>Организация воспитания и обучения детей-инвалидов на дому и в дошкольных учреждениях</t>
  </si>
  <si>
    <t>420 99 67</t>
  </si>
  <si>
    <t>Расходы за счет субсидий из областного бюджета на проведение ремонтных работ, строительных работ и работ по благоустройству с привлечением студенческих отрядов</t>
  </si>
  <si>
    <t>420 99 71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</si>
  <si>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</si>
  <si>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</si>
  <si>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Резервный фонд Президента Российской Федерации</t>
  </si>
  <si>
    <t>070 02 00</t>
  </si>
  <si>
    <t>421 99 01</t>
  </si>
  <si>
    <t>421 99 02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</si>
  <si>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</si>
  <si>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</si>
  <si>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</si>
  <si>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</si>
  <si>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421 99 63</t>
  </si>
  <si>
    <t>421 99 70</t>
  </si>
  <si>
    <t>421 99 71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</si>
  <si>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</si>
  <si>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</si>
  <si>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</si>
  <si>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</si>
  <si>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</si>
  <si>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</si>
  <si>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</si>
  <si>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</si>
  <si>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Расходы на оплату ТЭР, услуг водоснабжения,водоотведения, потребляемых МБУ и эл.энергии, расходуемой на уличное освещение за счет субсидий из областного  бюджета</t>
  </si>
  <si>
    <t>423 99 68</t>
  </si>
  <si>
    <t xml:space="preserve">Специальные (коррекционные) учреждения </t>
  </si>
  <si>
    <t>433 00 00</t>
  </si>
  <si>
    <t>433 99 00</t>
  </si>
  <si>
    <t>433 99 01</t>
  </si>
  <si>
    <t>433 99 70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</si>
  <si>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программамв муниципальных специальных (коррекционных) образовательных учреждениях для обучающихся воспитанников </t>
  </si>
  <si>
    <t>433 99 82</t>
  </si>
  <si>
    <t>Модернизация региональных  систем общего образования</t>
  </si>
  <si>
    <t>512 97 26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</si>
  <si>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</si>
  <si>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</si>
  <si>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</si>
  <si>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</si>
  <si>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431 01 99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</si>
  <si>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 или трех разового питания, за счет субсидий из областного бюджета</t>
  </si>
  <si>
    <t>432 01 75</t>
  </si>
  <si>
    <t>Обеспечение деятельности учреждений, обеспечивающих предоставление услуг в сфере образования</t>
  </si>
  <si>
    <t>Организация отдыха детей в каникулярное время в загородных учреждениях, организующих отдых детей в каникулярное время, за счет субсидий из областного бюджета</t>
  </si>
  <si>
    <t>432 01 76</t>
  </si>
  <si>
    <t>432 02 75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</si>
  <si>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</si>
  <si>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432 02 76</t>
  </si>
  <si>
    <t>Мероприятия по работе с детьми и молодежью</t>
  </si>
  <si>
    <t>521 01 39</t>
  </si>
  <si>
    <t>917</t>
  </si>
  <si>
    <t>Государственная поддержка в сфере образования</t>
  </si>
  <si>
    <t>436 01 00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</si>
  <si>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</si>
  <si>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</si>
  <si>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</si>
  <si>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</si>
  <si>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</si>
  <si>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Расходы на решение вопросов местного значения в сфере образования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</si>
  <si>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</si>
  <si>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</si>
  <si>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</si>
  <si>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</si>
  <si>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</si>
  <si>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</si>
  <si>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</si>
  <si>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</si>
  <si>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Областная целевая программа "Дети Южного урала" на 2006-2010 годыза счет субсидий из областного бюджета</t>
  </si>
  <si>
    <t>522 16 00</t>
  </si>
  <si>
    <t>Областная целевая программа реализации национального проекта "Образование" в Челябинской области</t>
  </si>
  <si>
    <t>522 17 00</t>
  </si>
  <si>
    <t>Областная целевая программа реализации национального проекта "Образование" в Челябинской области за счет субсидии из областного бюджета</t>
  </si>
  <si>
    <t>Областная целевая Программа реализации национального проекта "Образование" в Челябинской области</t>
  </si>
  <si>
    <t>Расходы за счет иных межбюджетных транфертов из областного бюджета на поощрение лучших учреждений - победителей конкурсов  (Областная целевая Программа реализации национального проекта "Образование" в Челябинской области на 2009-2012 годы)</t>
  </si>
  <si>
    <t>522 17 01</t>
  </si>
  <si>
    <t>522 17 02</t>
  </si>
  <si>
    <t xml:space="preserve">07 </t>
  </si>
  <si>
    <t>Программа "Профилактика противодействия незаконному обороту и употреблению наркотических средств" на 2010-20123 гг.</t>
  </si>
  <si>
    <t>Программа развития образования на 2010-2012гг.</t>
  </si>
  <si>
    <t>795 00 42</t>
  </si>
  <si>
    <t xml:space="preserve">НП "Образование" в МГО на 2009-2012гг. </t>
  </si>
  <si>
    <t>795 17 44</t>
  </si>
  <si>
    <t>000 00 00</t>
  </si>
  <si>
    <t>505 86 00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</si>
  <si>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</si>
  <si>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</si>
  <si>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Расходы за счет субвенций из областного бюджета на компенсацию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</si>
  <si>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520 10 41 </t>
  </si>
  <si>
    <t>МУ  "Управление культуры" МГО</t>
  </si>
  <si>
    <t>289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</si>
  <si>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субсидий из областного бюджета</t>
  </si>
  <si>
    <t>423 99 70</t>
  </si>
  <si>
    <t>Культура, кинематография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</si>
  <si>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</si>
  <si>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</si>
  <si>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440 99 68</t>
  </si>
  <si>
    <t>Музей и постоянные выставки</t>
  </si>
  <si>
    <t>441 00 00</t>
  </si>
  <si>
    <t>441 99 00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</si>
  <si>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</si>
  <si>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</si>
  <si>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441 99 68</t>
  </si>
  <si>
    <t>442 99 68</t>
  </si>
  <si>
    <t>442 99 70</t>
  </si>
  <si>
    <t>Комплектование книжных фондов библиотек муниципальных образований</t>
  </si>
  <si>
    <t>450 06 00</t>
  </si>
  <si>
    <t xml:space="preserve">Другие вопросы в области культуры, кинематографии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</si>
  <si>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</si>
  <si>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</si>
  <si>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Муниципальная целевая программа "Профилактика противодействия незаконному обороту и употреблению наркотических средств" на 2010-2012 гг.</t>
  </si>
  <si>
    <t xml:space="preserve">Программа "Дети Миасского городского округа на 2006-2008гг." Подпрограмма "Одаренные дети" </t>
  </si>
  <si>
    <t>795 00 51</t>
  </si>
  <si>
    <t xml:space="preserve">Муниципальная целевая программа "Безопасность учреждений культуры" на 2010-2012 годы </t>
  </si>
  <si>
    <t>795 00 52</t>
  </si>
  <si>
    <t>Муниципальная целевая программа "Культура. Искусство. Творчество." на 2010-2012гг.</t>
  </si>
  <si>
    <t>795 00 53</t>
  </si>
  <si>
    <t>МУ "Управление здравоохранения"</t>
  </si>
  <si>
    <t>290</t>
  </si>
  <si>
    <t>Проведение детей для детей и молодежи</t>
  </si>
  <si>
    <t>447</t>
  </si>
  <si>
    <t>Ремонт и противопожарные мероприятия в учреждениях здравоохранения муниципальных образований за счет субсидий из областного бюджета</t>
  </si>
  <si>
    <t>903</t>
  </si>
  <si>
    <t>470 99 68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</si>
  <si>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</si>
  <si>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</si>
  <si>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</si>
  <si>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</si>
  <si>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</si>
  <si>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</si>
  <si>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</si>
  <si>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cкорой медицинской помощи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</si>
  <si>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</si>
  <si>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</si>
  <si>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</si>
  <si>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 xml:space="preserve">522 00 00 </t>
  </si>
  <si>
    <t>455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</si>
  <si>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</si>
  <si>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</si>
  <si>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Мероприятия в области здравоохранения</t>
  </si>
  <si>
    <t>067</t>
  </si>
  <si>
    <t>Учреждения, обеспечивающие предоставление услуг в сфере здравоохранения</t>
  </si>
  <si>
    <t>469 00 00</t>
  </si>
  <si>
    <t>469 99 00</t>
  </si>
  <si>
    <t>Областная целевая программа реализации Национального проекта "Здоровье" в Челябинской области</t>
  </si>
  <si>
    <t>522 18 00</t>
  </si>
  <si>
    <t>Муниципальная целевая программа модернизации здравоохранения Миасского городского округа на 2011-2012гг.</t>
  </si>
  <si>
    <t>795 00 30</t>
  </si>
  <si>
    <t>Муниципальная целевая программа "Пожарная безопасность учреждений здравоохранения Миасского городского округа на 2010-2012гг."</t>
  </si>
  <si>
    <t>795 00 32</t>
  </si>
  <si>
    <t>Муниципальная целевая программа "Профилактика клещевого энцефалита в Миасском городском округе на 2010-2012 г.г."</t>
  </si>
  <si>
    <t>795 00 33</t>
  </si>
  <si>
    <t>Целевая программа "Улучшение качества жизни больных бронхиальной астмой" на 2006-2010 годы</t>
  </si>
  <si>
    <t>795 00 34</t>
  </si>
  <si>
    <t>Программа "Питание детей второго года жизни в Миасском городском округе на 2008-2010гг"</t>
  </si>
  <si>
    <t>795 00 36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</si>
  <si>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</si>
  <si>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</si>
  <si>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ВСЕГО РАСХОДОВ</t>
  </si>
  <si>
    <t>ПРОФИЦИТ БЮДЖЕТА (со знаком "плюс") или ДЕФИЦИТ БЮДЖЕТА (со знаком "минус")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</si>
  <si>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</si>
  <si>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</si>
  <si>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</si>
  <si>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труженников тыла)</t>
  </si>
  <si>
    <t>Расходы за счет субвенции на обеспечение мер социальной поддержки ветеранов труда и труженников тыла (Закон Челябинской области "О мерах социальной поддержки ветеранов Челябинской области" (ежемесячная денежная выплата на оплату жилья и коммунальных услуг и единовременная выплата на цели отопления)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</si>
  <si>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</si>
  <si>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</si>
  <si>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Расходы за счет субвенции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репрессий" в ЧО (ежемесячная денежная выплата на оплату жилья и коммунальных услуг и единовременная денежная выплата на цели отопления)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</si>
  <si>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</si>
  <si>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РАСПРЕДЕЛЕНИЕ БЮДЖЕТНЫХ АССИГНОВАНИЙ НА 2011 ГОД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</si>
  <si>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</si>
  <si>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</si>
  <si>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</si>
  <si>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</si>
  <si>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на 2011 год  (тыс. руб.)</t>
  </si>
  <si>
    <t>15</t>
  </si>
  <si>
    <t>216</t>
  </si>
  <si>
    <t>Мероприятия по организации оздоровительной кампании детей и подростков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</si>
  <si>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</si>
  <si>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</si>
  <si>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</si>
  <si>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200</t>
  </si>
  <si>
    <t>366</t>
  </si>
  <si>
    <t>Мероприятия по землестройству и землепользованию</t>
  </si>
  <si>
    <t>406</t>
  </si>
  <si>
    <t>Непрограмные инвестиции в основные фонды</t>
  </si>
  <si>
    <t>214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</si>
  <si>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</si>
  <si>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</si>
  <si>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Резервные фонды органов местного самоуправления</t>
  </si>
  <si>
    <t>184</t>
  </si>
  <si>
    <t xml:space="preserve">04 </t>
  </si>
  <si>
    <t>Программа по ремонту кровель жилого фонда</t>
  </si>
  <si>
    <t>410</t>
  </si>
  <si>
    <t>Отдельные мероприятия в области дорожного хозяйства</t>
  </si>
  <si>
    <t>365</t>
  </si>
  <si>
    <t>Программа "О развитии энергосбережения в МГО на 2006-2010гг."</t>
  </si>
  <si>
    <t>795 00 25</t>
  </si>
  <si>
    <t>104 03 00</t>
  </si>
  <si>
    <t>Детские дошкольные учреждения за счет субсидий из областного бюджета</t>
  </si>
  <si>
    <t>424  99 00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</si>
  <si>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</si>
  <si>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культуры,туризма за счет субсидии из областного бюджета</t>
  </si>
  <si>
    <t>Внедрение ииновационных образовательных программ</t>
  </si>
  <si>
    <t>621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</si>
  <si>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</si>
  <si>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</si>
  <si>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</si>
  <si>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Организация и осуществление мероприятий по работе с детьми и молодежью за счет субсидий из областного бюджета</t>
  </si>
  <si>
    <t>Программа "Профилактика противодействия незаконному обороту и употреблению наркотических средств" на 2010-2012гг.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</si>
  <si>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</si>
  <si>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Муниципальная целевая программа "Безопасность учреждений культуры" на 2010-2012 годы</t>
  </si>
  <si>
    <t>Программа "Противопожарная безопасность учреждений здравоохранения Миасского городского округа на 2010-2012гг."</t>
  </si>
  <si>
    <t>Программа "Профилактика клещевого энцефалита в Миасском городском округе на 2010-2012 гг."</t>
  </si>
  <si>
    <t>Нац.проект "Здоровье" на территории  Миасского городского округа на 2010-2012 гг.</t>
  </si>
  <si>
    <t>507 99 01</t>
  </si>
  <si>
    <t>Расходы за счет субвенции из областного бюджета на обеспечение мер социальной поддержки граждан, имеющих звание "Ветерано труда Челябинской области" (ежеквартальные денежные выплаты на оплату проезда)</t>
  </si>
  <si>
    <t>Обеспечение жилыми помещениями дете-сирот,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</si>
  <si>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2011-2015гг. за счет субсидии из областного бюджета"</t>
  </si>
  <si>
    <t xml:space="preserve">Содержание ребенка в семье опекуна и приемной семье, а также оплата труда приемного родителя </t>
  </si>
  <si>
    <t xml:space="preserve"> ИСТОЧНИКИ ВНУТРЕННЕГО ФИНАНСИРОВАНИЯ</t>
  </si>
  <si>
    <t>000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</si>
  <si>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</si>
  <si>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</si>
  <si>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</si>
  <si>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</si>
  <si>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</si>
  <si>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</si>
  <si>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</si>
  <si>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</si>
  <si>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</si>
  <si>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</si>
  <si>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</si>
  <si>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</si>
  <si>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</si>
  <si>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</si>
  <si>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>420 01 00</t>
  </si>
  <si>
    <t xml:space="preserve"> </t>
  </si>
  <si>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</si>
  <si>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</si>
  <si>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</si>
  <si>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</si>
  <si>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</si>
  <si>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НА 2011 ГОД</t>
  </si>
  <si>
    <t>Главные распорядители, наименование БК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</si>
  <si>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</si>
  <si>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</si>
  <si>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</si>
  <si>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</si>
  <si>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</si>
  <si>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</si>
  <si>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</si>
  <si>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</si>
  <si>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вид расходов</t>
  </si>
  <si>
    <t>на 2011 год                 (тыс. руб.)</t>
  </si>
  <si>
    <t>на 9 мес.2010 года                (тыс. руб.)</t>
  </si>
  <si>
    <t>исполнения (%)</t>
  </si>
  <si>
    <t xml:space="preserve"> Собрание депутатов Миасского городского округа</t>
  </si>
  <si>
    <t>291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</si>
  <si>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</si>
  <si>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</si>
  <si>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</si>
  <si>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</si>
  <si>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</si>
  <si>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</si>
  <si>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</si>
  <si>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</si>
  <si>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</si>
  <si>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</si>
  <si>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</si>
  <si>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</si>
  <si>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</si>
  <si>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</si>
  <si>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</si>
  <si>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</si>
  <si>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</si>
  <si>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</si>
  <si>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</si>
  <si>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</si>
  <si>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</si>
  <si>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</si>
  <si>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</si>
  <si>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Образование</t>
  </si>
  <si>
    <t>07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</si>
  <si>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</si>
  <si>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</si>
  <si>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</si>
  <si>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 xml:space="preserve">Оздоровление детей </t>
  </si>
  <si>
    <t>432 02 00</t>
  </si>
  <si>
    <t>Выполнение функций бюджетными учреждениями</t>
  </si>
  <si>
    <t>001</t>
  </si>
  <si>
    <t>Социальная политика</t>
  </si>
  <si>
    <t>10</t>
  </si>
  <si>
    <t>Социальное обеспечение населения</t>
  </si>
  <si>
    <t>Социальная помощь</t>
  </si>
  <si>
    <t>505 00 00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</si>
  <si>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</si>
  <si>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</si>
  <si>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Социальные выплаты</t>
  </si>
  <si>
    <t>005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</si>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</sst>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?"/>
    <numFmt numFmtId="167" formatCode="_-* #,##0.0_р_._-;\-* #,##0.0_р_._-;_-* &quot;-&quot;??_р_._-;_-@_-"/>
    <numFmt numFmtId="168" formatCode="_(* #,##0.0_);_(* \(#,##0.0\);_(* &quot;-&quot;??_);_(@_)"/>
    <numFmt numFmtId="169" formatCode="_-* #,##0.0_р_._-;\-* #,##0.0_р_._-;_-* &quot;-&quot;?_р_._-;_-@_-"/>
    <numFmt numFmtId="170" formatCode="#,##0.0_ ;\-#,##0.0\ 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_ ;[Red]\-#,##0\ "/>
    <numFmt numFmtId="192" formatCode="#,##0.000"/>
    <numFmt numFmtId="193" formatCode="0.000%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0.000"/>
    <numFmt numFmtId="203" formatCode="0.0000"/>
    <numFmt numFmtId="204" formatCode="0.00000"/>
    <numFmt numFmtId="205" formatCode="0.000000"/>
    <numFmt numFmtId="206" formatCode="0.0%"/>
    <numFmt numFmtId="207" formatCode="0.0E+00"/>
    <numFmt numFmtId="208" formatCode="0E+00"/>
    <numFmt numFmtId="209" formatCode="#,##0.0_ ;[Red]\-#,##0.0\ "/>
    <numFmt numFmtId="210" formatCode="#,##0.0000"/>
    <numFmt numFmtId="211" formatCode="#,##0.00000"/>
    <numFmt numFmtId="212" formatCode="0.0000000"/>
    <numFmt numFmtId="213" formatCode="#,##0.000000"/>
    <numFmt numFmtId="214" formatCode="#,##0.0000000"/>
    <numFmt numFmtId="215" formatCode="#,##0.00000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i/>
      <sz val="10"/>
      <name val="Arial Cyr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 Cyr"/>
      <family val="0"/>
    </font>
    <font>
      <i/>
      <sz val="10"/>
      <name val="Arial"/>
      <family val="2"/>
    </font>
    <font>
      <i/>
      <sz val="11"/>
      <name val="Arial Cyr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5" fillId="0" borderId="15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vertical="justify"/>
    </xf>
    <xf numFmtId="0" fontId="6" fillId="0" borderId="17" xfId="0" applyFont="1" applyFill="1" applyBorder="1" applyAlignment="1">
      <alignment vertical="justify"/>
    </xf>
    <xf numFmtId="0" fontId="6" fillId="0" borderId="18" xfId="0" applyFont="1" applyFill="1" applyBorder="1" applyAlignment="1">
      <alignment vertical="justify"/>
    </xf>
    <xf numFmtId="0" fontId="0" fillId="0" borderId="19" xfId="0" applyFill="1" applyBorder="1" applyAlignment="1">
      <alignment horizontal="center" vertical="justify"/>
    </xf>
    <xf numFmtId="0" fontId="7" fillId="0" borderId="20" xfId="0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164" fontId="8" fillId="0" borderId="26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/>
    </xf>
    <xf numFmtId="49" fontId="10" fillId="0" borderId="24" xfId="0" applyNumberFormat="1" applyFont="1" applyFill="1" applyBorder="1" applyAlignment="1">
      <alignment/>
    </xf>
    <xf numFmtId="49" fontId="5" fillId="0" borderId="25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23" xfId="0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/>
    </xf>
    <xf numFmtId="49" fontId="11" fillId="0" borderId="23" xfId="0" applyNumberFormat="1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/>
    </xf>
    <xf numFmtId="49" fontId="11" fillId="0" borderId="25" xfId="0" applyNumberFormat="1" applyFont="1" applyFill="1" applyBorder="1" applyAlignment="1">
      <alignment horizontal="center" wrapText="1"/>
    </xf>
    <xf numFmtId="164" fontId="8" fillId="0" borderId="26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 vertical="top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top" wrapText="1"/>
    </xf>
    <xf numFmtId="49" fontId="11" fillId="0" borderId="25" xfId="0" applyNumberFormat="1" applyFont="1" applyFill="1" applyBorder="1" applyAlignment="1">
      <alignment horizontal="center" vertical="top" wrapText="1"/>
    </xf>
    <xf numFmtId="49" fontId="11" fillId="0" borderId="24" xfId="0" applyNumberFormat="1" applyFont="1" applyFill="1" applyBorder="1" applyAlignment="1">
      <alignment horizontal="center" wrapText="1"/>
    </xf>
    <xf numFmtId="164" fontId="12" fillId="0" borderId="26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3" fillId="0" borderId="2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49" fontId="11" fillId="0" borderId="24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9" fontId="14" fillId="0" borderId="24" xfId="0" applyNumberFormat="1" applyFont="1" applyFill="1" applyBorder="1" applyAlignment="1">
      <alignment horizontal="justify" vertical="top" wrapText="1"/>
    </xf>
    <xf numFmtId="49" fontId="5" fillId="0" borderId="24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/>
    </xf>
    <xf numFmtId="49" fontId="11" fillId="0" borderId="24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164" fontId="10" fillId="0" borderId="26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Border="1" applyAlignment="1">
      <alignment vertical="justify"/>
    </xf>
    <xf numFmtId="164" fontId="5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15" fillId="0" borderId="24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65" fontId="8" fillId="0" borderId="26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0" xfId="0" applyFill="1" applyAlignment="1">
      <alignment/>
    </xf>
    <xf numFmtId="49" fontId="11" fillId="0" borderId="28" xfId="0" applyNumberFormat="1" applyFont="1" applyFill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/>
    </xf>
    <xf numFmtId="49" fontId="11" fillId="0" borderId="25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wrapText="1"/>
    </xf>
    <xf numFmtId="0" fontId="5" fillId="0" borderId="0" xfId="0" applyFont="1" applyFill="1" applyAlignment="1">
      <alignment/>
    </xf>
    <xf numFmtId="3" fontId="11" fillId="0" borderId="2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/>
    </xf>
    <xf numFmtId="49" fontId="7" fillId="0" borderId="33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vertical="center" wrapText="1"/>
    </xf>
    <xf numFmtId="49" fontId="0" fillId="0" borderId="37" xfId="0" applyNumberFormat="1" applyFill="1" applyBorder="1" applyAlignment="1">
      <alignment/>
    </xf>
    <xf numFmtId="49" fontId="0" fillId="0" borderId="37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/>
    </xf>
    <xf numFmtId="164" fontId="8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>
      <alignment vertical="justify"/>
    </xf>
    <xf numFmtId="0" fontId="6" fillId="0" borderId="33" xfId="0" applyFont="1" applyFill="1" applyBorder="1" applyAlignment="1">
      <alignment vertical="justify"/>
    </xf>
    <xf numFmtId="0" fontId="6" fillId="0" borderId="34" xfId="0" applyFont="1" applyFill="1" applyBorder="1" applyAlignment="1">
      <alignment vertical="justify"/>
    </xf>
    <xf numFmtId="0" fontId="7" fillId="0" borderId="42" xfId="0" applyFont="1" applyFill="1" applyBorder="1" applyAlignment="1">
      <alignment vertical="center" wrapText="1"/>
    </xf>
    <xf numFmtId="49" fontId="7" fillId="0" borderId="43" xfId="0" applyNumberFormat="1" applyFont="1" applyFill="1" applyBorder="1" applyAlignment="1">
      <alignment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164" fontId="4" fillId="0" borderId="45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49" fontId="7" fillId="0" borderId="2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 wrapText="1"/>
    </xf>
    <xf numFmtId="4" fontId="10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justify" vertical="center" wrapText="1"/>
    </xf>
    <xf numFmtId="4" fontId="11" fillId="0" borderId="0" xfId="0" applyNumberFormat="1" applyFont="1" applyFill="1" applyAlignment="1">
      <alignment/>
    </xf>
    <xf numFmtId="0" fontId="10" fillId="0" borderId="23" xfId="0" applyFont="1" applyFill="1" applyBorder="1" applyAlignment="1">
      <alignment vertical="center" wrapText="1"/>
    </xf>
    <xf numFmtId="43" fontId="2" fillId="0" borderId="0" xfId="61" applyFont="1" applyFill="1" applyAlignment="1">
      <alignment/>
    </xf>
    <xf numFmtId="4" fontId="2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13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0" fontId="5" fillId="0" borderId="23" xfId="0" applyNumberFormat="1" applyFont="1" applyFill="1" applyBorder="1" applyAlignment="1">
      <alignment vertical="center" wrapText="1"/>
    </xf>
    <xf numFmtId="49" fontId="3" fillId="0" borderId="2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164" fontId="4" fillId="0" borderId="3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3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left" vertical="center" wrapText="1"/>
    </xf>
    <xf numFmtId="49" fontId="0" fillId="0" borderId="33" xfId="0" applyNumberFormat="1" applyFill="1" applyBorder="1" applyAlignment="1">
      <alignment/>
    </xf>
    <xf numFmtId="49" fontId="0" fillId="0" borderId="33" xfId="0" applyNumberFormat="1" applyFill="1" applyBorder="1" applyAlignment="1">
      <alignment horizontal="center"/>
    </xf>
    <xf numFmtId="49" fontId="0" fillId="0" borderId="34" xfId="0" applyNumberForma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 wrapText="1"/>
    </xf>
    <xf numFmtId="49" fontId="0" fillId="0" borderId="46" xfId="0" applyNumberFormat="1" applyFill="1" applyBorder="1" applyAlignment="1">
      <alignment/>
    </xf>
    <xf numFmtId="49" fontId="0" fillId="0" borderId="46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49" fontId="0" fillId="0" borderId="47" xfId="0" applyNumberFormat="1" applyFill="1" applyBorder="1" applyAlignment="1">
      <alignment horizontal="center"/>
    </xf>
    <xf numFmtId="0" fontId="8" fillId="0" borderId="42" xfId="0" applyFont="1" applyFill="1" applyBorder="1" applyAlignment="1">
      <alignment horizontal="left" vertical="center" wrapText="1"/>
    </xf>
    <xf numFmtId="49" fontId="0" fillId="0" borderId="43" xfId="0" applyNumberFormat="1" applyFill="1" applyBorder="1" applyAlignment="1">
      <alignment horizontal="center"/>
    </xf>
    <xf numFmtId="49" fontId="0" fillId="0" borderId="48" xfId="0" applyNumberFormat="1" applyFill="1" applyBorder="1" applyAlignment="1">
      <alignment horizontal="center"/>
    </xf>
    <xf numFmtId="165" fontId="8" fillId="0" borderId="26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49" xfId="0" applyNumberFormat="1" applyFill="1" applyBorder="1" applyAlignment="1">
      <alignment horizontal="center"/>
    </xf>
    <xf numFmtId="0" fontId="5" fillId="0" borderId="42" xfId="0" applyFont="1" applyFill="1" applyBorder="1" applyAlignment="1">
      <alignment horizontal="left" vertical="center" wrapText="1"/>
    </xf>
    <xf numFmtId="165" fontId="8" fillId="0" borderId="45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49" fontId="0" fillId="0" borderId="29" xfId="0" applyNumberFormat="1" applyFill="1" applyBorder="1" applyAlignment="1">
      <alignment horizontal="center"/>
    </xf>
    <xf numFmtId="49" fontId="0" fillId="0" borderId="50" xfId="0" applyNumberFormat="1" applyFill="1" applyBorder="1" applyAlignment="1">
      <alignment horizontal="center"/>
    </xf>
    <xf numFmtId="165" fontId="8" fillId="0" borderId="31" xfId="0" applyNumberFormat="1" applyFont="1" applyFill="1" applyBorder="1" applyAlignment="1">
      <alignment horizontal="center"/>
    </xf>
    <xf numFmtId="0" fontId="11" fillId="0" borderId="23" xfId="0" applyNumberFormat="1" applyFont="1" applyFill="1" applyBorder="1" applyAlignment="1">
      <alignment vertical="center" wrapText="1"/>
    </xf>
    <xf numFmtId="0" fontId="0" fillId="0" borderId="2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5" fillId="0" borderId="51" xfId="0" applyFont="1" applyFill="1" applyBorder="1" applyAlignment="1">
      <alignment vertical="center" wrapText="1"/>
    </xf>
    <xf numFmtId="49" fontId="0" fillId="0" borderId="52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164" fontId="8" fillId="0" borderId="54" xfId="0" applyNumberFormat="1" applyFont="1" applyFill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8" fillId="0" borderId="10" xfId="53" applyFont="1" applyBorder="1">
      <alignment/>
      <protection/>
    </xf>
    <xf numFmtId="0" fontId="8" fillId="0" borderId="35" xfId="53" applyFont="1" applyBorder="1" applyAlignment="1">
      <alignment horizontal="center" vertical="justify"/>
      <protection/>
    </xf>
    <xf numFmtId="0" fontId="8" fillId="0" borderId="55" xfId="53" applyFont="1" applyBorder="1" applyAlignment="1">
      <alignment vertical="center"/>
      <protection/>
    </xf>
    <xf numFmtId="0" fontId="8" fillId="0" borderId="11" xfId="53" applyFont="1" applyBorder="1" applyAlignment="1">
      <alignment horizontal="left" wrapText="1"/>
      <protection/>
    </xf>
    <xf numFmtId="164" fontId="8" fillId="0" borderId="22" xfId="53" applyNumberFormat="1" applyFont="1" applyBorder="1" applyAlignment="1">
      <alignment horizontal="center" vertical="center"/>
      <protection/>
    </xf>
    <xf numFmtId="0" fontId="8" fillId="0" borderId="56" xfId="53" applyFont="1" applyBorder="1" applyAlignment="1">
      <alignment vertical="center"/>
      <protection/>
    </xf>
    <xf numFmtId="0" fontId="8" fillId="0" borderId="57" xfId="53" applyFont="1" applyBorder="1" applyAlignment="1">
      <alignment horizontal="center"/>
      <protection/>
    </xf>
    <xf numFmtId="164" fontId="8" fillId="0" borderId="26" xfId="53" applyNumberFormat="1" applyFont="1" applyBorder="1" applyAlignment="1">
      <alignment horizontal="center" vertical="center"/>
      <protection/>
    </xf>
    <xf numFmtId="0" fontId="8" fillId="0" borderId="58" xfId="53" applyFont="1" applyBorder="1" applyAlignment="1">
      <alignment horizontal="center"/>
      <protection/>
    </xf>
    <xf numFmtId="165" fontId="8" fillId="0" borderId="35" xfId="53" applyNumberFormat="1" applyFont="1" applyBorder="1" applyAlignment="1">
      <alignment horizontal="center" vertical="center"/>
      <protection/>
    </xf>
    <xf numFmtId="0" fontId="8" fillId="0" borderId="59" xfId="53" applyFont="1" applyBorder="1" applyAlignment="1">
      <alignment horizontal="center" vertical="center"/>
      <protection/>
    </xf>
    <xf numFmtId="0" fontId="8" fillId="0" borderId="60" xfId="53" applyFont="1" applyBorder="1" applyAlignment="1">
      <alignment horizontal="center"/>
      <protection/>
    </xf>
    <xf numFmtId="164" fontId="8" fillId="0" borderId="31" xfId="53" applyNumberFormat="1" applyFont="1" applyBorder="1" applyAlignment="1">
      <alignment horizontal="center" vertical="center"/>
      <protection/>
    </xf>
    <xf numFmtId="165" fontId="8" fillId="0" borderId="61" xfId="53" applyNumberFormat="1" applyFont="1" applyBorder="1" applyAlignment="1">
      <alignment horizontal="center" vertical="center"/>
      <protection/>
    </xf>
    <xf numFmtId="0" fontId="8" fillId="0" borderId="35" xfId="53" applyFont="1" applyBorder="1">
      <alignment/>
      <protection/>
    </xf>
    <xf numFmtId="164" fontId="8" fillId="0" borderId="35" xfId="53" applyNumberFormat="1" applyFont="1" applyBorder="1" applyAlignment="1">
      <alignment horizontal="center" vertical="center"/>
      <protection/>
    </xf>
    <xf numFmtId="0" fontId="8" fillId="0" borderId="62" xfId="53" applyFont="1" applyBorder="1" applyAlignment="1">
      <alignment horizontal="center"/>
      <protection/>
    </xf>
    <xf numFmtId="165" fontId="8" fillId="0" borderId="22" xfId="53" applyNumberFormat="1" applyFont="1" applyBorder="1" applyAlignment="1">
      <alignment horizontal="center" vertical="center"/>
      <protection/>
    </xf>
    <xf numFmtId="164" fontId="8" fillId="0" borderId="54" xfId="53" applyNumberFormat="1" applyFont="1" applyBorder="1" applyAlignment="1">
      <alignment horizontal="center" vertical="center"/>
      <protection/>
    </xf>
    <xf numFmtId="165" fontId="8" fillId="0" borderId="54" xfId="53" applyNumberFormat="1" applyFont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49" fontId="16" fillId="0" borderId="24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left" vertical="center" wrapText="1"/>
    </xf>
    <xf numFmtId="164" fontId="16" fillId="0" borderId="2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left" vertical="center" wrapText="1"/>
    </xf>
    <xf numFmtId="164" fontId="12" fillId="0" borderId="2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9" fontId="12" fillId="0" borderId="24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left" vertical="center" wrapText="1"/>
    </xf>
    <xf numFmtId="4" fontId="12" fillId="0" borderId="29" xfId="0" applyNumberFormat="1" applyFont="1" applyFill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left" vertical="center" wrapText="1"/>
    </xf>
    <xf numFmtId="0" fontId="12" fillId="24" borderId="0" xfId="0" applyFont="1" applyFill="1" applyAlignment="1">
      <alignment/>
    </xf>
    <xf numFmtId="166" fontId="12" fillId="0" borderId="24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3" fillId="0" borderId="0" xfId="0" applyFont="1" applyFill="1" applyAlignment="1">
      <alignment horizontal="left" wrapText="1"/>
    </xf>
    <xf numFmtId="49" fontId="16" fillId="0" borderId="0" xfId="0" applyNumberFormat="1" applyFont="1" applyFill="1" applyBorder="1" applyAlignment="1">
      <alignment horizontal="left" wrapText="1"/>
    </xf>
    <xf numFmtId="49" fontId="17" fillId="0" borderId="63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на 2008 год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20</xdr:row>
      <xdr:rowOff>0</xdr:rowOff>
    </xdr:from>
    <xdr:ext cx="6276975" cy="0"/>
    <xdr:grpSp>
      <xdr:nvGrpSpPr>
        <xdr:cNvPr id="1" name="Group 1"/>
        <xdr:cNvGrpSpPr>
          <a:grpSpLocks/>
        </xdr:cNvGrpSpPr>
      </xdr:nvGrpSpPr>
      <xdr:grpSpPr>
        <a:xfrm>
          <a:off x="6610350" y="7296150"/>
          <a:ext cx="6276975" cy="0"/>
          <a:chOff x="1" y="801"/>
          <a:chExt cx="578" cy="33"/>
        </a:xfrm>
        <a:solidFill>
          <a:srgbClr val="FFFFFF"/>
        </a:solidFill>
      </xdr:grpSpPr>
      <xdr:sp>
        <xdr:nvSpPr>
          <xdr:cNvPr id="2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3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5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3</xdr:col>
      <xdr:colOff>0</xdr:colOff>
      <xdr:row>20</xdr:row>
      <xdr:rowOff>0</xdr:rowOff>
    </xdr:from>
    <xdr:ext cx="6276975" cy="0"/>
    <xdr:grpSp>
      <xdr:nvGrpSpPr>
        <xdr:cNvPr id="9" name="Group 9"/>
        <xdr:cNvGrpSpPr>
          <a:grpSpLocks/>
        </xdr:cNvGrpSpPr>
      </xdr:nvGrpSpPr>
      <xdr:grpSpPr>
        <a:xfrm>
          <a:off x="6610350" y="7296150"/>
          <a:ext cx="6276975" cy="0"/>
          <a:chOff x="1" y="801"/>
          <a:chExt cx="578" cy="33"/>
        </a:xfrm>
        <a:solidFill>
          <a:srgbClr val="FFFFFF"/>
        </a:solidFill>
      </xdr:grpSpPr>
      <xdr:sp>
        <xdr:nvSpPr>
          <xdr:cNvPr id="10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13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3</xdr:col>
      <xdr:colOff>0</xdr:colOff>
      <xdr:row>20</xdr:row>
      <xdr:rowOff>0</xdr:rowOff>
    </xdr:from>
    <xdr:ext cx="6276975" cy="0"/>
    <xdr:grpSp>
      <xdr:nvGrpSpPr>
        <xdr:cNvPr id="17" name="Group 17"/>
        <xdr:cNvGrpSpPr>
          <a:grpSpLocks/>
        </xdr:cNvGrpSpPr>
      </xdr:nvGrpSpPr>
      <xdr:grpSpPr>
        <a:xfrm>
          <a:off x="6610350" y="7296150"/>
          <a:ext cx="6276975" cy="0"/>
          <a:chOff x="1" y="801"/>
          <a:chExt cx="578" cy="33"/>
        </a:xfrm>
        <a:solidFill>
          <a:srgbClr val="FFFFFF"/>
        </a:solidFill>
      </xdr:grpSpPr>
      <xdr:sp>
        <xdr:nvSpPr>
          <xdr:cNvPr id="18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9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21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3</xdr:col>
      <xdr:colOff>0</xdr:colOff>
      <xdr:row>20</xdr:row>
      <xdr:rowOff>0</xdr:rowOff>
    </xdr:from>
    <xdr:ext cx="6276975" cy="0"/>
    <xdr:grpSp>
      <xdr:nvGrpSpPr>
        <xdr:cNvPr id="25" name="Group 25"/>
        <xdr:cNvGrpSpPr>
          <a:grpSpLocks/>
        </xdr:cNvGrpSpPr>
      </xdr:nvGrpSpPr>
      <xdr:grpSpPr>
        <a:xfrm>
          <a:off x="6610350" y="7296150"/>
          <a:ext cx="6276975" cy="0"/>
          <a:chOff x="1" y="801"/>
          <a:chExt cx="578" cy="33"/>
        </a:xfrm>
        <a:solidFill>
          <a:srgbClr val="FFFFFF"/>
        </a:solidFill>
      </xdr:grpSpPr>
      <xdr:sp>
        <xdr:nvSpPr>
          <xdr:cNvPr id="26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7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29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0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1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3</xdr:col>
      <xdr:colOff>0</xdr:colOff>
      <xdr:row>20</xdr:row>
      <xdr:rowOff>0</xdr:rowOff>
    </xdr:from>
    <xdr:ext cx="6276975" cy="0"/>
    <xdr:grpSp>
      <xdr:nvGrpSpPr>
        <xdr:cNvPr id="33" name="Group 33"/>
        <xdr:cNvGrpSpPr>
          <a:grpSpLocks/>
        </xdr:cNvGrpSpPr>
      </xdr:nvGrpSpPr>
      <xdr:grpSpPr>
        <a:xfrm>
          <a:off x="6610350" y="7296150"/>
          <a:ext cx="6276975" cy="0"/>
          <a:chOff x="1" y="801"/>
          <a:chExt cx="578" cy="33"/>
        </a:xfrm>
        <a:solidFill>
          <a:srgbClr val="FFFFFF"/>
        </a:solidFill>
      </xdr:grpSpPr>
      <xdr:sp>
        <xdr:nvSpPr>
          <xdr:cNvPr id="34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35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37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8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9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3</xdr:col>
      <xdr:colOff>0</xdr:colOff>
      <xdr:row>20</xdr:row>
      <xdr:rowOff>0</xdr:rowOff>
    </xdr:from>
    <xdr:ext cx="6276975" cy="0"/>
    <xdr:grpSp>
      <xdr:nvGrpSpPr>
        <xdr:cNvPr id="41" name="Group 41"/>
        <xdr:cNvGrpSpPr>
          <a:grpSpLocks/>
        </xdr:cNvGrpSpPr>
      </xdr:nvGrpSpPr>
      <xdr:grpSpPr>
        <a:xfrm>
          <a:off x="6610350" y="7296150"/>
          <a:ext cx="6276975" cy="0"/>
          <a:chOff x="1" y="801"/>
          <a:chExt cx="578" cy="33"/>
        </a:xfrm>
        <a:solidFill>
          <a:srgbClr val="FFFFFF"/>
        </a:solidFill>
      </xdr:grpSpPr>
      <xdr:sp>
        <xdr:nvSpPr>
          <xdr:cNvPr id="42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43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45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6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7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3</xdr:col>
      <xdr:colOff>0</xdr:colOff>
      <xdr:row>20</xdr:row>
      <xdr:rowOff>0</xdr:rowOff>
    </xdr:from>
    <xdr:ext cx="6276975" cy="0"/>
    <xdr:grpSp>
      <xdr:nvGrpSpPr>
        <xdr:cNvPr id="49" name="Group 49"/>
        <xdr:cNvGrpSpPr>
          <a:grpSpLocks/>
        </xdr:cNvGrpSpPr>
      </xdr:nvGrpSpPr>
      <xdr:grpSpPr>
        <a:xfrm>
          <a:off x="6610350" y="7296150"/>
          <a:ext cx="6276975" cy="0"/>
          <a:chOff x="1" y="801"/>
          <a:chExt cx="578" cy="33"/>
        </a:xfrm>
        <a:solidFill>
          <a:srgbClr val="FFFFFF"/>
        </a:solidFill>
      </xdr:grpSpPr>
      <xdr:sp>
        <xdr:nvSpPr>
          <xdr:cNvPr id="50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51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53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4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5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3</xdr:col>
      <xdr:colOff>0</xdr:colOff>
      <xdr:row>20</xdr:row>
      <xdr:rowOff>0</xdr:rowOff>
    </xdr:from>
    <xdr:ext cx="6276975" cy="0"/>
    <xdr:grpSp>
      <xdr:nvGrpSpPr>
        <xdr:cNvPr id="57" name="Group 57"/>
        <xdr:cNvGrpSpPr>
          <a:grpSpLocks/>
        </xdr:cNvGrpSpPr>
      </xdr:nvGrpSpPr>
      <xdr:grpSpPr>
        <a:xfrm>
          <a:off x="6610350" y="7296150"/>
          <a:ext cx="6276975" cy="0"/>
          <a:chOff x="1" y="801"/>
          <a:chExt cx="578" cy="33"/>
        </a:xfrm>
        <a:solidFill>
          <a:srgbClr val="FFFFFF"/>
        </a:solidFill>
      </xdr:grpSpPr>
      <xdr:sp>
        <xdr:nvSpPr>
          <xdr:cNvPr id="58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59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61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2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3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66-3\&#1084;&#1086;&#1080;%20&#1076;&#1086;&#1082;&#1091;&#1084;&#1077;&#1085;&#1090;&#1099;\&#1050;%20&#1091;&#1090;&#1086;&#1095;&#1085;&#1077;&#1085;&#1080;&#1102;%202008%20&#1075;&#1086;&#1076;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66-3\&#1084;&#1086;&#1080;%20&#1076;&#1086;&#1082;&#1091;&#1084;&#1077;&#1085;&#1090;&#1099;\&#1050;%20&#1091;&#1090;&#1086;&#1095;&#1085;&#1077;&#1085;&#1080;&#1102;%202011%20&#1075;&#1086;&#1076;%20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83">
          <cell r="F83" t="str">
            <v>500</v>
          </cell>
        </row>
        <row r="180">
          <cell r="F180" t="str">
            <v>500</v>
          </cell>
        </row>
        <row r="188">
          <cell r="F188" t="str">
            <v>500</v>
          </cell>
        </row>
        <row r="218">
          <cell r="F218" t="str">
            <v>915</v>
          </cell>
        </row>
        <row r="241">
          <cell r="F241" t="str">
            <v>003</v>
          </cell>
        </row>
        <row r="701">
          <cell r="F701" t="str">
            <v>079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 к поясн."/>
      <sheetName val="Прил.2 к поясн."/>
      <sheetName val="ГАДы"/>
      <sheetName val="заимств."/>
      <sheetName val="Источники"/>
      <sheetName val="функцион."/>
      <sheetName val="ведомствен."/>
    </sheetNames>
    <sheetDataSet>
      <sheetData sheetId="6">
        <row r="12">
          <cell r="G12">
            <v>17663.4</v>
          </cell>
        </row>
        <row r="16">
          <cell r="G16">
            <v>1499.9</v>
          </cell>
        </row>
        <row r="20">
          <cell r="G20">
            <v>15362.8</v>
          </cell>
        </row>
        <row r="24">
          <cell r="G24">
            <v>800.7</v>
          </cell>
        </row>
        <row r="38">
          <cell r="G38">
            <v>4722.900000000001</v>
          </cell>
        </row>
        <row r="42">
          <cell r="G42">
            <v>3958.3000000000006</v>
          </cell>
        </row>
        <row r="44">
          <cell r="G44">
            <v>764.5999999999999</v>
          </cell>
        </row>
        <row r="46">
          <cell r="G46">
            <v>71048.4</v>
          </cell>
        </row>
        <row r="49">
          <cell r="G49">
            <v>32760</v>
          </cell>
        </row>
        <row r="53">
          <cell r="G53">
            <v>37788.4</v>
          </cell>
        </row>
        <row r="59">
          <cell r="G59">
            <v>500</v>
          </cell>
        </row>
        <row r="64">
          <cell r="G64">
            <v>556999.4</v>
          </cell>
        </row>
        <row r="69">
          <cell r="G69">
            <v>18877.4</v>
          </cell>
        </row>
        <row r="76">
          <cell r="G76">
            <v>7647</v>
          </cell>
        </row>
        <row r="130">
          <cell r="G130">
            <v>11457.7</v>
          </cell>
        </row>
        <row r="131">
          <cell r="G131">
            <v>29981.7</v>
          </cell>
        </row>
        <row r="149">
          <cell r="G149">
            <v>12317.4</v>
          </cell>
        </row>
        <row r="150">
          <cell r="G150">
            <v>38000</v>
          </cell>
        </row>
        <row r="154">
          <cell r="G154">
            <v>84224</v>
          </cell>
        </row>
        <row r="155">
          <cell r="G155">
            <v>66532.5</v>
          </cell>
        </row>
        <row r="156">
          <cell r="G156">
            <v>176186.1</v>
          </cell>
        </row>
        <row r="158">
          <cell r="G158">
            <v>2672.3</v>
          </cell>
        </row>
        <row r="160">
          <cell r="G160">
            <v>5800</v>
          </cell>
        </row>
        <row r="161">
          <cell r="G161">
            <v>125</v>
          </cell>
        </row>
        <row r="163">
          <cell r="G163">
            <v>46605.4</v>
          </cell>
        </row>
        <row r="164">
          <cell r="G164">
            <v>36395.4</v>
          </cell>
        </row>
        <row r="175">
          <cell r="G175">
            <v>20177.5</v>
          </cell>
        </row>
        <row r="209">
          <cell r="G209">
            <v>430.1</v>
          </cell>
        </row>
        <row r="212">
          <cell r="G212">
            <v>8375.3</v>
          </cell>
        </row>
        <row r="230">
          <cell r="G230">
            <v>76421.3</v>
          </cell>
        </row>
        <row r="234">
          <cell r="G234">
            <v>65405.3</v>
          </cell>
        </row>
        <row r="235">
          <cell r="G235">
            <v>1318.9</v>
          </cell>
        </row>
        <row r="237">
          <cell r="G237">
            <v>71.1</v>
          </cell>
        </row>
        <row r="239">
          <cell r="G239">
            <v>88.8</v>
          </cell>
        </row>
        <row r="240">
          <cell r="G240">
            <v>85.1</v>
          </cell>
        </row>
        <row r="242">
          <cell r="G242">
            <v>1054.2</v>
          </cell>
        </row>
        <row r="266">
          <cell r="G266">
            <v>1771.9</v>
          </cell>
        </row>
        <row r="276">
          <cell r="G276">
            <v>2906.8</v>
          </cell>
        </row>
        <row r="282">
          <cell r="G282">
            <v>2219.2</v>
          </cell>
        </row>
        <row r="285">
          <cell r="G285">
            <v>1500</v>
          </cell>
        </row>
        <row r="289">
          <cell r="G289">
            <v>26713.899999999998</v>
          </cell>
        </row>
        <row r="293">
          <cell r="G293">
            <v>6188</v>
          </cell>
        </row>
        <row r="297">
          <cell r="G297">
            <v>2261.8</v>
          </cell>
        </row>
        <row r="300">
          <cell r="G300">
            <v>2132.5</v>
          </cell>
        </row>
        <row r="302">
          <cell r="G302">
            <v>4995.2</v>
          </cell>
        </row>
        <row r="305">
          <cell r="G305">
            <v>310.3</v>
          </cell>
        </row>
        <row r="308">
          <cell r="G308">
            <v>9706.1</v>
          </cell>
        </row>
        <row r="311">
          <cell r="G311">
            <v>750</v>
          </cell>
        </row>
        <row r="313">
          <cell r="G313">
            <v>40</v>
          </cell>
        </row>
        <row r="320">
          <cell r="G320">
            <v>330</v>
          </cell>
        </row>
        <row r="321">
          <cell r="G321">
            <v>22093</v>
          </cell>
        </row>
        <row r="325">
          <cell r="G325">
            <v>12140</v>
          </cell>
        </row>
        <row r="341">
          <cell r="G341">
            <v>4843.8</v>
          </cell>
        </row>
        <row r="342">
          <cell r="G342">
            <v>156.19999999999982</v>
          </cell>
        </row>
        <row r="347">
          <cell r="G347">
            <v>1600</v>
          </cell>
        </row>
        <row r="350">
          <cell r="G350">
            <v>824</v>
          </cell>
        </row>
        <row r="351">
          <cell r="G351">
            <v>2529</v>
          </cell>
        </row>
        <row r="352">
          <cell r="G352">
            <v>150891.2</v>
          </cell>
        </row>
        <row r="359">
          <cell r="G359">
            <v>56648.5</v>
          </cell>
        </row>
        <row r="370">
          <cell r="G370">
            <v>23346.8</v>
          </cell>
        </row>
        <row r="373">
          <cell r="G373">
            <v>12944</v>
          </cell>
        </row>
        <row r="401">
          <cell r="G401">
            <v>0</v>
          </cell>
        </row>
        <row r="473">
          <cell r="G473">
            <v>13976</v>
          </cell>
        </row>
        <row r="477">
          <cell r="G477">
            <v>4186</v>
          </cell>
        </row>
        <row r="484">
          <cell r="G484">
            <v>9810</v>
          </cell>
        </row>
        <row r="485">
          <cell r="G485">
            <v>4549</v>
          </cell>
        </row>
        <row r="486">
          <cell r="G486">
            <v>13802.4</v>
          </cell>
        </row>
        <row r="491">
          <cell r="G491">
            <v>4154</v>
          </cell>
        </row>
        <row r="494">
          <cell r="G494">
            <v>5674.5</v>
          </cell>
        </row>
        <row r="499">
          <cell r="G499">
            <v>1800</v>
          </cell>
        </row>
        <row r="500">
          <cell r="G500">
            <v>19990.399999999998</v>
          </cell>
        </row>
        <row r="503">
          <cell r="G503">
            <v>3861.6</v>
          </cell>
        </row>
        <row r="508">
          <cell r="G508">
            <v>9800</v>
          </cell>
        </row>
        <row r="515">
          <cell r="G515">
            <v>0</v>
          </cell>
        </row>
        <row r="516">
          <cell r="G516">
            <v>2128.8</v>
          </cell>
        </row>
        <row r="517">
          <cell r="G517">
            <v>4200</v>
          </cell>
        </row>
        <row r="521">
          <cell r="G521">
            <v>30923.5</v>
          </cell>
        </row>
        <row r="525">
          <cell r="G525">
            <v>14200</v>
          </cell>
        </row>
        <row r="528">
          <cell r="G528">
            <v>5200</v>
          </cell>
        </row>
        <row r="532">
          <cell r="G532">
            <v>5936.1</v>
          </cell>
        </row>
        <row r="556">
          <cell r="G556">
            <v>5587.4</v>
          </cell>
        </row>
        <row r="573">
          <cell r="G573">
            <v>1447</v>
          </cell>
        </row>
        <row r="579">
          <cell r="G579">
            <v>1447</v>
          </cell>
        </row>
        <row r="643">
          <cell r="G643">
            <v>17051.6</v>
          </cell>
        </row>
        <row r="647">
          <cell r="G647">
            <v>13649</v>
          </cell>
        </row>
        <row r="650">
          <cell r="G650">
            <v>3402.6</v>
          </cell>
        </row>
        <row r="652">
          <cell r="G652">
            <v>21745.399999999998</v>
          </cell>
        </row>
        <row r="656">
          <cell r="G656">
            <v>2531.5</v>
          </cell>
        </row>
        <row r="658">
          <cell r="G658">
            <v>15251.1</v>
          </cell>
        </row>
        <row r="666">
          <cell r="G666">
            <v>3962.8</v>
          </cell>
        </row>
        <row r="680">
          <cell r="G680">
            <v>1514.9</v>
          </cell>
        </row>
        <row r="683">
          <cell r="G683">
            <v>61.8</v>
          </cell>
        </row>
        <row r="687">
          <cell r="G687">
            <v>61.8</v>
          </cell>
        </row>
        <row r="688">
          <cell r="G688">
            <v>3972.3</v>
          </cell>
        </row>
        <row r="691">
          <cell r="G691">
            <v>2845</v>
          </cell>
        </row>
        <row r="693">
          <cell r="G693">
            <v>1127.3</v>
          </cell>
        </row>
        <row r="694">
          <cell r="G694">
            <v>45425.299999999996</v>
          </cell>
        </row>
        <row r="700">
          <cell r="G700">
            <v>53.6</v>
          </cell>
        </row>
        <row r="702">
          <cell r="G702">
            <v>45371.7</v>
          </cell>
        </row>
        <row r="713">
          <cell r="G713">
            <v>747261.9999999998</v>
          </cell>
        </row>
        <row r="717">
          <cell r="G717">
            <v>1984.2</v>
          </cell>
        </row>
        <row r="721">
          <cell r="G721">
            <v>80</v>
          </cell>
        </row>
        <row r="726">
          <cell r="G726">
            <v>30882.9</v>
          </cell>
        </row>
        <row r="730">
          <cell r="G730">
            <v>380</v>
          </cell>
        </row>
        <row r="739">
          <cell r="G739">
            <v>1320.2</v>
          </cell>
        </row>
        <row r="741">
          <cell r="G741">
            <v>420.4</v>
          </cell>
        </row>
        <row r="743">
          <cell r="G743">
            <v>1807</v>
          </cell>
        </row>
        <row r="745">
          <cell r="G745">
            <v>9165.8</v>
          </cell>
        </row>
        <row r="747">
          <cell r="G747">
            <v>27724.6</v>
          </cell>
        </row>
        <row r="749">
          <cell r="G749">
            <v>7525.5</v>
          </cell>
        </row>
        <row r="751">
          <cell r="G751">
            <v>90225.2</v>
          </cell>
        </row>
        <row r="753">
          <cell r="G753">
            <v>3883.1</v>
          </cell>
        </row>
        <row r="755">
          <cell r="G755">
            <v>8567.2</v>
          </cell>
        </row>
        <row r="761">
          <cell r="G761">
            <v>32039.8</v>
          </cell>
        </row>
        <row r="763">
          <cell r="G763">
            <v>5789.7</v>
          </cell>
        </row>
        <row r="766">
          <cell r="G766">
            <v>149.7</v>
          </cell>
        </row>
        <row r="768">
          <cell r="G768">
            <v>114301.8</v>
          </cell>
        </row>
        <row r="770">
          <cell r="G770">
            <v>75142.5</v>
          </cell>
        </row>
        <row r="773">
          <cell r="G773">
            <v>52289.9</v>
          </cell>
        </row>
        <row r="777">
          <cell r="G777">
            <v>38649.9</v>
          </cell>
        </row>
        <row r="779">
          <cell r="G779">
            <v>20008.1</v>
          </cell>
        </row>
        <row r="787">
          <cell r="G787">
            <v>143335.2</v>
          </cell>
        </row>
        <row r="789">
          <cell r="G789">
            <v>1761.6</v>
          </cell>
        </row>
        <row r="791">
          <cell r="G791">
            <v>319.8</v>
          </cell>
        </row>
        <row r="795">
          <cell r="G795">
            <v>16825.1</v>
          </cell>
        </row>
        <row r="797">
          <cell r="G797">
            <v>211.9</v>
          </cell>
        </row>
        <row r="800">
          <cell r="G800">
            <v>1744.6</v>
          </cell>
        </row>
        <row r="801">
          <cell r="G801">
            <v>200</v>
          </cell>
        </row>
        <row r="807">
          <cell r="G807">
            <v>3926.3</v>
          </cell>
        </row>
        <row r="815">
          <cell r="G815">
            <v>1245.9</v>
          </cell>
        </row>
        <row r="817">
          <cell r="G817">
            <v>1196.6</v>
          </cell>
        </row>
        <row r="823">
          <cell r="G823">
            <v>24039.6</v>
          </cell>
        </row>
        <row r="827">
          <cell r="G827">
            <v>2223.4</v>
          </cell>
        </row>
        <row r="831">
          <cell r="G831">
            <v>4033.7</v>
          </cell>
        </row>
        <row r="835">
          <cell r="G835">
            <v>16396.8</v>
          </cell>
        </row>
        <row r="837">
          <cell r="G837">
            <v>3464</v>
          </cell>
        </row>
        <row r="840">
          <cell r="G840">
            <v>3000</v>
          </cell>
        </row>
        <row r="843">
          <cell r="G843">
            <v>1000</v>
          </cell>
        </row>
        <row r="845">
          <cell r="G845">
            <v>38777.399999999994</v>
          </cell>
        </row>
        <row r="849">
          <cell r="G849">
            <v>28122.1</v>
          </cell>
        </row>
        <row r="851">
          <cell r="G851">
            <v>7495.8</v>
          </cell>
        </row>
        <row r="856">
          <cell r="G856">
            <v>423.9</v>
          </cell>
        </row>
        <row r="858">
          <cell r="G858">
            <v>2735.6</v>
          </cell>
        </row>
        <row r="859">
          <cell r="G859">
            <v>7920.7</v>
          </cell>
        </row>
        <row r="862">
          <cell r="G862">
            <v>295</v>
          </cell>
        </row>
        <row r="865">
          <cell r="G865">
            <v>177</v>
          </cell>
        </row>
        <row r="874">
          <cell r="G874">
            <v>7448.7</v>
          </cell>
        </row>
        <row r="875">
          <cell r="G875">
            <v>14446.7</v>
          </cell>
        </row>
        <row r="879">
          <cell r="G879">
            <v>0</v>
          </cell>
        </row>
        <row r="886">
          <cell r="G886">
            <v>5221.6</v>
          </cell>
        </row>
        <row r="893">
          <cell r="G893">
            <v>9225.1</v>
          </cell>
        </row>
        <row r="896">
          <cell r="G896">
            <v>0</v>
          </cell>
        </row>
        <row r="897">
          <cell r="G897">
            <v>1005.2</v>
          </cell>
        </row>
        <row r="901">
          <cell r="G901">
            <v>1005.2</v>
          </cell>
        </row>
        <row r="902">
          <cell r="G902">
            <v>23868</v>
          </cell>
        </row>
        <row r="906">
          <cell r="G906">
            <v>1425.6</v>
          </cell>
        </row>
        <row r="908">
          <cell r="G908">
            <v>3471.4</v>
          </cell>
        </row>
        <row r="912">
          <cell r="G912">
            <v>5568.8</v>
          </cell>
        </row>
        <row r="914">
          <cell r="G914">
            <v>1698.2</v>
          </cell>
        </row>
        <row r="918">
          <cell r="G918">
            <v>3650.9</v>
          </cell>
        </row>
        <row r="919">
          <cell r="G919">
            <v>849.1</v>
          </cell>
        </row>
        <row r="927">
          <cell r="G927">
            <v>7204</v>
          </cell>
        </row>
        <row r="952">
          <cell r="G952">
            <v>0</v>
          </cell>
        </row>
        <row r="954">
          <cell r="G954">
            <v>55024.7</v>
          </cell>
        </row>
        <row r="958">
          <cell r="G958">
            <v>317.1</v>
          </cell>
        </row>
        <row r="961">
          <cell r="G961">
            <v>49428.6</v>
          </cell>
        </row>
        <row r="971">
          <cell r="G971">
            <v>1039.4</v>
          </cell>
        </row>
        <row r="973">
          <cell r="G973">
            <v>378.2</v>
          </cell>
        </row>
        <row r="975">
          <cell r="G975">
            <v>425</v>
          </cell>
        </row>
        <row r="977">
          <cell r="G977">
            <v>1963.9</v>
          </cell>
        </row>
        <row r="981">
          <cell r="G981">
            <v>180</v>
          </cell>
        </row>
        <row r="985">
          <cell r="G985">
            <v>320</v>
          </cell>
        </row>
        <row r="988">
          <cell r="G988">
            <v>50</v>
          </cell>
        </row>
        <row r="989">
          <cell r="G989">
            <v>922.5</v>
          </cell>
        </row>
        <row r="992">
          <cell r="G992">
            <v>6345.3</v>
          </cell>
        </row>
        <row r="998">
          <cell r="G998">
            <v>2949.4</v>
          </cell>
        </row>
        <row r="1000">
          <cell r="G1000">
            <v>3395.9</v>
          </cell>
        </row>
        <row r="1009">
          <cell r="G1009">
            <v>55197.40000000001</v>
          </cell>
        </row>
        <row r="1013">
          <cell r="G1013">
            <v>6237.3</v>
          </cell>
        </row>
        <row r="1016">
          <cell r="G1016">
            <v>22727.5</v>
          </cell>
        </row>
        <row r="1018">
          <cell r="G1018">
            <v>2736</v>
          </cell>
        </row>
        <row r="1020">
          <cell r="G1020">
            <v>1815.5</v>
          </cell>
        </row>
        <row r="1022">
          <cell r="G1022">
            <v>15852.5</v>
          </cell>
        </row>
        <row r="1025">
          <cell r="G1025">
            <v>73.3</v>
          </cell>
        </row>
        <row r="1028">
          <cell r="G1028">
            <v>761.8</v>
          </cell>
        </row>
        <row r="1030">
          <cell r="G1030">
            <v>330</v>
          </cell>
        </row>
        <row r="1035">
          <cell r="G1035">
            <v>588.5</v>
          </cell>
        </row>
        <row r="1036">
          <cell r="G1036">
            <v>1225</v>
          </cell>
        </row>
        <row r="1037">
          <cell r="G1037">
            <v>2850</v>
          </cell>
        </row>
        <row r="1043">
          <cell r="G1043">
            <v>1040891.2</v>
          </cell>
        </row>
        <row r="1047">
          <cell r="G1047">
            <v>356841.6</v>
          </cell>
        </row>
        <row r="1049">
          <cell r="G1049">
            <v>410.7</v>
          </cell>
        </row>
        <row r="1052">
          <cell r="G1052">
            <v>23046</v>
          </cell>
        </row>
        <row r="1054">
          <cell r="G1054">
            <v>285</v>
          </cell>
        </row>
        <row r="1056">
          <cell r="G1056">
            <v>2077.5</v>
          </cell>
        </row>
        <row r="1059">
          <cell r="G1059">
            <v>1251.5</v>
          </cell>
        </row>
        <row r="1062">
          <cell r="G1062">
            <v>21103.1</v>
          </cell>
        </row>
        <row r="1065">
          <cell r="G1065">
            <v>11443.3</v>
          </cell>
        </row>
        <row r="1074">
          <cell r="G1074">
            <v>104329.9</v>
          </cell>
        </row>
        <row r="1075">
          <cell r="G1075">
            <v>954.5</v>
          </cell>
        </row>
        <row r="1083">
          <cell r="G1083">
            <v>10266.1</v>
          </cell>
        </row>
        <row r="1085">
          <cell r="G1085">
            <v>256.5</v>
          </cell>
        </row>
        <row r="1086">
          <cell r="G1086">
            <v>929.4</v>
          </cell>
        </row>
        <row r="1090">
          <cell r="G1090">
            <v>498.5</v>
          </cell>
        </row>
        <row r="1093">
          <cell r="G1093">
            <v>349189.2</v>
          </cell>
        </row>
        <row r="1097">
          <cell r="G1097">
            <v>29117.6</v>
          </cell>
        </row>
        <row r="1099">
          <cell r="G1099">
            <v>198.2</v>
          </cell>
        </row>
        <row r="1109">
          <cell r="G1109">
            <v>71.9</v>
          </cell>
        </row>
        <row r="1111">
          <cell r="G1111">
            <v>39.3</v>
          </cell>
        </row>
        <row r="1113">
          <cell r="G1113">
            <v>25797.1</v>
          </cell>
        </row>
        <row r="1116">
          <cell r="G1116">
            <v>10785.6</v>
          </cell>
        </row>
        <row r="1120">
          <cell r="G1120">
            <v>11955.8</v>
          </cell>
        </row>
        <row r="1122">
          <cell r="G1122">
            <v>797.1000000000001</v>
          </cell>
        </row>
        <row r="1133">
          <cell r="G1133">
            <v>0</v>
          </cell>
        </row>
        <row r="1140">
          <cell r="G1140">
            <v>3520</v>
          </cell>
        </row>
        <row r="1141">
          <cell r="G1141">
            <v>6962.4</v>
          </cell>
        </row>
        <row r="1143">
          <cell r="G1143">
            <v>18316</v>
          </cell>
        </row>
        <row r="1156">
          <cell r="G1156">
            <v>3780.3</v>
          </cell>
        </row>
        <row r="1159">
          <cell r="G1159">
            <v>31310.2</v>
          </cell>
        </row>
        <row r="1161">
          <cell r="G1161">
            <v>119.1</v>
          </cell>
        </row>
        <row r="1179">
          <cell r="G1179">
            <v>1046.1</v>
          </cell>
        </row>
        <row r="1181">
          <cell r="G1181">
            <v>31.2</v>
          </cell>
        </row>
        <row r="1183">
          <cell r="G1183">
            <v>28.6</v>
          </cell>
        </row>
        <row r="1187">
          <cell r="G1187">
            <v>22</v>
          </cell>
        </row>
        <row r="1188">
          <cell r="G1188">
            <v>8926.3</v>
          </cell>
        </row>
        <row r="1189">
          <cell r="G1189">
            <v>4033.5</v>
          </cell>
        </row>
        <row r="1191">
          <cell r="G1191">
            <v>1150.1</v>
          </cell>
        </row>
        <row r="1192">
          <cell r="G1192">
            <v>23885.699999999997</v>
          </cell>
        </row>
        <row r="1196">
          <cell r="G1196">
            <v>4409.6</v>
          </cell>
        </row>
        <row r="1201">
          <cell r="G1201">
            <v>19476.1</v>
          </cell>
        </row>
        <row r="1203">
          <cell r="G1203">
            <v>33162.100000000006</v>
          </cell>
        </row>
        <row r="1207">
          <cell r="G1207">
            <v>33033.8</v>
          </cell>
        </row>
        <row r="1209">
          <cell r="G1209">
            <v>28.3</v>
          </cell>
        </row>
        <row r="1219">
          <cell r="G1219">
            <v>100</v>
          </cell>
        </row>
        <row r="1220">
          <cell r="G1220">
            <v>61438.7</v>
          </cell>
        </row>
        <row r="1224">
          <cell r="G1224">
            <v>26167.4</v>
          </cell>
        </row>
        <row r="1226">
          <cell r="G1226">
            <v>383.7</v>
          </cell>
        </row>
        <row r="1230">
          <cell r="G1230">
            <v>3417.4</v>
          </cell>
        </row>
        <row r="1236">
          <cell r="G1236">
            <v>18839.7</v>
          </cell>
        </row>
        <row r="1241">
          <cell r="G1241">
            <v>2284.8</v>
          </cell>
        </row>
        <row r="1252">
          <cell r="G1252">
            <v>5224.7</v>
          </cell>
        </row>
        <row r="1255">
          <cell r="G1255">
            <v>21</v>
          </cell>
        </row>
        <row r="1258">
          <cell r="G1258">
            <v>2000</v>
          </cell>
        </row>
        <row r="1259">
          <cell r="G1259">
            <v>3100</v>
          </cell>
        </row>
        <row r="1269">
          <cell r="G1269">
            <v>424035.5</v>
          </cell>
        </row>
        <row r="1273">
          <cell r="G1273">
            <v>3043</v>
          </cell>
        </row>
        <row r="1276">
          <cell r="G1276">
            <v>71810.7</v>
          </cell>
        </row>
        <row r="1284">
          <cell r="G1284">
            <v>38591.5</v>
          </cell>
        </row>
        <row r="1291">
          <cell r="G1291">
            <v>9397.2</v>
          </cell>
        </row>
        <row r="1295">
          <cell r="G1295">
            <v>2722.2</v>
          </cell>
        </row>
        <row r="1299">
          <cell r="G1299">
            <v>582.2</v>
          </cell>
        </row>
        <row r="1303">
          <cell r="G1303">
            <v>3559.1</v>
          </cell>
        </row>
        <row r="1310">
          <cell r="G1310">
            <v>58506.4</v>
          </cell>
        </row>
        <row r="1314">
          <cell r="G1314">
            <v>8899.7</v>
          </cell>
        </row>
        <row r="1319">
          <cell r="G1319">
            <v>191475</v>
          </cell>
        </row>
        <row r="1322">
          <cell r="G1322">
            <v>11290.2</v>
          </cell>
        </row>
        <row r="1332">
          <cell r="G1332">
            <v>21637.3</v>
          </cell>
        </row>
        <row r="1335">
          <cell r="G1335">
            <v>2200</v>
          </cell>
        </row>
        <row r="1336">
          <cell r="G1336">
            <v>300</v>
          </cell>
        </row>
        <row r="1339">
          <cell r="G133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2"/>
  <sheetViews>
    <sheetView workbookViewId="0" topLeftCell="A1">
      <selection activeCell="F5" sqref="F5:G5"/>
    </sheetView>
  </sheetViews>
  <sheetFormatPr defaultColWidth="9.125" defaultRowHeight="12.75"/>
  <cols>
    <col min="1" max="1" width="60.625" style="1" customWidth="1"/>
    <col min="2" max="2" width="6.125" style="2" customWidth="1"/>
    <col min="3" max="3" width="7.75390625" style="3" customWidth="1"/>
    <col min="4" max="4" width="6.875" style="3" customWidth="1"/>
    <col min="5" max="5" width="12.25390625" style="3" customWidth="1"/>
    <col min="6" max="6" width="8.125" style="3" customWidth="1"/>
    <col min="7" max="7" width="16.625" style="6" customWidth="1"/>
    <col min="8" max="8" width="6.125" style="6" hidden="1" customWidth="1"/>
    <col min="9" max="9" width="11.25390625" style="6" hidden="1" customWidth="1"/>
    <col min="10" max="10" width="13.125" style="65" hidden="1" customWidth="1"/>
    <col min="11" max="11" width="13.00390625" style="3" hidden="1" customWidth="1"/>
    <col min="12" max="12" width="14.75390625" style="3" bestFit="1" customWidth="1"/>
    <col min="13" max="16384" width="9.125" style="3" customWidth="1"/>
  </cols>
  <sheetData>
    <row r="1" spans="6:7" ht="12.75">
      <c r="F1" s="250" t="s">
        <v>475</v>
      </c>
      <c r="G1" s="250"/>
    </row>
    <row r="2" spans="6:7" ht="12.75">
      <c r="F2" s="7" t="s">
        <v>918</v>
      </c>
      <c r="G2" s="5"/>
    </row>
    <row r="3" spans="6:7" ht="12" customHeight="1">
      <c r="F3" s="7" t="s">
        <v>919</v>
      </c>
      <c r="G3" s="5"/>
    </row>
    <row r="4" spans="6:7" ht="12.75" customHeight="1">
      <c r="F4" s="7" t="s">
        <v>920</v>
      </c>
      <c r="G4" s="5"/>
    </row>
    <row r="5" spans="6:9" ht="15.75" customHeight="1">
      <c r="F5" s="244" t="s">
        <v>476</v>
      </c>
      <c r="G5" s="244"/>
      <c r="H5" s="10"/>
      <c r="I5" s="10"/>
    </row>
    <row r="6" spans="2:6" ht="12.75">
      <c r="B6" s="8" t="s">
        <v>849</v>
      </c>
      <c r="F6" s="7"/>
    </row>
    <row r="7" spans="2:6" ht="12.75">
      <c r="B7" s="8" t="s">
        <v>850</v>
      </c>
      <c r="F7" s="115"/>
    </row>
    <row r="8" spans="2:6" ht="12.75">
      <c r="B8" s="8" t="s">
        <v>851</v>
      </c>
      <c r="F8" s="115"/>
    </row>
    <row r="9" ht="12.75">
      <c r="B9" s="116" t="s">
        <v>852</v>
      </c>
    </row>
    <row r="10" spans="2:9" ht="15.75" customHeight="1" thickBot="1">
      <c r="B10" s="11"/>
      <c r="G10" s="10"/>
      <c r="H10" s="10"/>
      <c r="I10" s="10"/>
    </row>
    <row r="11" spans="1:9" ht="15" thickBot="1">
      <c r="A11" s="12" t="s">
        <v>853</v>
      </c>
      <c r="B11" s="117" t="s">
        <v>925</v>
      </c>
      <c r="C11" s="118"/>
      <c r="D11" s="119"/>
      <c r="E11" s="119"/>
      <c r="F11" s="119"/>
      <c r="G11" s="16" t="s">
        <v>926</v>
      </c>
      <c r="H11" s="16" t="s">
        <v>927</v>
      </c>
      <c r="I11" s="16" t="s">
        <v>928</v>
      </c>
    </row>
    <row r="12" spans="1:9" ht="39.75" customHeight="1" thickBot="1">
      <c r="A12" s="120"/>
      <c r="B12" s="121" t="s">
        <v>929</v>
      </c>
      <c r="C12" s="122" t="s">
        <v>930</v>
      </c>
      <c r="D12" s="122" t="s">
        <v>931</v>
      </c>
      <c r="E12" s="122" t="s">
        <v>932</v>
      </c>
      <c r="F12" s="123" t="s">
        <v>933</v>
      </c>
      <c r="G12" s="21" t="s">
        <v>854</v>
      </c>
      <c r="H12" s="21" t="s">
        <v>935</v>
      </c>
      <c r="I12" s="21" t="s">
        <v>936</v>
      </c>
    </row>
    <row r="13" spans="1:11" s="130" customFormat="1" ht="15.75">
      <c r="A13" s="124" t="s">
        <v>939</v>
      </c>
      <c r="B13" s="125"/>
      <c r="C13" s="126" t="s">
        <v>940</v>
      </c>
      <c r="D13" s="126"/>
      <c r="E13" s="126"/>
      <c r="F13" s="127"/>
      <c r="G13" s="128">
        <f>SUM(G14+G18+G51+G69+G72+G90+G94+G86+G80)</f>
        <v>148989.1</v>
      </c>
      <c r="H13" s="128">
        <f>SUM(H14+H18+H51+H69+H72+H90+H94+H86+H80)</f>
        <v>90646.20000000001</v>
      </c>
      <c r="I13" s="128">
        <f>SUM(H13/G13*100)</f>
        <v>60.84082661080576</v>
      </c>
      <c r="J13" s="129"/>
      <c r="K13" s="130">
        <f>SUM('[2]ведомствен.'!G12+'[2]ведомствен.'!G38+'[2]ведомствен.'!G230+'[2]ведомствен.'!G652+'[2]ведомствен.'!G845)+'[2]ведомствен.'!G683</f>
        <v>159392.19999999998</v>
      </c>
    </row>
    <row r="14" spans="1:11" ht="28.5">
      <c r="A14" s="131" t="s">
        <v>941</v>
      </c>
      <c r="B14" s="27"/>
      <c r="C14" s="28" t="s">
        <v>940</v>
      </c>
      <c r="D14" s="28" t="s">
        <v>942</v>
      </c>
      <c r="E14" s="28"/>
      <c r="F14" s="29"/>
      <c r="G14" s="30">
        <f>SUM(G15)</f>
        <v>1264</v>
      </c>
      <c r="H14" s="30">
        <f>SUM(H15)</f>
        <v>983.5</v>
      </c>
      <c r="I14" s="30">
        <f>SUM(H14/G14*100)</f>
        <v>77.80854430379746</v>
      </c>
      <c r="K14" s="65">
        <f>SUM(J14:J122)</f>
        <v>159392.19999999998</v>
      </c>
    </row>
    <row r="15" spans="1:9" ht="41.25" customHeight="1">
      <c r="A15" s="26" t="s">
        <v>943</v>
      </c>
      <c r="B15" s="27"/>
      <c r="C15" s="28" t="s">
        <v>940</v>
      </c>
      <c r="D15" s="28" t="s">
        <v>942</v>
      </c>
      <c r="E15" s="28" t="s">
        <v>944</v>
      </c>
      <c r="F15" s="29"/>
      <c r="G15" s="30">
        <f>SUM(G17:G17)</f>
        <v>1264</v>
      </c>
      <c r="H15" s="30">
        <f>SUM(H17:H17)</f>
        <v>983.5</v>
      </c>
      <c r="I15" s="30">
        <f aca="true" t="shared" si="0" ref="I15:I78">SUM(H15/G15*100)</f>
        <v>77.80854430379746</v>
      </c>
    </row>
    <row r="16" spans="1:9" ht="16.5" customHeight="1">
      <c r="A16" s="26" t="s">
        <v>945</v>
      </c>
      <c r="B16" s="27"/>
      <c r="C16" s="28" t="s">
        <v>940</v>
      </c>
      <c r="D16" s="28" t="s">
        <v>942</v>
      </c>
      <c r="E16" s="28" t="s">
        <v>946</v>
      </c>
      <c r="F16" s="29"/>
      <c r="G16" s="30">
        <f>SUM(G17)</f>
        <v>1264</v>
      </c>
      <c r="H16" s="30">
        <f>SUM(H17)</f>
        <v>983.5</v>
      </c>
      <c r="I16" s="30">
        <f t="shared" si="0"/>
        <v>77.80854430379746</v>
      </c>
    </row>
    <row r="17" spans="1:10" ht="19.5" customHeight="1">
      <c r="A17" s="26" t="s">
        <v>947</v>
      </c>
      <c r="B17" s="27"/>
      <c r="C17" s="28" t="s">
        <v>940</v>
      </c>
      <c r="D17" s="28" t="s">
        <v>942</v>
      </c>
      <c r="E17" s="28" t="s">
        <v>946</v>
      </c>
      <c r="F17" s="29" t="s">
        <v>948</v>
      </c>
      <c r="G17" s="30">
        <f>1499.9-235.9</f>
        <v>1264</v>
      </c>
      <c r="H17" s="30">
        <v>983.5</v>
      </c>
      <c r="I17" s="30">
        <f t="shared" si="0"/>
        <v>77.80854430379746</v>
      </c>
      <c r="J17" s="65">
        <f>SUM('[2]ведомствен.'!G16)</f>
        <v>1499.9</v>
      </c>
    </row>
    <row r="18" spans="1:9" ht="44.25" customHeight="1">
      <c r="A18" s="26" t="s">
        <v>949</v>
      </c>
      <c r="B18" s="27"/>
      <c r="C18" s="28" t="s">
        <v>940</v>
      </c>
      <c r="D18" s="28" t="s">
        <v>950</v>
      </c>
      <c r="E18" s="28"/>
      <c r="F18" s="29"/>
      <c r="G18" s="30">
        <f>SUM(G19)</f>
        <v>15264.9</v>
      </c>
      <c r="H18" s="30">
        <f>SUM(H19)</f>
        <v>8231.8</v>
      </c>
      <c r="I18" s="30">
        <f t="shared" si="0"/>
        <v>53.92632771914654</v>
      </c>
    </row>
    <row r="19" spans="1:9" ht="42.75" customHeight="1">
      <c r="A19" s="26" t="s">
        <v>943</v>
      </c>
      <c r="B19" s="27"/>
      <c r="C19" s="28" t="s">
        <v>940</v>
      </c>
      <c r="D19" s="28" t="s">
        <v>950</v>
      </c>
      <c r="E19" s="28" t="s">
        <v>944</v>
      </c>
      <c r="F19" s="29"/>
      <c r="G19" s="30">
        <f>SUM(G20+G22)</f>
        <v>15264.9</v>
      </c>
      <c r="H19" s="30">
        <f>SUM(H20+H22)</f>
        <v>8231.8</v>
      </c>
      <c r="I19" s="30">
        <f t="shared" si="0"/>
        <v>53.92632771914654</v>
      </c>
    </row>
    <row r="20" spans="1:9" ht="15">
      <c r="A20" s="26" t="s">
        <v>951</v>
      </c>
      <c r="B20" s="27"/>
      <c r="C20" s="28" t="s">
        <v>952</v>
      </c>
      <c r="D20" s="28" t="s">
        <v>950</v>
      </c>
      <c r="E20" s="28" t="s">
        <v>953</v>
      </c>
      <c r="F20" s="29"/>
      <c r="G20" s="30">
        <f>SUM(G21)</f>
        <v>15264.9</v>
      </c>
      <c r="H20" s="30">
        <f>SUM(H21)</f>
        <v>8068.7</v>
      </c>
      <c r="I20" s="30">
        <f t="shared" si="0"/>
        <v>52.857863464549396</v>
      </c>
    </row>
    <row r="21" spans="1:10" ht="18.75" customHeight="1">
      <c r="A21" s="26" t="s">
        <v>947</v>
      </c>
      <c r="B21" s="27"/>
      <c r="C21" s="28" t="s">
        <v>940</v>
      </c>
      <c r="D21" s="28" t="s">
        <v>950</v>
      </c>
      <c r="E21" s="28" t="s">
        <v>953</v>
      </c>
      <c r="F21" s="29" t="s">
        <v>948</v>
      </c>
      <c r="G21" s="30">
        <f>15362.8-97.9</f>
        <v>15264.9</v>
      </c>
      <c r="H21" s="30">
        <v>8068.7</v>
      </c>
      <c r="I21" s="30">
        <f t="shared" si="0"/>
        <v>52.857863464549396</v>
      </c>
      <c r="J21" s="65">
        <f>SUM('[2]ведомствен.'!G20)</f>
        <v>15362.8</v>
      </c>
    </row>
    <row r="22" spans="1:9" ht="28.5" customHeight="1" hidden="1">
      <c r="A22" s="26" t="s">
        <v>954</v>
      </c>
      <c r="B22" s="27"/>
      <c r="C22" s="28" t="s">
        <v>952</v>
      </c>
      <c r="D22" s="28" t="s">
        <v>950</v>
      </c>
      <c r="E22" s="28" t="s">
        <v>955</v>
      </c>
      <c r="F22" s="29"/>
      <c r="G22" s="30">
        <f>SUM(G23)</f>
        <v>0</v>
      </c>
      <c r="H22" s="30">
        <f>SUM(H23)</f>
        <v>163.10000000000002</v>
      </c>
      <c r="I22" s="30" t="e">
        <f t="shared" si="0"/>
        <v>#DIV/0!</v>
      </c>
    </row>
    <row r="23" spans="1:10" ht="21.75" customHeight="1" hidden="1">
      <c r="A23" s="26" t="s">
        <v>947</v>
      </c>
      <c r="B23" s="27"/>
      <c r="C23" s="28" t="s">
        <v>952</v>
      </c>
      <c r="D23" s="28" t="s">
        <v>950</v>
      </c>
      <c r="E23" s="28" t="s">
        <v>955</v>
      </c>
      <c r="F23" s="29" t="s">
        <v>948</v>
      </c>
      <c r="G23" s="30"/>
      <c r="H23" s="30">
        <f>913.5-750.4</f>
        <v>163.10000000000002</v>
      </c>
      <c r="I23" s="30" t="e">
        <f t="shared" si="0"/>
        <v>#DIV/0!</v>
      </c>
      <c r="J23" s="65">
        <f>SUM('[2]ведомствен.'!G22)</f>
        <v>0</v>
      </c>
    </row>
    <row r="24" spans="1:9" ht="15" customHeight="1" hidden="1">
      <c r="A24" s="26" t="s">
        <v>956</v>
      </c>
      <c r="B24" s="27"/>
      <c r="C24" s="28" t="s">
        <v>940</v>
      </c>
      <c r="D24" s="28" t="s">
        <v>855</v>
      </c>
      <c r="E24" s="28"/>
      <c r="F24" s="29"/>
      <c r="G24" s="30">
        <f>SUM(G25)</f>
        <v>0</v>
      </c>
      <c r="H24" s="30">
        <f>SUM(H25)</f>
        <v>0</v>
      </c>
      <c r="I24" s="30" t="e">
        <f t="shared" si="0"/>
        <v>#DIV/0!</v>
      </c>
    </row>
    <row r="25" spans="1:9" ht="28.5" customHeight="1" hidden="1">
      <c r="A25" s="26" t="s">
        <v>958</v>
      </c>
      <c r="B25" s="27"/>
      <c r="C25" s="28" t="s">
        <v>940</v>
      </c>
      <c r="D25" s="28" t="s">
        <v>855</v>
      </c>
      <c r="E25" s="28" t="s">
        <v>959</v>
      </c>
      <c r="F25" s="29"/>
      <c r="G25" s="30">
        <f>SUM(G26)</f>
        <v>0</v>
      </c>
      <c r="H25" s="30">
        <f>SUM(H26)</f>
        <v>0</v>
      </c>
      <c r="I25" s="30" t="e">
        <f t="shared" si="0"/>
        <v>#DIV/0!</v>
      </c>
    </row>
    <row r="26" spans="1:9" ht="15" customHeight="1" hidden="1">
      <c r="A26" s="26" t="s">
        <v>960</v>
      </c>
      <c r="B26" s="27"/>
      <c r="C26" s="28" t="s">
        <v>940</v>
      </c>
      <c r="D26" s="28" t="s">
        <v>855</v>
      </c>
      <c r="E26" s="28" t="s">
        <v>959</v>
      </c>
      <c r="F26" s="29" t="s">
        <v>856</v>
      </c>
      <c r="G26" s="30"/>
      <c r="H26" s="30"/>
      <c r="I26" s="30" t="e">
        <f t="shared" si="0"/>
        <v>#DIV/0!</v>
      </c>
    </row>
    <row r="27" spans="1:9" ht="15" customHeight="1" hidden="1">
      <c r="A27" s="26" t="s">
        <v>962</v>
      </c>
      <c r="B27" s="32"/>
      <c r="C27" s="28" t="s">
        <v>963</v>
      </c>
      <c r="D27" s="28"/>
      <c r="E27" s="28"/>
      <c r="F27" s="29"/>
      <c r="G27" s="30">
        <f aca="true" t="shared" si="1" ref="G27:H29">SUM(G28)</f>
        <v>0</v>
      </c>
      <c r="H27" s="30">
        <f t="shared" si="1"/>
        <v>0</v>
      </c>
      <c r="I27" s="30" t="e">
        <f t="shared" si="0"/>
        <v>#DIV/0!</v>
      </c>
    </row>
    <row r="28" spans="1:9" ht="15" customHeight="1" hidden="1">
      <c r="A28" s="26" t="s">
        <v>964</v>
      </c>
      <c r="B28" s="32"/>
      <c r="C28" s="28" t="s">
        <v>963</v>
      </c>
      <c r="D28" s="28" t="s">
        <v>963</v>
      </c>
      <c r="E28" s="28"/>
      <c r="F28" s="29"/>
      <c r="G28" s="30">
        <f t="shared" si="1"/>
        <v>0</v>
      </c>
      <c r="H28" s="30">
        <f t="shared" si="1"/>
        <v>0</v>
      </c>
      <c r="I28" s="30" t="e">
        <f t="shared" si="0"/>
        <v>#DIV/0!</v>
      </c>
    </row>
    <row r="29" spans="1:9" ht="28.5" customHeight="1" hidden="1">
      <c r="A29" s="26" t="s">
        <v>857</v>
      </c>
      <c r="B29" s="32"/>
      <c r="C29" s="28" t="s">
        <v>963</v>
      </c>
      <c r="D29" s="28" t="s">
        <v>963</v>
      </c>
      <c r="E29" s="28" t="s">
        <v>966</v>
      </c>
      <c r="F29" s="29"/>
      <c r="G29" s="30">
        <f t="shared" si="1"/>
        <v>0</v>
      </c>
      <c r="H29" s="30">
        <f t="shared" si="1"/>
        <v>0</v>
      </c>
      <c r="I29" s="30" t="e">
        <f t="shared" si="0"/>
        <v>#DIV/0!</v>
      </c>
    </row>
    <row r="30" spans="1:9" ht="15" customHeight="1" hidden="1">
      <c r="A30" s="26" t="s">
        <v>858</v>
      </c>
      <c r="B30" s="32"/>
      <c r="C30" s="28" t="s">
        <v>963</v>
      </c>
      <c r="D30" s="28" t="s">
        <v>963</v>
      </c>
      <c r="E30" s="28" t="s">
        <v>966</v>
      </c>
      <c r="F30" s="29" t="s">
        <v>859</v>
      </c>
      <c r="G30" s="30"/>
      <c r="H30" s="30"/>
      <c r="I30" s="30" t="e">
        <f t="shared" si="0"/>
        <v>#DIV/0!</v>
      </c>
    </row>
    <row r="31" spans="1:9" ht="15" customHeight="1" hidden="1">
      <c r="A31" s="132" t="s">
        <v>962</v>
      </c>
      <c r="B31" s="70"/>
      <c r="C31" s="67" t="s">
        <v>963</v>
      </c>
      <c r="D31" s="28"/>
      <c r="E31" s="28"/>
      <c r="F31" s="29"/>
      <c r="G31" s="30">
        <f aca="true" t="shared" si="2" ref="G31:H33">SUM(G32)</f>
        <v>0</v>
      </c>
      <c r="H31" s="30">
        <f t="shared" si="2"/>
        <v>0</v>
      </c>
      <c r="I31" s="30" t="e">
        <f t="shared" si="0"/>
        <v>#DIV/0!</v>
      </c>
    </row>
    <row r="32" spans="1:9" ht="15" customHeight="1" hidden="1">
      <c r="A32" s="26" t="s">
        <v>964</v>
      </c>
      <c r="B32" s="32"/>
      <c r="C32" s="28" t="s">
        <v>963</v>
      </c>
      <c r="D32" s="28" t="s">
        <v>963</v>
      </c>
      <c r="E32" s="28"/>
      <c r="F32" s="29"/>
      <c r="G32" s="30">
        <f t="shared" si="2"/>
        <v>0</v>
      </c>
      <c r="H32" s="30">
        <f t="shared" si="2"/>
        <v>0</v>
      </c>
      <c r="I32" s="30" t="e">
        <f t="shared" si="0"/>
        <v>#DIV/0!</v>
      </c>
    </row>
    <row r="33" spans="1:9" ht="28.5" customHeight="1" hidden="1">
      <c r="A33" s="26" t="s">
        <v>857</v>
      </c>
      <c r="B33" s="32"/>
      <c r="C33" s="28" t="s">
        <v>963</v>
      </c>
      <c r="D33" s="28" t="s">
        <v>963</v>
      </c>
      <c r="E33" s="28" t="s">
        <v>966</v>
      </c>
      <c r="F33" s="29"/>
      <c r="G33" s="30">
        <f t="shared" si="2"/>
        <v>0</v>
      </c>
      <c r="H33" s="30">
        <f t="shared" si="2"/>
        <v>0</v>
      </c>
      <c r="I33" s="30" t="e">
        <f t="shared" si="0"/>
        <v>#DIV/0!</v>
      </c>
    </row>
    <row r="34" spans="1:9" ht="15" customHeight="1" hidden="1">
      <c r="A34" s="26" t="s">
        <v>858</v>
      </c>
      <c r="B34" s="32"/>
      <c r="C34" s="28" t="s">
        <v>963</v>
      </c>
      <c r="D34" s="28" t="s">
        <v>963</v>
      </c>
      <c r="E34" s="28" t="s">
        <v>966</v>
      </c>
      <c r="F34" s="29" t="s">
        <v>859</v>
      </c>
      <c r="G34" s="30"/>
      <c r="H34" s="30"/>
      <c r="I34" s="30" t="e">
        <f t="shared" si="0"/>
        <v>#DIV/0!</v>
      </c>
    </row>
    <row r="35" spans="1:10" s="134" customFormat="1" ht="15" customHeight="1" hidden="1">
      <c r="A35" s="26"/>
      <c r="B35" s="32"/>
      <c r="C35" s="28"/>
      <c r="D35" s="28"/>
      <c r="E35" s="28"/>
      <c r="F35" s="29"/>
      <c r="G35" s="30"/>
      <c r="H35" s="30"/>
      <c r="I35" s="30" t="e">
        <f t="shared" si="0"/>
        <v>#DIV/0!</v>
      </c>
      <c r="J35" s="133"/>
    </row>
    <row r="36" spans="1:9" ht="42.75" customHeight="1" hidden="1">
      <c r="A36" s="26" t="s">
        <v>860</v>
      </c>
      <c r="B36" s="27"/>
      <c r="C36" s="28" t="s">
        <v>940</v>
      </c>
      <c r="D36" s="28" t="s">
        <v>855</v>
      </c>
      <c r="E36" s="28" t="s">
        <v>284</v>
      </c>
      <c r="F36" s="29"/>
      <c r="G36" s="30">
        <f>SUM(G37)</f>
        <v>0</v>
      </c>
      <c r="H36" s="30">
        <f>SUM(H37)</f>
        <v>0</v>
      </c>
      <c r="I36" s="30" t="e">
        <f t="shared" si="0"/>
        <v>#DIV/0!</v>
      </c>
    </row>
    <row r="37" spans="1:9" ht="42.75" customHeight="1" hidden="1">
      <c r="A37" s="26" t="s">
        <v>285</v>
      </c>
      <c r="B37" s="27"/>
      <c r="C37" s="28" t="s">
        <v>940</v>
      </c>
      <c r="D37" s="28" t="s">
        <v>855</v>
      </c>
      <c r="E37" s="28" t="s">
        <v>284</v>
      </c>
      <c r="F37" s="29" t="s">
        <v>861</v>
      </c>
      <c r="G37" s="30"/>
      <c r="H37" s="30"/>
      <c r="I37" s="30" t="e">
        <f t="shared" si="0"/>
        <v>#DIV/0!</v>
      </c>
    </row>
    <row r="38" spans="1:9" ht="14.25" customHeight="1" hidden="1">
      <c r="A38" s="131" t="s">
        <v>4</v>
      </c>
      <c r="B38" s="27"/>
      <c r="C38" s="28" t="s">
        <v>5</v>
      </c>
      <c r="D38" s="28"/>
      <c r="E38" s="28"/>
      <c r="F38" s="29"/>
      <c r="G38" s="30">
        <f>SUM(G42+G39)</f>
        <v>0</v>
      </c>
      <c r="H38" s="30">
        <f>SUM(H42+H39)</f>
        <v>0</v>
      </c>
      <c r="I38" s="30" t="e">
        <f t="shared" si="0"/>
        <v>#DIV/0!</v>
      </c>
    </row>
    <row r="39" spans="1:9" ht="15" customHeight="1" hidden="1">
      <c r="A39" s="131" t="s">
        <v>6</v>
      </c>
      <c r="B39" s="27"/>
      <c r="C39" s="28" t="s">
        <v>5</v>
      </c>
      <c r="D39" s="28" t="s">
        <v>7</v>
      </c>
      <c r="E39" s="28"/>
      <c r="F39" s="29"/>
      <c r="G39" s="30">
        <f>SUM(G40)</f>
        <v>0</v>
      </c>
      <c r="H39" s="30">
        <f>SUM(H40)</f>
        <v>0</v>
      </c>
      <c r="I39" s="30" t="e">
        <f t="shared" si="0"/>
        <v>#DIV/0!</v>
      </c>
    </row>
    <row r="40" spans="1:9" ht="15" customHeight="1" hidden="1">
      <c r="A40" s="131" t="s">
        <v>12</v>
      </c>
      <c r="B40" s="27"/>
      <c r="C40" s="28" t="s">
        <v>5</v>
      </c>
      <c r="D40" s="28" t="s">
        <v>7</v>
      </c>
      <c r="E40" s="28" t="s">
        <v>13</v>
      </c>
      <c r="F40" s="29"/>
      <c r="G40" s="30">
        <f>SUM(G41)</f>
        <v>0</v>
      </c>
      <c r="H40" s="30">
        <f>SUM(H41)</f>
        <v>0</v>
      </c>
      <c r="I40" s="30" t="e">
        <f t="shared" si="0"/>
        <v>#DIV/0!</v>
      </c>
    </row>
    <row r="41" spans="1:9" ht="15" customHeight="1" hidden="1">
      <c r="A41" s="131" t="s">
        <v>325</v>
      </c>
      <c r="B41" s="27"/>
      <c r="C41" s="28" t="s">
        <v>5</v>
      </c>
      <c r="D41" s="28" t="s">
        <v>7</v>
      </c>
      <c r="E41" s="28" t="s">
        <v>13</v>
      </c>
      <c r="F41" s="29" t="s">
        <v>862</v>
      </c>
      <c r="G41" s="30"/>
      <c r="H41" s="30"/>
      <c r="I41" s="30" t="e">
        <f t="shared" si="0"/>
        <v>#DIV/0!</v>
      </c>
    </row>
    <row r="42" spans="1:9" ht="14.25" customHeight="1" hidden="1">
      <c r="A42" s="131" t="s">
        <v>18</v>
      </c>
      <c r="B42" s="27"/>
      <c r="C42" s="28" t="s">
        <v>5</v>
      </c>
      <c r="D42" s="28" t="s">
        <v>432</v>
      </c>
      <c r="E42" s="28"/>
      <c r="F42" s="29"/>
      <c r="G42" s="30">
        <f>SUM(G43+G45)</f>
        <v>0</v>
      </c>
      <c r="H42" s="30">
        <f>SUM(H43+H45)</f>
        <v>0</v>
      </c>
      <c r="I42" s="30" t="e">
        <f t="shared" si="0"/>
        <v>#DIV/0!</v>
      </c>
    </row>
    <row r="43" spans="1:9" ht="28.5" customHeight="1" hidden="1">
      <c r="A43" s="131" t="s">
        <v>328</v>
      </c>
      <c r="B43" s="27"/>
      <c r="C43" s="28" t="s">
        <v>5</v>
      </c>
      <c r="D43" s="28" t="s">
        <v>432</v>
      </c>
      <c r="E43" s="28" t="s">
        <v>329</v>
      </c>
      <c r="F43" s="29"/>
      <c r="G43" s="30">
        <f>SUM(G44)</f>
        <v>0</v>
      </c>
      <c r="H43" s="30">
        <f>SUM(H44)</f>
        <v>0</v>
      </c>
      <c r="I43" s="30" t="e">
        <f t="shared" si="0"/>
        <v>#DIV/0!</v>
      </c>
    </row>
    <row r="44" spans="1:9" ht="15" customHeight="1" hidden="1">
      <c r="A44" s="131" t="s">
        <v>863</v>
      </c>
      <c r="B44" s="27"/>
      <c r="C44" s="28" t="s">
        <v>5</v>
      </c>
      <c r="D44" s="28" t="s">
        <v>432</v>
      </c>
      <c r="E44" s="28" t="s">
        <v>329</v>
      </c>
      <c r="F44" s="29" t="s">
        <v>864</v>
      </c>
      <c r="G44" s="30"/>
      <c r="H44" s="30"/>
      <c r="I44" s="30" t="e">
        <f t="shared" si="0"/>
        <v>#DIV/0!</v>
      </c>
    </row>
    <row r="45" spans="1:9" ht="15" customHeight="1" hidden="1">
      <c r="A45" s="131" t="s">
        <v>865</v>
      </c>
      <c r="B45" s="27"/>
      <c r="C45" s="28" t="s">
        <v>5</v>
      </c>
      <c r="D45" s="28" t="s">
        <v>432</v>
      </c>
      <c r="E45" s="28" t="s">
        <v>52</v>
      </c>
      <c r="F45" s="29"/>
      <c r="G45" s="30">
        <f>SUM(G46)</f>
        <v>0</v>
      </c>
      <c r="H45" s="30">
        <f>SUM(H46)</f>
        <v>0</v>
      </c>
      <c r="I45" s="30" t="e">
        <f t="shared" si="0"/>
        <v>#DIV/0!</v>
      </c>
    </row>
    <row r="46" spans="1:9" ht="15" customHeight="1" hidden="1">
      <c r="A46" s="131" t="s">
        <v>213</v>
      </c>
      <c r="B46" s="27"/>
      <c r="C46" s="28" t="s">
        <v>5</v>
      </c>
      <c r="D46" s="28" t="s">
        <v>432</v>
      </c>
      <c r="E46" s="28" t="s">
        <v>52</v>
      </c>
      <c r="F46" s="29" t="s">
        <v>866</v>
      </c>
      <c r="G46" s="30"/>
      <c r="H46" s="30"/>
      <c r="I46" s="30" t="e">
        <f t="shared" si="0"/>
        <v>#DIV/0!</v>
      </c>
    </row>
    <row r="47" spans="1:9" ht="15" customHeight="1" hidden="1">
      <c r="A47" s="132" t="s">
        <v>962</v>
      </c>
      <c r="B47" s="70"/>
      <c r="C47" s="67" t="s">
        <v>963</v>
      </c>
      <c r="D47" s="28"/>
      <c r="E47" s="28"/>
      <c r="F47" s="29"/>
      <c r="G47" s="30">
        <f aca="true" t="shared" si="3" ref="G47:H49">SUM(G48)</f>
        <v>0</v>
      </c>
      <c r="H47" s="30">
        <f t="shared" si="3"/>
        <v>0</v>
      </c>
      <c r="I47" s="30" t="e">
        <f t="shared" si="0"/>
        <v>#DIV/0!</v>
      </c>
    </row>
    <row r="48" spans="1:9" ht="15" customHeight="1" hidden="1">
      <c r="A48" s="26" t="s">
        <v>964</v>
      </c>
      <c r="B48" s="32"/>
      <c r="C48" s="28" t="s">
        <v>963</v>
      </c>
      <c r="D48" s="28" t="s">
        <v>963</v>
      </c>
      <c r="E48" s="28"/>
      <c r="F48" s="29"/>
      <c r="G48" s="30">
        <f t="shared" si="3"/>
        <v>0</v>
      </c>
      <c r="H48" s="30">
        <f t="shared" si="3"/>
        <v>0</v>
      </c>
      <c r="I48" s="30" t="e">
        <f t="shared" si="0"/>
        <v>#DIV/0!</v>
      </c>
    </row>
    <row r="49" spans="1:9" ht="28.5" customHeight="1" hidden="1">
      <c r="A49" s="26" t="s">
        <v>857</v>
      </c>
      <c r="B49" s="32"/>
      <c r="C49" s="28" t="s">
        <v>963</v>
      </c>
      <c r="D49" s="28" t="s">
        <v>963</v>
      </c>
      <c r="E49" s="28" t="s">
        <v>966</v>
      </c>
      <c r="F49" s="29"/>
      <c r="G49" s="30">
        <f t="shared" si="3"/>
        <v>0</v>
      </c>
      <c r="H49" s="30">
        <f t="shared" si="3"/>
        <v>0</v>
      </c>
      <c r="I49" s="30" t="e">
        <f t="shared" si="0"/>
        <v>#DIV/0!</v>
      </c>
    </row>
    <row r="50" spans="1:9" ht="14.25" customHeight="1" hidden="1">
      <c r="A50" s="26" t="s">
        <v>858</v>
      </c>
      <c r="B50" s="32"/>
      <c r="C50" s="28" t="s">
        <v>963</v>
      </c>
      <c r="D50" s="28" t="s">
        <v>963</v>
      </c>
      <c r="E50" s="28" t="s">
        <v>966</v>
      </c>
      <c r="F50" s="29" t="s">
        <v>859</v>
      </c>
      <c r="G50" s="30"/>
      <c r="H50" s="30"/>
      <c r="I50" s="30" t="e">
        <f t="shared" si="0"/>
        <v>#DIV/0!</v>
      </c>
    </row>
    <row r="51" spans="1:9" ht="44.25" customHeight="1">
      <c r="A51" s="26" t="s">
        <v>250</v>
      </c>
      <c r="B51" s="27"/>
      <c r="C51" s="28" t="s">
        <v>940</v>
      </c>
      <c r="D51" s="28" t="s">
        <v>5</v>
      </c>
      <c r="E51" s="28"/>
      <c r="F51" s="29"/>
      <c r="G51" s="30">
        <f>SUM(G52)+G64+G62</f>
        <v>93100.40000000001</v>
      </c>
      <c r="H51" s="30">
        <f>SUM(H52)+H64+H62</f>
        <v>52319.90000000001</v>
      </c>
      <c r="I51" s="30">
        <f t="shared" si="0"/>
        <v>56.197288088987804</v>
      </c>
    </row>
    <row r="52" spans="1:9" ht="45.75" customHeight="1">
      <c r="A52" s="26" t="s">
        <v>943</v>
      </c>
      <c r="B52" s="27"/>
      <c r="C52" s="28" t="s">
        <v>940</v>
      </c>
      <c r="D52" s="28" t="s">
        <v>5</v>
      </c>
      <c r="E52" s="28" t="s">
        <v>944</v>
      </c>
      <c r="F52" s="29"/>
      <c r="G52" s="30">
        <f>SUM(G53+G60)</f>
        <v>93100.40000000001</v>
      </c>
      <c r="H52" s="30">
        <f>SUM(H53+H60)</f>
        <v>51899.200000000004</v>
      </c>
      <c r="I52" s="30">
        <f t="shared" si="0"/>
        <v>55.745410331212334</v>
      </c>
    </row>
    <row r="53" spans="1:9" ht="15">
      <c r="A53" s="26" t="s">
        <v>951</v>
      </c>
      <c r="B53" s="27"/>
      <c r="C53" s="28" t="s">
        <v>940</v>
      </c>
      <c r="D53" s="28" t="s">
        <v>5</v>
      </c>
      <c r="E53" s="28" t="s">
        <v>953</v>
      </c>
      <c r="F53" s="29"/>
      <c r="G53" s="30">
        <f>SUM(G54:G54+G55+G57+G58)+G56+G59</f>
        <v>92450.90000000001</v>
      </c>
      <c r="H53" s="30">
        <f>SUM(H54:H54+H55+H57+H58)+H56</f>
        <v>51161.8</v>
      </c>
      <c r="I53" s="30">
        <f t="shared" si="0"/>
        <v>55.33942882113641</v>
      </c>
    </row>
    <row r="54" spans="1:10" ht="15">
      <c r="A54" s="26" t="s">
        <v>947</v>
      </c>
      <c r="B54" s="27"/>
      <c r="C54" s="28" t="s">
        <v>940</v>
      </c>
      <c r="D54" s="28" t="s">
        <v>5</v>
      </c>
      <c r="E54" s="28" t="s">
        <v>953</v>
      </c>
      <c r="F54" s="29" t="s">
        <v>948</v>
      </c>
      <c r="G54" s="30">
        <f>93589.2-831.8-750.4+2.1-1122.1</f>
        <v>90887</v>
      </c>
      <c r="H54" s="30">
        <v>50612.1</v>
      </c>
      <c r="I54" s="30">
        <f t="shared" si="0"/>
        <v>55.68684190258233</v>
      </c>
      <c r="J54" s="65">
        <f>SUM('[2]ведомствен.'!G234+'[2]ведомствен.'!G849+'[2]ведомствен.'!G949)+'[2]ведомствен.'!G687</f>
        <v>93589.2</v>
      </c>
    </row>
    <row r="55" spans="1:10" ht="42.75">
      <c r="A55" s="26" t="s">
        <v>251</v>
      </c>
      <c r="B55" s="27"/>
      <c r="C55" s="28" t="s">
        <v>940</v>
      </c>
      <c r="D55" s="28" t="s">
        <v>5</v>
      </c>
      <c r="E55" s="28" t="s">
        <v>252</v>
      </c>
      <c r="F55" s="29" t="s">
        <v>948</v>
      </c>
      <c r="G55" s="30">
        <v>1318.9</v>
      </c>
      <c r="H55" s="30">
        <v>507.8</v>
      </c>
      <c r="I55" s="30">
        <f t="shared" si="0"/>
        <v>38.50178178785351</v>
      </c>
      <c r="J55" s="65">
        <f>SUM('[2]ведомствен.'!G235)</f>
        <v>1318.9</v>
      </c>
    </row>
    <row r="56" spans="1:9" ht="57" customHeight="1" hidden="1">
      <c r="A56" s="26" t="s">
        <v>129</v>
      </c>
      <c r="B56" s="27"/>
      <c r="C56" s="28" t="s">
        <v>940</v>
      </c>
      <c r="D56" s="28" t="s">
        <v>5</v>
      </c>
      <c r="E56" s="28" t="s">
        <v>253</v>
      </c>
      <c r="F56" s="29" t="s">
        <v>948</v>
      </c>
      <c r="G56" s="30"/>
      <c r="H56" s="30"/>
      <c r="I56" s="30" t="e">
        <f t="shared" si="0"/>
        <v>#DIV/0!</v>
      </c>
    </row>
    <row r="57" spans="1:10" ht="56.25" customHeight="1">
      <c r="A57" s="26" t="s">
        <v>254</v>
      </c>
      <c r="B57" s="27"/>
      <c r="C57" s="28" t="s">
        <v>940</v>
      </c>
      <c r="D57" s="28" t="s">
        <v>5</v>
      </c>
      <c r="E57" s="28" t="s">
        <v>255</v>
      </c>
      <c r="F57" s="29" t="s">
        <v>948</v>
      </c>
      <c r="G57" s="30">
        <v>71.1</v>
      </c>
      <c r="H57" s="30">
        <v>41.9</v>
      </c>
      <c r="I57" s="30">
        <f t="shared" si="0"/>
        <v>58.931082981715896</v>
      </c>
      <c r="J57" s="65">
        <f>SUM('[2]ведомствен.'!G237)</f>
        <v>71.1</v>
      </c>
    </row>
    <row r="58" spans="1:10" ht="46.5" customHeight="1">
      <c r="A58" s="26" t="s">
        <v>258</v>
      </c>
      <c r="B58" s="27"/>
      <c r="C58" s="28" t="s">
        <v>940</v>
      </c>
      <c r="D58" s="28" t="s">
        <v>5</v>
      </c>
      <c r="E58" s="28" t="s">
        <v>259</v>
      </c>
      <c r="F58" s="29" t="s">
        <v>948</v>
      </c>
      <c r="G58" s="30">
        <v>88.8</v>
      </c>
      <c r="H58" s="30"/>
      <c r="I58" s="30">
        <f t="shared" si="0"/>
        <v>0</v>
      </c>
      <c r="J58" s="65">
        <f>SUM('[2]ведомствен.'!G239)</f>
        <v>88.8</v>
      </c>
    </row>
    <row r="59" spans="1:10" ht="37.5" customHeight="1">
      <c r="A59" s="26" t="s">
        <v>260</v>
      </c>
      <c r="B59" s="27"/>
      <c r="C59" s="28" t="s">
        <v>940</v>
      </c>
      <c r="D59" s="28" t="s">
        <v>5</v>
      </c>
      <c r="E59" s="28" t="s">
        <v>261</v>
      </c>
      <c r="F59" s="29" t="s">
        <v>948</v>
      </c>
      <c r="G59" s="30">
        <v>85.1</v>
      </c>
      <c r="H59" s="30"/>
      <c r="I59" s="30">
        <f>SUM(H59/G59*100)</f>
        <v>0</v>
      </c>
      <c r="J59" s="3">
        <f>SUM('[2]ведомствен.'!G240)</f>
        <v>85.1</v>
      </c>
    </row>
    <row r="60" spans="1:9" ht="28.5">
      <c r="A60" s="26" t="s">
        <v>262</v>
      </c>
      <c r="B60" s="27"/>
      <c r="C60" s="28" t="s">
        <v>952</v>
      </c>
      <c r="D60" s="28" t="s">
        <v>5</v>
      </c>
      <c r="E60" s="28" t="s">
        <v>263</v>
      </c>
      <c r="F60" s="29"/>
      <c r="G60" s="30">
        <f>SUM(G61)</f>
        <v>649.5</v>
      </c>
      <c r="H60" s="30">
        <f>SUM(H61)</f>
        <v>737.4</v>
      </c>
      <c r="I60" s="30">
        <f t="shared" si="0"/>
        <v>113.53348729792148</v>
      </c>
    </row>
    <row r="61" spans="1:10" ht="15.75" customHeight="1">
      <c r="A61" s="26" t="s">
        <v>947</v>
      </c>
      <c r="B61" s="27"/>
      <c r="C61" s="28" t="s">
        <v>940</v>
      </c>
      <c r="D61" s="28" t="s">
        <v>5</v>
      </c>
      <c r="E61" s="28" t="s">
        <v>263</v>
      </c>
      <c r="F61" s="29" t="s">
        <v>948</v>
      </c>
      <c r="G61" s="30">
        <f>1054.2-404.7</f>
        <v>649.5</v>
      </c>
      <c r="H61" s="30">
        <v>737.4</v>
      </c>
      <c r="I61" s="30">
        <f t="shared" si="0"/>
        <v>113.53348729792148</v>
      </c>
      <c r="J61" s="65">
        <f>SUM('[2]ведомствен.'!G242)</f>
        <v>1054.2</v>
      </c>
    </row>
    <row r="62" spans="1:9" ht="16.5" customHeight="1" hidden="1">
      <c r="A62" s="26" t="s">
        <v>96</v>
      </c>
      <c r="B62" s="27"/>
      <c r="C62" s="28" t="s">
        <v>940</v>
      </c>
      <c r="D62" s="28" t="s">
        <v>5</v>
      </c>
      <c r="E62" s="28" t="s">
        <v>97</v>
      </c>
      <c r="F62" s="29"/>
      <c r="G62" s="30">
        <f>SUM(G63)</f>
        <v>0</v>
      </c>
      <c r="H62" s="30">
        <f>SUM(H63)</f>
        <v>264.8</v>
      </c>
      <c r="I62" s="30" t="e">
        <f t="shared" si="0"/>
        <v>#DIV/0!</v>
      </c>
    </row>
    <row r="63" spans="1:10" ht="16.5" customHeight="1" hidden="1">
      <c r="A63" s="26" t="s">
        <v>947</v>
      </c>
      <c r="B63" s="27"/>
      <c r="C63" s="28" t="s">
        <v>940</v>
      </c>
      <c r="D63" s="28" t="s">
        <v>5</v>
      </c>
      <c r="E63" s="28" t="s">
        <v>97</v>
      </c>
      <c r="F63" s="29" t="s">
        <v>948</v>
      </c>
      <c r="G63" s="30"/>
      <c r="H63" s="30">
        <v>264.8</v>
      </c>
      <c r="I63" s="30" t="e">
        <f t="shared" si="0"/>
        <v>#DIV/0!</v>
      </c>
      <c r="J63" s="65">
        <f>SUM('[2]ведомствен.'!G244)</f>
        <v>0</v>
      </c>
    </row>
    <row r="64" spans="1:9" ht="20.25" customHeight="1" hidden="1">
      <c r="A64" s="131" t="s">
        <v>20</v>
      </c>
      <c r="B64" s="27"/>
      <c r="C64" s="28" t="s">
        <v>940</v>
      </c>
      <c r="D64" s="28" t="s">
        <v>5</v>
      </c>
      <c r="E64" s="28" t="s">
        <v>21</v>
      </c>
      <c r="F64" s="29"/>
      <c r="G64" s="30">
        <f>SUM(G65)</f>
        <v>0</v>
      </c>
      <c r="H64" s="30">
        <f>SUM(H65)</f>
        <v>155.9</v>
      </c>
      <c r="I64" s="30" t="e">
        <f t="shared" si="0"/>
        <v>#DIV/0!</v>
      </c>
    </row>
    <row r="65" spans="1:9" ht="20.25" customHeight="1" hidden="1">
      <c r="A65" s="26" t="s">
        <v>947</v>
      </c>
      <c r="B65" s="27"/>
      <c r="C65" s="28" t="s">
        <v>940</v>
      </c>
      <c r="D65" s="28" t="s">
        <v>5</v>
      </c>
      <c r="E65" s="28" t="s">
        <v>21</v>
      </c>
      <c r="F65" s="29" t="s">
        <v>948</v>
      </c>
      <c r="G65" s="30">
        <f>SUM(G66:G67)</f>
        <v>0</v>
      </c>
      <c r="H65" s="30">
        <f>SUM(H66:H67)</f>
        <v>155.9</v>
      </c>
      <c r="I65" s="30" t="e">
        <f t="shared" si="0"/>
        <v>#DIV/0!</v>
      </c>
    </row>
    <row r="66" spans="1:10" ht="20.25" customHeight="1" hidden="1">
      <c r="A66" s="131" t="s">
        <v>264</v>
      </c>
      <c r="B66" s="27"/>
      <c r="C66" s="28" t="s">
        <v>940</v>
      </c>
      <c r="D66" s="28" t="s">
        <v>5</v>
      </c>
      <c r="E66" s="28" t="s">
        <v>265</v>
      </c>
      <c r="F66" s="29" t="s">
        <v>948</v>
      </c>
      <c r="G66" s="30"/>
      <c r="H66" s="30">
        <v>155.9</v>
      </c>
      <c r="I66" s="30" t="e">
        <f t="shared" si="0"/>
        <v>#DIV/0!</v>
      </c>
      <c r="J66" s="65">
        <f>SUM('[2]ведомствен.'!G247)</f>
        <v>0</v>
      </c>
    </row>
    <row r="67" spans="1:9" ht="20.25" customHeight="1" hidden="1">
      <c r="A67" s="131"/>
      <c r="B67" s="27"/>
      <c r="C67" s="28"/>
      <c r="D67" s="28"/>
      <c r="E67" s="28"/>
      <c r="F67" s="29"/>
      <c r="G67" s="30"/>
      <c r="H67" s="30"/>
      <c r="I67" s="30" t="e">
        <f t="shared" si="0"/>
        <v>#DIV/0!</v>
      </c>
    </row>
    <row r="68" spans="1:9" ht="20.25" customHeight="1" hidden="1">
      <c r="A68" s="131"/>
      <c r="B68" s="27"/>
      <c r="C68" s="28"/>
      <c r="D68" s="28"/>
      <c r="E68" s="28"/>
      <c r="F68" s="29"/>
      <c r="G68" s="30"/>
      <c r="H68" s="30"/>
      <c r="I68" s="30" t="e">
        <f t="shared" si="0"/>
        <v>#DIV/0!</v>
      </c>
    </row>
    <row r="69" spans="1:9" ht="13.5" customHeight="1" hidden="1">
      <c r="A69" s="26" t="s">
        <v>266</v>
      </c>
      <c r="B69" s="27"/>
      <c r="C69" s="28" t="s">
        <v>940</v>
      </c>
      <c r="D69" s="28" t="s">
        <v>31</v>
      </c>
      <c r="E69" s="28"/>
      <c r="F69" s="29"/>
      <c r="G69" s="30">
        <f>SUM(G70)</f>
        <v>0</v>
      </c>
      <c r="H69" s="30">
        <f>SUM(H70)</f>
        <v>0</v>
      </c>
      <c r="I69" s="30" t="e">
        <f t="shared" si="0"/>
        <v>#DIV/0!</v>
      </c>
    </row>
    <row r="70" spans="1:9" ht="22.5" customHeight="1" hidden="1">
      <c r="A70" s="135" t="s">
        <v>267</v>
      </c>
      <c r="B70" s="27"/>
      <c r="C70" s="28" t="s">
        <v>940</v>
      </c>
      <c r="D70" s="28" t="s">
        <v>31</v>
      </c>
      <c r="E70" s="28" t="s">
        <v>268</v>
      </c>
      <c r="F70" s="29"/>
      <c r="G70" s="30">
        <f>SUM(G71)</f>
        <v>0</v>
      </c>
      <c r="H70" s="30">
        <f>SUM(H71)</f>
        <v>0</v>
      </c>
      <c r="I70" s="30" t="e">
        <f t="shared" si="0"/>
        <v>#DIV/0!</v>
      </c>
    </row>
    <row r="71" spans="1:9" ht="30.75" customHeight="1" hidden="1">
      <c r="A71" s="26" t="s">
        <v>947</v>
      </c>
      <c r="B71" s="27"/>
      <c r="C71" s="28" t="s">
        <v>940</v>
      </c>
      <c r="D71" s="28" t="s">
        <v>31</v>
      </c>
      <c r="E71" s="28" t="s">
        <v>268</v>
      </c>
      <c r="F71" s="29" t="s">
        <v>948</v>
      </c>
      <c r="G71" s="30">
        <f>SUM('[1]Ведомств.'!F83)</f>
        <v>0</v>
      </c>
      <c r="H71" s="30">
        <f>SUM('[1]Ведомств.'!G83)</f>
        <v>0</v>
      </c>
      <c r="I71" s="30" t="e">
        <f t="shared" si="0"/>
        <v>#DIV/0!</v>
      </c>
    </row>
    <row r="72" spans="1:9" ht="42.75">
      <c r="A72" s="131" t="s">
        <v>982</v>
      </c>
      <c r="B72" s="27"/>
      <c r="C72" s="28" t="s">
        <v>940</v>
      </c>
      <c r="D72" s="28" t="s">
        <v>983</v>
      </c>
      <c r="E72" s="28"/>
      <c r="F72" s="29"/>
      <c r="G72" s="30">
        <f>SUM(G73)</f>
        <v>22710</v>
      </c>
      <c r="H72" s="30">
        <f>SUM(H73)</f>
        <v>12415.9</v>
      </c>
      <c r="I72" s="30">
        <f t="shared" si="0"/>
        <v>54.67151034786437</v>
      </c>
    </row>
    <row r="73" spans="1:9" ht="46.5" customHeight="1">
      <c r="A73" s="131" t="s">
        <v>943</v>
      </c>
      <c r="B73" s="27"/>
      <c r="C73" s="28" t="s">
        <v>940</v>
      </c>
      <c r="D73" s="28" t="s">
        <v>983</v>
      </c>
      <c r="E73" s="28" t="s">
        <v>944</v>
      </c>
      <c r="F73" s="29"/>
      <c r="G73" s="30">
        <f>SUM(G74+G78)</f>
        <v>22710</v>
      </c>
      <c r="H73" s="30">
        <f>SUM(H74+H78)</f>
        <v>12415.9</v>
      </c>
      <c r="I73" s="30">
        <f t="shared" si="0"/>
        <v>54.67151034786437</v>
      </c>
    </row>
    <row r="74" spans="1:9" ht="15" customHeight="1">
      <c r="A74" s="131" t="s">
        <v>951</v>
      </c>
      <c r="B74" s="27"/>
      <c r="C74" s="28" t="s">
        <v>940</v>
      </c>
      <c r="D74" s="28" t="s">
        <v>983</v>
      </c>
      <c r="E74" s="28" t="s">
        <v>953</v>
      </c>
      <c r="F74" s="29"/>
      <c r="G74" s="30">
        <f>SUM(G75+G76)</f>
        <v>21722.3</v>
      </c>
      <c r="H74" s="30">
        <f>SUM(H75+H76)</f>
        <v>11864.3</v>
      </c>
      <c r="I74" s="30">
        <f t="shared" si="0"/>
        <v>54.61806530616003</v>
      </c>
    </row>
    <row r="75" spans="1:10" ht="14.25" customHeight="1">
      <c r="A75" s="26" t="s">
        <v>947</v>
      </c>
      <c r="B75" s="27"/>
      <c r="C75" s="28" t="s">
        <v>952</v>
      </c>
      <c r="D75" s="28" t="s">
        <v>983</v>
      </c>
      <c r="E75" s="28" t="s">
        <v>953</v>
      </c>
      <c r="F75" s="29" t="s">
        <v>948</v>
      </c>
      <c r="G75" s="30">
        <f>6489.8-47.1+28.4+0.1</f>
        <v>6471.2</v>
      </c>
      <c r="H75" s="30">
        <v>2278</v>
      </c>
      <c r="I75" s="30">
        <f t="shared" si="0"/>
        <v>35.202126344418346</v>
      </c>
      <c r="J75" s="65">
        <f>SUM('[2]ведомствен.'!G42+'[2]ведомствен.'!G656)</f>
        <v>6489.800000000001</v>
      </c>
    </row>
    <row r="76" spans="1:9" ht="28.5">
      <c r="A76" s="26" t="s">
        <v>437</v>
      </c>
      <c r="B76" s="27"/>
      <c r="C76" s="28" t="s">
        <v>952</v>
      </c>
      <c r="D76" s="28" t="s">
        <v>983</v>
      </c>
      <c r="E76" s="28" t="s">
        <v>438</v>
      </c>
      <c r="F76" s="29"/>
      <c r="G76" s="30">
        <f>SUM(G77)</f>
        <v>15251.1</v>
      </c>
      <c r="H76" s="30">
        <f>SUM(H77)</f>
        <v>9586.3</v>
      </c>
      <c r="I76" s="30">
        <f t="shared" si="0"/>
        <v>62.85644969871025</v>
      </c>
    </row>
    <row r="77" spans="1:10" ht="15">
      <c r="A77" s="26" t="s">
        <v>947</v>
      </c>
      <c r="B77" s="27"/>
      <c r="C77" s="28" t="s">
        <v>952</v>
      </c>
      <c r="D77" s="28" t="s">
        <v>983</v>
      </c>
      <c r="E77" s="28" t="s">
        <v>438</v>
      </c>
      <c r="F77" s="29" t="s">
        <v>948</v>
      </c>
      <c r="G77" s="30">
        <v>15251.1</v>
      </c>
      <c r="H77" s="30">
        <v>9586.3</v>
      </c>
      <c r="I77" s="30">
        <f t="shared" si="0"/>
        <v>62.85644969871025</v>
      </c>
      <c r="J77" s="65">
        <f>SUM('[2]ведомствен.'!G658)</f>
        <v>15251.1</v>
      </c>
    </row>
    <row r="78" spans="1:9" ht="28.5">
      <c r="A78" s="131" t="s">
        <v>0</v>
      </c>
      <c r="B78" s="27"/>
      <c r="C78" s="28" t="s">
        <v>952</v>
      </c>
      <c r="D78" s="28" t="s">
        <v>983</v>
      </c>
      <c r="E78" s="28" t="s">
        <v>1</v>
      </c>
      <c r="F78" s="29"/>
      <c r="G78" s="30">
        <f>SUM(G79)</f>
        <v>987.6999999999999</v>
      </c>
      <c r="H78" s="30">
        <f>SUM(H79)</f>
        <v>551.6</v>
      </c>
      <c r="I78" s="30">
        <f t="shared" si="0"/>
        <v>55.846917080085056</v>
      </c>
    </row>
    <row r="79" spans="1:10" ht="14.25" customHeight="1">
      <c r="A79" s="26" t="s">
        <v>947</v>
      </c>
      <c r="B79" s="27"/>
      <c r="C79" s="28" t="s">
        <v>952</v>
      </c>
      <c r="D79" s="28" t="s">
        <v>983</v>
      </c>
      <c r="E79" s="28" t="s">
        <v>1</v>
      </c>
      <c r="F79" s="29" t="s">
        <v>948</v>
      </c>
      <c r="G79" s="30">
        <f>764.6+223.2-0.1</f>
        <v>987.6999999999999</v>
      </c>
      <c r="H79" s="30">
        <v>551.6</v>
      </c>
      <c r="I79" s="30">
        <f aca="true" t="shared" si="4" ref="I79:I142">SUM(H79/G79*100)</f>
        <v>55.846917080085056</v>
      </c>
      <c r="J79" s="65">
        <f>SUM('[2]ведомствен.'!G44)</f>
        <v>764.5999999999999</v>
      </c>
    </row>
    <row r="80" spans="1:9" ht="14.25" customHeight="1" hidden="1">
      <c r="A80" s="26" t="s">
        <v>270</v>
      </c>
      <c r="B80" s="27"/>
      <c r="C80" s="28" t="s">
        <v>940</v>
      </c>
      <c r="D80" s="28" t="s">
        <v>963</v>
      </c>
      <c r="E80" s="28"/>
      <c r="F80" s="29"/>
      <c r="G80" s="30">
        <f>SUM(G81)</f>
        <v>0</v>
      </c>
      <c r="H80" s="30">
        <f>SUM(H81)</f>
        <v>4219.8</v>
      </c>
      <c r="I80" s="30" t="e">
        <f t="shared" si="4"/>
        <v>#DIV/0!</v>
      </c>
    </row>
    <row r="81" spans="1:9" ht="14.25" customHeight="1" hidden="1">
      <c r="A81" s="26" t="s">
        <v>270</v>
      </c>
      <c r="B81" s="27"/>
      <c r="C81" s="28" t="s">
        <v>940</v>
      </c>
      <c r="D81" s="28" t="s">
        <v>963</v>
      </c>
      <c r="E81" s="28" t="s">
        <v>271</v>
      </c>
      <c r="F81" s="29"/>
      <c r="G81" s="30">
        <f>SUM(G82+G84)</f>
        <v>0</v>
      </c>
      <c r="H81" s="30">
        <f>SUM(H82+H84)</f>
        <v>4219.8</v>
      </c>
      <c r="I81" s="30" t="e">
        <f t="shared" si="4"/>
        <v>#DIV/0!</v>
      </c>
    </row>
    <row r="82" spans="1:9" ht="28.5" customHeight="1" hidden="1">
      <c r="A82" s="131" t="s">
        <v>272</v>
      </c>
      <c r="B82" s="27"/>
      <c r="C82" s="28" t="s">
        <v>940</v>
      </c>
      <c r="D82" s="28" t="s">
        <v>963</v>
      </c>
      <c r="E82" s="28" t="s">
        <v>273</v>
      </c>
      <c r="F82" s="29"/>
      <c r="G82" s="30">
        <f>SUM(G83:G83)</f>
        <v>0</v>
      </c>
      <c r="H82" s="30">
        <f>SUM(H83:H83)</f>
        <v>2142.4</v>
      </c>
      <c r="I82" s="30" t="e">
        <f t="shared" si="4"/>
        <v>#DIV/0!</v>
      </c>
    </row>
    <row r="83" spans="1:10" ht="14.25" customHeight="1" hidden="1">
      <c r="A83" s="26" t="s">
        <v>947</v>
      </c>
      <c r="B83" s="27"/>
      <c r="C83" s="28" t="s">
        <v>940</v>
      </c>
      <c r="D83" s="28" t="s">
        <v>963</v>
      </c>
      <c r="E83" s="28" t="s">
        <v>273</v>
      </c>
      <c r="F83" s="29" t="s">
        <v>948</v>
      </c>
      <c r="G83" s="30"/>
      <c r="H83" s="30">
        <v>2142.4</v>
      </c>
      <c r="I83" s="30" t="e">
        <f t="shared" si="4"/>
        <v>#DIV/0!</v>
      </c>
      <c r="J83" s="65">
        <f>SUM('[2]ведомствен.'!G258)</f>
        <v>0</v>
      </c>
    </row>
    <row r="84" spans="1:9" ht="15" hidden="1">
      <c r="A84" s="26" t="s">
        <v>274</v>
      </c>
      <c r="B84" s="27"/>
      <c r="C84" s="28" t="s">
        <v>940</v>
      </c>
      <c r="D84" s="28" t="s">
        <v>963</v>
      </c>
      <c r="E84" s="28" t="s">
        <v>275</v>
      </c>
      <c r="F84" s="29"/>
      <c r="G84" s="30">
        <f>SUM(G85)</f>
        <v>0</v>
      </c>
      <c r="H84" s="30">
        <f>SUM(H85)</f>
        <v>2077.4</v>
      </c>
      <c r="I84" s="30" t="e">
        <f t="shared" si="4"/>
        <v>#DIV/0!</v>
      </c>
    </row>
    <row r="85" spans="1:10" ht="15" hidden="1">
      <c r="A85" s="26" t="s">
        <v>947</v>
      </c>
      <c r="B85" s="27"/>
      <c r="C85" s="28" t="s">
        <v>940</v>
      </c>
      <c r="D85" s="28" t="s">
        <v>963</v>
      </c>
      <c r="E85" s="28" t="s">
        <v>275</v>
      </c>
      <c r="F85" s="29" t="s">
        <v>948</v>
      </c>
      <c r="G85" s="30"/>
      <c r="H85" s="30">
        <v>2077.4</v>
      </c>
      <c r="I85" s="30" t="e">
        <f t="shared" si="4"/>
        <v>#DIV/0!</v>
      </c>
      <c r="J85" s="65">
        <f>SUM('[2]ведомствен.'!G260)</f>
        <v>0</v>
      </c>
    </row>
    <row r="86" spans="1:9" ht="15" hidden="1">
      <c r="A86" s="26" t="s">
        <v>439</v>
      </c>
      <c r="B86" s="27"/>
      <c r="C86" s="28" t="s">
        <v>940</v>
      </c>
      <c r="D86" s="28" t="s">
        <v>432</v>
      </c>
      <c r="E86" s="28"/>
      <c r="F86" s="29"/>
      <c r="G86" s="30">
        <f>SUM(G87)</f>
        <v>0</v>
      </c>
      <c r="H86" s="30">
        <f>SUM(H87)</f>
        <v>5048</v>
      </c>
      <c r="I86" s="30" t="e">
        <f t="shared" si="4"/>
        <v>#DIV/0!</v>
      </c>
    </row>
    <row r="87" spans="1:9" ht="15" hidden="1">
      <c r="A87" s="26" t="s">
        <v>440</v>
      </c>
      <c r="B87" s="27"/>
      <c r="C87" s="28" t="s">
        <v>940</v>
      </c>
      <c r="D87" s="28" t="s">
        <v>432</v>
      </c>
      <c r="E87" s="28" t="s">
        <v>441</v>
      </c>
      <c r="F87" s="29"/>
      <c r="G87" s="30">
        <f>SUM(G89)</f>
        <v>0</v>
      </c>
      <c r="H87" s="30">
        <f>SUM(H89)</f>
        <v>5048</v>
      </c>
      <c r="I87" s="30" t="e">
        <f t="shared" si="4"/>
        <v>#DIV/0!</v>
      </c>
    </row>
    <row r="88" spans="1:9" ht="15" hidden="1">
      <c r="A88" s="26" t="s">
        <v>442</v>
      </c>
      <c r="B88" s="27"/>
      <c r="C88" s="28" t="s">
        <v>940</v>
      </c>
      <c r="D88" s="28" t="s">
        <v>432</v>
      </c>
      <c r="E88" s="28" t="s">
        <v>443</v>
      </c>
      <c r="F88" s="29"/>
      <c r="G88" s="30">
        <f>SUM(G89)</f>
        <v>0</v>
      </c>
      <c r="H88" s="30">
        <f>SUM(H89)</f>
        <v>5048</v>
      </c>
      <c r="I88" s="30" t="e">
        <f t="shared" si="4"/>
        <v>#DIV/0!</v>
      </c>
    </row>
    <row r="89" spans="1:10" ht="15" hidden="1">
      <c r="A89" s="26" t="s">
        <v>306</v>
      </c>
      <c r="B89" s="27"/>
      <c r="C89" s="28" t="s">
        <v>940</v>
      </c>
      <c r="D89" s="28" t="s">
        <v>432</v>
      </c>
      <c r="E89" s="28" t="s">
        <v>443</v>
      </c>
      <c r="F89" s="29" t="s">
        <v>307</v>
      </c>
      <c r="G89" s="30"/>
      <c r="H89" s="30">
        <v>5048</v>
      </c>
      <c r="I89" s="30" t="e">
        <f t="shared" si="4"/>
        <v>#DIV/0!</v>
      </c>
      <c r="J89" s="65">
        <f>SUM('[2]ведомствен.'!G662)</f>
        <v>0</v>
      </c>
    </row>
    <row r="90" spans="1:9" ht="15">
      <c r="A90" s="131" t="s">
        <v>94</v>
      </c>
      <c r="B90" s="27"/>
      <c r="C90" s="28" t="s">
        <v>940</v>
      </c>
      <c r="D90" s="28" t="s">
        <v>432</v>
      </c>
      <c r="E90" s="28"/>
      <c r="F90" s="29"/>
      <c r="G90" s="30">
        <f>SUM(G91)</f>
        <v>2419.4</v>
      </c>
      <c r="H90" s="30">
        <f>SUM(H91)</f>
        <v>0</v>
      </c>
      <c r="I90" s="30">
        <f t="shared" si="4"/>
        <v>0</v>
      </c>
    </row>
    <row r="91" spans="1:9" ht="15">
      <c r="A91" s="131" t="s">
        <v>94</v>
      </c>
      <c r="B91" s="27"/>
      <c r="C91" s="28" t="s">
        <v>940</v>
      </c>
      <c r="D91" s="28" t="s">
        <v>432</v>
      </c>
      <c r="E91" s="28" t="s">
        <v>95</v>
      </c>
      <c r="F91" s="29"/>
      <c r="G91" s="30">
        <f>SUM(G93)</f>
        <v>2419.4</v>
      </c>
      <c r="H91" s="30">
        <f>SUM(H93)</f>
        <v>0</v>
      </c>
      <c r="I91" s="30">
        <f t="shared" si="4"/>
        <v>0</v>
      </c>
    </row>
    <row r="92" spans="1:9" ht="15">
      <c r="A92" s="131" t="s">
        <v>96</v>
      </c>
      <c r="B92" s="27"/>
      <c r="C92" s="28" t="s">
        <v>940</v>
      </c>
      <c r="D92" s="28" t="s">
        <v>432</v>
      </c>
      <c r="E92" s="28" t="s">
        <v>97</v>
      </c>
      <c r="F92" s="29"/>
      <c r="G92" s="30">
        <f>SUM(G93)</f>
        <v>2419.4</v>
      </c>
      <c r="H92" s="30">
        <f>SUM(H93)</f>
        <v>0</v>
      </c>
      <c r="I92" s="30">
        <f t="shared" si="4"/>
        <v>0</v>
      </c>
    </row>
    <row r="93" spans="1:10" ht="15.75" customHeight="1">
      <c r="A93" s="131" t="s">
        <v>444</v>
      </c>
      <c r="B93" s="27"/>
      <c r="C93" s="28" t="s">
        <v>940</v>
      </c>
      <c r="D93" s="28" t="s">
        <v>432</v>
      </c>
      <c r="E93" s="28" t="s">
        <v>97</v>
      </c>
      <c r="F93" s="29" t="s">
        <v>307</v>
      </c>
      <c r="G93" s="30">
        <f>3962.8-3039.1+13.4+1482.3</f>
        <v>2419.4</v>
      </c>
      <c r="H93" s="30"/>
      <c r="I93" s="30">
        <f t="shared" si="4"/>
        <v>0</v>
      </c>
      <c r="J93" s="65">
        <f>SUM('[2]ведомствен.'!G666)</f>
        <v>3962.8</v>
      </c>
    </row>
    <row r="94" spans="1:9" ht="14.25" customHeight="1">
      <c r="A94" s="26" t="s">
        <v>956</v>
      </c>
      <c r="B94" s="27"/>
      <c r="C94" s="28" t="s">
        <v>940</v>
      </c>
      <c r="D94" s="28" t="s">
        <v>957</v>
      </c>
      <c r="E94" s="28"/>
      <c r="F94" s="29"/>
      <c r="G94" s="30">
        <f>SUM(G95+G108+G111+G117+G120+G100+G105)</f>
        <v>14230.4</v>
      </c>
      <c r="H94" s="30">
        <f>SUM(H95+H108+H111+H114+H117+H120+H100+H105)</f>
        <v>7427.299999999999</v>
      </c>
      <c r="I94" s="30">
        <f t="shared" si="4"/>
        <v>52.19319203957724</v>
      </c>
    </row>
    <row r="95" spans="1:9" ht="21" customHeight="1">
      <c r="A95" s="131" t="s">
        <v>276</v>
      </c>
      <c r="B95" s="27"/>
      <c r="C95" s="28" t="s">
        <v>940</v>
      </c>
      <c r="D95" s="28" t="s">
        <v>957</v>
      </c>
      <c r="E95" s="28" t="s">
        <v>277</v>
      </c>
      <c r="F95" s="29"/>
      <c r="G95" s="30">
        <f>SUM(G96+G98)</f>
        <v>1771.9</v>
      </c>
      <c r="H95" s="30">
        <f>SUM(H96+H98)</f>
        <v>2749.5</v>
      </c>
      <c r="I95" s="30">
        <f t="shared" si="4"/>
        <v>155.17241379310346</v>
      </c>
    </row>
    <row r="96" spans="1:9" ht="27.75" customHeight="1" hidden="1">
      <c r="A96" s="131" t="s">
        <v>278</v>
      </c>
      <c r="B96" s="27"/>
      <c r="C96" s="28" t="s">
        <v>940</v>
      </c>
      <c r="D96" s="28" t="s">
        <v>957</v>
      </c>
      <c r="E96" s="28" t="s">
        <v>279</v>
      </c>
      <c r="F96" s="29"/>
      <c r="G96" s="30">
        <f>SUM(G97)</f>
        <v>0</v>
      </c>
      <c r="H96" s="30">
        <f>SUM(H97)</f>
        <v>2749.5</v>
      </c>
      <c r="I96" s="30" t="e">
        <f t="shared" si="4"/>
        <v>#DIV/0!</v>
      </c>
    </row>
    <row r="97" spans="1:10" ht="18.75" customHeight="1" hidden="1">
      <c r="A97" s="26" t="s">
        <v>947</v>
      </c>
      <c r="B97" s="27"/>
      <c r="C97" s="28" t="s">
        <v>940</v>
      </c>
      <c r="D97" s="28" t="s">
        <v>957</v>
      </c>
      <c r="E97" s="28" t="s">
        <v>279</v>
      </c>
      <c r="F97" s="29" t="s">
        <v>948</v>
      </c>
      <c r="G97" s="30"/>
      <c r="H97" s="30">
        <v>2749.5</v>
      </c>
      <c r="I97" s="30" t="e">
        <f t="shared" si="4"/>
        <v>#DIV/0!</v>
      </c>
      <c r="J97" s="65">
        <f>SUM('[2]ведомствен.'!G264)</f>
        <v>0</v>
      </c>
    </row>
    <row r="98" spans="1:9" ht="27" customHeight="1">
      <c r="A98" s="26" t="s">
        <v>280</v>
      </c>
      <c r="B98" s="27"/>
      <c r="C98" s="28" t="s">
        <v>940</v>
      </c>
      <c r="D98" s="28" t="s">
        <v>957</v>
      </c>
      <c r="E98" s="28" t="s">
        <v>281</v>
      </c>
      <c r="F98" s="29"/>
      <c r="G98" s="30">
        <f>SUM(G99)</f>
        <v>1771.9</v>
      </c>
      <c r="H98" s="30">
        <f>SUM(H99)</f>
        <v>0</v>
      </c>
      <c r="I98" s="30">
        <f t="shared" si="4"/>
        <v>0</v>
      </c>
    </row>
    <row r="99" spans="1:10" ht="18.75" customHeight="1">
      <c r="A99" s="26" t="s">
        <v>947</v>
      </c>
      <c r="B99" s="27"/>
      <c r="C99" s="28" t="s">
        <v>940</v>
      </c>
      <c r="D99" s="28" t="s">
        <v>957</v>
      </c>
      <c r="E99" s="28" t="s">
        <v>281</v>
      </c>
      <c r="F99" s="29" t="s">
        <v>948</v>
      </c>
      <c r="G99" s="30">
        <v>1771.9</v>
      </c>
      <c r="H99" s="30"/>
      <c r="I99" s="30">
        <f t="shared" si="4"/>
        <v>0</v>
      </c>
      <c r="J99" s="65">
        <f>SUM('[2]ведомствен.'!G266)</f>
        <v>1771.9</v>
      </c>
    </row>
    <row r="100" spans="1:9" ht="44.25" customHeight="1" hidden="1">
      <c r="A100" s="131" t="s">
        <v>943</v>
      </c>
      <c r="B100" s="27"/>
      <c r="C100" s="28" t="s">
        <v>940</v>
      </c>
      <c r="D100" s="28" t="s">
        <v>957</v>
      </c>
      <c r="E100" s="28" t="s">
        <v>944</v>
      </c>
      <c r="F100" s="29"/>
      <c r="G100" s="30">
        <f>SUM(G103+G102)</f>
        <v>0</v>
      </c>
      <c r="H100" s="30">
        <f>SUM(H103+H102)</f>
        <v>836.4</v>
      </c>
      <c r="I100" s="30" t="e">
        <f t="shared" si="4"/>
        <v>#DIV/0!</v>
      </c>
    </row>
    <row r="101" spans="1:9" ht="18.75" customHeight="1" hidden="1">
      <c r="A101" s="131" t="s">
        <v>951</v>
      </c>
      <c r="B101" s="27"/>
      <c r="C101" s="28" t="s">
        <v>940</v>
      </c>
      <c r="D101" s="28" t="s">
        <v>957</v>
      </c>
      <c r="E101" s="28" t="s">
        <v>953</v>
      </c>
      <c r="F101" s="29"/>
      <c r="G101" s="30">
        <f>SUM(G102)</f>
        <v>0</v>
      </c>
      <c r="H101" s="30">
        <f>SUM(H102)</f>
        <v>0</v>
      </c>
      <c r="I101" s="30" t="e">
        <f t="shared" si="4"/>
        <v>#DIV/0!</v>
      </c>
    </row>
    <row r="102" spans="1:9" ht="22.5" customHeight="1" hidden="1">
      <c r="A102" s="26" t="s">
        <v>947</v>
      </c>
      <c r="B102" s="27"/>
      <c r="C102" s="28" t="s">
        <v>940</v>
      </c>
      <c r="D102" s="28" t="s">
        <v>957</v>
      </c>
      <c r="E102" s="28" t="s">
        <v>953</v>
      </c>
      <c r="F102" s="29" t="s">
        <v>948</v>
      </c>
      <c r="G102" s="30"/>
      <c r="H102" s="30"/>
      <c r="I102" s="30" t="e">
        <f t="shared" si="4"/>
        <v>#DIV/0!</v>
      </c>
    </row>
    <row r="103" spans="1:9" ht="18" customHeight="1" hidden="1">
      <c r="A103" s="26" t="s">
        <v>234</v>
      </c>
      <c r="B103" s="27"/>
      <c r="C103" s="28" t="s">
        <v>940</v>
      </c>
      <c r="D103" s="28" t="s">
        <v>957</v>
      </c>
      <c r="E103" s="28" t="s">
        <v>282</v>
      </c>
      <c r="F103" s="29"/>
      <c r="G103" s="30">
        <f>SUM(G104)</f>
        <v>0</v>
      </c>
      <c r="H103" s="30">
        <f>SUM(H104)</f>
        <v>836.4</v>
      </c>
      <c r="I103" s="30" t="e">
        <f t="shared" si="4"/>
        <v>#DIV/0!</v>
      </c>
    </row>
    <row r="104" spans="1:10" ht="17.25" customHeight="1" hidden="1">
      <c r="A104" s="26" t="s">
        <v>969</v>
      </c>
      <c r="B104" s="27"/>
      <c r="C104" s="28" t="s">
        <v>940</v>
      </c>
      <c r="D104" s="28" t="s">
        <v>957</v>
      </c>
      <c r="E104" s="28" t="s">
        <v>282</v>
      </c>
      <c r="F104" s="29" t="s">
        <v>970</v>
      </c>
      <c r="G104" s="30"/>
      <c r="H104" s="30">
        <v>836.4</v>
      </c>
      <c r="I104" s="30" t="e">
        <f t="shared" si="4"/>
        <v>#DIV/0!</v>
      </c>
      <c r="J104" s="65">
        <f>SUM('[2]ведомствен.'!G269)</f>
        <v>0</v>
      </c>
    </row>
    <row r="105" spans="1:9" ht="21.75" customHeight="1" hidden="1">
      <c r="A105" s="131" t="s">
        <v>94</v>
      </c>
      <c r="B105" s="27"/>
      <c r="C105" s="28" t="s">
        <v>940</v>
      </c>
      <c r="D105" s="28" t="s">
        <v>957</v>
      </c>
      <c r="E105" s="28" t="s">
        <v>95</v>
      </c>
      <c r="F105" s="29"/>
      <c r="G105" s="30">
        <f>SUM(G107)</f>
        <v>0</v>
      </c>
      <c r="H105" s="30">
        <f>SUM(H107)</f>
        <v>536.9</v>
      </c>
      <c r="I105" s="30" t="e">
        <f t="shared" si="4"/>
        <v>#DIV/0!</v>
      </c>
    </row>
    <row r="106" spans="1:9" ht="22.5" customHeight="1" hidden="1">
      <c r="A106" s="131" t="s">
        <v>96</v>
      </c>
      <c r="B106" s="27"/>
      <c r="C106" s="28" t="s">
        <v>940</v>
      </c>
      <c r="D106" s="28" t="s">
        <v>957</v>
      </c>
      <c r="E106" s="28" t="s">
        <v>97</v>
      </c>
      <c r="F106" s="29"/>
      <c r="G106" s="30">
        <f>SUM(G107)</f>
        <v>0</v>
      </c>
      <c r="H106" s="30">
        <f>SUM(H107)</f>
        <v>536.9</v>
      </c>
      <c r="I106" s="30" t="e">
        <f t="shared" si="4"/>
        <v>#DIV/0!</v>
      </c>
    </row>
    <row r="107" spans="1:10" ht="25.5" customHeight="1" hidden="1">
      <c r="A107" s="26" t="s">
        <v>947</v>
      </c>
      <c r="B107" s="27"/>
      <c r="C107" s="28" t="s">
        <v>940</v>
      </c>
      <c r="D107" s="28" t="s">
        <v>957</v>
      </c>
      <c r="E107" s="28" t="s">
        <v>97</v>
      </c>
      <c r="F107" s="29" t="s">
        <v>948</v>
      </c>
      <c r="G107" s="30"/>
      <c r="H107" s="30">
        <f>423.2+113.7</f>
        <v>536.9</v>
      </c>
      <c r="I107" s="30" t="e">
        <f t="shared" si="4"/>
        <v>#DIV/0!</v>
      </c>
      <c r="J107" s="65">
        <f>SUM('[2]ведомствен.'!G272)</f>
        <v>0</v>
      </c>
    </row>
    <row r="108" spans="1:9" ht="42.75">
      <c r="A108" s="135" t="s">
        <v>283</v>
      </c>
      <c r="B108" s="27"/>
      <c r="C108" s="28" t="s">
        <v>940</v>
      </c>
      <c r="D108" s="28" t="s">
        <v>957</v>
      </c>
      <c r="E108" s="28" t="s">
        <v>284</v>
      </c>
      <c r="F108" s="29"/>
      <c r="G108" s="30">
        <f>SUM(G109)</f>
        <v>4265.000000000001</v>
      </c>
      <c r="H108" s="30">
        <f>SUM(H109)</f>
        <v>917.7</v>
      </c>
      <c r="I108" s="30">
        <f t="shared" si="4"/>
        <v>21.516998827667052</v>
      </c>
    </row>
    <row r="109" spans="1:9" ht="42.75">
      <c r="A109" s="135" t="s">
        <v>285</v>
      </c>
      <c r="B109" s="27"/>
      <c r="C109" s="28" t="s">
        <v>940</v>
      </c>
      <c r="D109" s="28" t="s">
        <v>957</v>
      </c>
      <c r="E109" s="28" t="s">
        <v>286</v>
      </c>
      <c r="F109" s="29"/>
      <c r="G109" s="30">
        <f>SUM(G110)</f>
        <v>4265.000000000001</v>
      </c>
      <c r="H109" s="30">
        <f>SUM(H110)</f>
        <v>917.7</v>
      </c>
      <c r="I109" s="30">
        <f t="shared" si="4"/>
        <v>21.516998827667052</v>
      </c>
    </row>
    <row r="110" spans="1:10" ht="15">
      <c r="A110" s="26" t="s">
        <v>947</v>
      </c>
      <c r="B110" s="27"/>
      <c r="C110" s="28" t="s">
        <v>940</v>
      </c>
      <c r="D110" s="28" t="s">
        <v>957</v>
      </c>
      <c r="E110" s="28" t="s">
        <v>286</v>
      </c>
      <c r="F110" s="29" t="s">
        <v>948</v>
      </c>
      <c r="G110" s="30">
        <f>7495.8-2223.5-975.4-31.9</f>
        <v>4265.000000000001</v>
      </c>
      <c r="H110" s="30">
        <v>917.7</v>
      </c>
      <c r="I110" s="30">
        <f t="shared" si="4"/>
        <v>21.516998827667052</v>
      </c>
      <c r="J110" s="65">
        <f>SUM('[2]ведомствен.'!G275)+'[2]ведомствен.'!G851</f>
        <v>7495.8</v>
      </c>
    </row>
    <row r="111" spans="1:9" ht="28.5">
      <c r="A111" s="26" t="s">
        <v>958</v>
      </c>
      <c r="B111" s="27"/>
      <c r="C111" s="28" t="s">
        <v>940</v>
      </c>
      <c r="D111" s="28" t="s">
        <v>957</v>
      </c>
      <c r="E111" s="28" t="s">
        <v>959</v>
      </c>
      <c r="F111" s="29"/>
      <c r="G111" s="30">
        <f>SUM(G112)+G115</f>
        <v>4487.699999999999</v>
      </c>
      <c r="H111" s="30">
        <f>SUM(H112)</f>
        <v>1069.4</v>
      </c>
      <c r="I111" s="30">
        <f t="shared" si="4"/>
        <v>23.829578626022247</v>
      </c>
    </row>
    <row r="112" spans="1:9" ht="15">
      <c r="A112" s="26" t="s">
        <v>960</v>
      </c>
      <c r="B112" s="27"/>
      <c r="C112" s="28" t="s">
        <v>940</v>
      </c>
      <c r="D112" s="28" t="s">
        <v>957</v>
      </c>
      <c r="E112" s="28" t="s">
        <v>961</v>
      </c>
      <c r="F112" s="29"/>
      <c r="G112" s="30">
        <f>SUM(G113)</f>
        <v>3987.799999999999</v>
      </c>
      <c r="H112" s="30">
        <f>SUM(H113)</f>
        <v>1069.4</v>
      </c>
      <c r="I112" s="30">
        <f t="shared" si="4"/>
        <v>26.81679121320027</v>
      </c>
    </row>
    <row r="113" spans="1:10" ht="15.75" customHeight="1">
      <c r="A113" s="26" t="s">
        <v>947</v>
      </c>
      <c r="B113" s="27"/>
      <c r="C113" s="28" t="s">
        <v>940</v>
      </c>
      <c r="D113" s="28" t="s">
        <v>957</v>
      </c>
      <c r="E113" s="28" t="s">
        <v>961</v>
      </c>
      <c r="F113" s="29" t="s">
        <v>948</v>
      </c>
      <c r="G113" s="30">
        <f>4131.4+117.4-267.4+8.2+0.1-1.9</f>
        <v>3987.799999999999</v>
      </c>
      <c r="H113" s="30">
        <v>1069.4</v>
      </c>
      <c r="I113" s="30">
        <f t="shared" si="4"/>
        <v>26.81679121320027</v>
      </c>
      <c r="J113" s="65">
        <f>SUM('[2]ведомствен.'!G24+'[2]ведомствен.'!G276+'[2]ведомствен.'!G952+'[2]ведомствен.'!G856)</f>
        <v>4131.4</v>
      </c>
    </row>
    <row r="114" spans="1:10" ht="27" customHeight="1">
      <c r="A114" s="26" t="s">
        <v>577</v>
      </c>
      <c r="B114" s="27"/>
      <c r="C114" s="28" t="s">
        <v>940</v>
      </c>
      <c r="D114" s="28" t="s">
        <v>957</v>
      </c>
      <c r="E114" s="28" t="s">
        <v>578</v>
      </c>
      <c r="F114" s="29"/>
      <c r="G114" s="30">
        <f>SUM(G115)</f>
        <v>499.9</v>
      </c>
      <c r="H114" s="30"/>
      <c r="I114" s="30"/>
      <c r="J114" s="3"/>
    </row>
    <row r="115" spans="1:10" ht="28.5" customHeight="1">
      <c r="A115" s="26" t="s">
        <v>947</v>
      </c>
      <c r="B115" s="27"/>
      <c r="C115" s="28" t="s">
        <v>940</v>
      </c>
      <c r="D115" s="28" t="s">
        <v>957</v>
      </c>
      <c r="E115" s="28" t="s">
        <v>578</v>
      </c>
      <c r="F115" s="29" t="s">
        <v>948</v>
      </c>
      <c r="G115" s="30">
        <f>2735.6-2235.6-0.1</f>
        <v>499.9</v>
      </c>
      <c r="H115" s="30"/>
      <c r="I115" s="30"/>
      <c r="J115" s="3">
        <f>SUM('[2]ведомствен.'!G858)</f>
        <v>2735.6</v>
      </c>
    </row>
    <row r="116" spans="1:9" ht="18" customHeight="1" hidden="1">
      <c r="A116" s="131" t="s">
        <v>41</v>
      </c>
      <c r="B116" s="27"/>
      <c r="C116" s="28" t="s">
        <v>940</v>
      </c>
      <c r="D116" s="28" t="s">
        <v>957</v>
      </c>
      <c r="E116" s="28" t="s">
        <v>54</v>
      </c>
      <c r="F116" s="29" t="s">
        <v>42</v>
      </c>
      <c r="G116" s="30"/>
      <c r="H116" s="30"/>
      <c r="I116" s="30" t="e">
        <f t="shared" si="4"/>
        <v>#DIV/0!</v>
      </c>
    </row>
    <row r="117" spans="1:9" ht="31.5" customHeight="1">
      <c r="A117" s="131" t="s">
        <v>287</v>
      </c>
      <c r="B117" s="27"/>
      <c r="C117" s="28" t="s">
        <v>940</v>
      </c>
      <c r="D117" s="28" t="s">
        <v>957</v>
      </c>
      <c r="E117" s="28" t="s">
        <v>288</v>
      </c>
      <c r="F117" s="29"/>
      <c r="G117" s="30">
        <f>SUM(G118)</f>
        <v>2205.7999999999997</v>
      </c>
      <c r="H117" s="30">
        <f>SUM(H118)</f>
        <v>1317.4</v>
      </c>
      <c r="I117" s="30">
        <f t="shared" si="4"/>
        <v>59.72436304288694</v>
      </c>
    </row>
    <row r="118" spans="1:9" ht="18" customHeight="1">
      <c r="A118" s="26" t="s">
        <v>234</v>
      </c>
      <c r="B118" s="27"/>
      <c r="C118" s="28" t="s">
        <v>940</v>
      </c>
      <c r="D118" s="28" t="s">
        <v>957</v>
      </c>
      <c r="E118" s="28" t="s">
        <v>289</v>
      </c>
      <c r="F118" s="29"/>
      <c r="G118" s="30">
        <f>SUM(G119)</f>
        <v>2205.7999999999997</v>
      </c>
      <c r="H118" s="30">
        <f>SUM(H119)</f>
        <v>1317.4</v>
      </c>
      <c r="I118" s="30">
        <f t="shared" si="4"/>
        <v>59.72436304288694</v>
      </c>
    </row>
    <row r="119" spans="1:10" ht="17.25" customHeight="1">
      <c r="A119" s="26" t="s">
        <v>969</v>
      </c>
      <c r="B119" s="27"/>
      <c r="C119" s="28" t="s">
        <v>940</v>
      </c>
      <c r="D119" s="28" t="s">
        <v>957</v>
      </c>
      <c r="E119" s="28" t="s">
        <v>289</v>
      </c>
      <c r="F119" s="29" t="s">
        <v>970</v>
      </c>
      <c r="G119" s="30">
        <f>2219.2-13.4</f>
        <v>2205.7999999999997</v>
      </c>
      <c r="H119" s="30">
        <v>1317.4</v>
      </c>
      <c r="I119" s="30">
        <f t="shared" si="4"/>
        <v>59.72436304288694</v>
      </c>
      <c r="J119" s="65">
        <f>SUM('[2]ведомствен.'!G282)</f>
        <v>2219.2</v>
      </c>
    </row>
    <row r="120" spans="1:9" ht="16.5" customHeight="1">
      <c r="A120" s="131" t="s">
        <v>20</v>
      </c>
      <c r="B120" s="27"/>
      <c r="C120" s="28" t="s">
        <v>940</v>
      </c>
      <c r="D120" s="28" t="s">
        <v>957</v>
      </c>
      <c r="E120" s="28" t="s">
        <v>21</v>
      </c>
      <c r="F120" s="29"/>
      <c r="G120" s="30">
        <f>SUM(G121)</f>
        <v>1500</v>
      </c>
      <c r="H120" s="30">
        <f>SUM(H121)</f>
        <v>0</v>
      </c>
      <c r="I120" s="30">
        <f t="shared" si="4"/>
        <v>0</v>
      </c>
    </row>
    <row r="121" spans="1:9" ht="16.5" customHeight="1">
      <c r="A121" s="26" t="s">
        <v>947</v>
      </c>
      <c r="B121" s="27"/>
      <c r="C121" s="28" t="s">
        <v>940</v>
      </c>
      <c r="D121" s="28" t="s">
        <v>957</v>
      </c>
      <c r="E121" s="28" t="s">
        <v>21</v>
      </c>
      <c r="F121" s="29" t="s">
        <v>948</v>
      </c>
      <c r="G121" s="30">
        <f>SUM(G122+G123)</f>
        <v>1500</v>
      </c>
      <c r="H121" s="30">
        <f>SUM(H122+H123)</f>
        <v>0</v>
      </c>
      <c r="I121" s="30">
        <f t="shared" si="4"/>
        <v>0</v>
      </c>
    </row>
    <row r="122" spans="1:10" ht="21" customHeight="1">
      <c r="A122" s="26" t="s">
        <v>290</v>
      </c>
      <c r="B122" s="27"/>
      <c r="C122" s="28" t="s">
        <v>940</v>
      </c>
      <c r="D122" s="28" t="s">
        <v>957</v>
      </c>
      <c r="E122" s="28" t="s">
        <v>291</v>
      </c>
      <c r="F122" s="29" t="s">
        <v>948</v>
      </c>
      <c r="G122" s="30">
        <v>1500</v>
      </c>
      <c r="H122" s="30"/>
      <c r="I122" s="30">
        <f t="shared" si="4"/>
        <v>0</v>
      </c>
      <c r="J122" s="65">
        <f>SUM('[2]ведомствен.'!G285)</f>
        <v>1500</v>
      </c>
    </row>
    <row r="123" spans="1:9" ht="27.75" customHeight="1" hidden="1">
      <c r="A123" s="26" t="s">
        <v>292</v>
      </c>
      <c r="B123" s="27"/>
      <c r="C123" s="28" t="s">
        <v>940</v>
      </c>
      <c r="D123" s="28" t="s">
        <v>293</v>
      </c>
      <c r="E123" s="28" t="s">
        <v>294</v>
      </c>
      <c r="F123" s="29" t="s">
        <v>948</v>
      </c>
      <c r="G123" s="30"/>
      <c r="H123" s="30"/>
      <c r="I123" s="30" t="e">
        <f t="shared" si="4"/>
        <v>#DIV/0!</v>
      </c>
    </row>
    <row r="124" spans="1:11" s="130" customFormat="1" ht="29.25" customHeight="1">
      <c r="A124" s="136" t="s">
        <v>295</v>
      </c>
      <c r="B124" s="84"/>
      <c r="C124" s="137" t="s">
        <v>950</v>
      </c>
      <c r="D124" s="137"/>
      <c r="E124" s="137"/>
      <c r="F124" s="138"/>
      <c r="G124" s="38">
        <f>SUM(G125+G159)+G179+G155</f>
        <v>72656.3</v>
      </c>
      <c r="H124" s="38" t="e">
        <f>SUM(H125+H159)+H179</f>
        <v>#REF!</v>
      </c>
      <c r="I124" s="38" t="e">
        <f t="shared" si="4"/>
        <v>#REF!</v>
      </c>
      <c r="J124" s="129"/>
      <c r="K124" s="130">
        <f>SUM('[2]ведомствен.'!G289+'[2]ведомствен.'!G1009)</f>
        <v>81911.3</v>
      </c>
    </row>
    <row r="125" spans="1:9" ht="17.25" customHeight="1" hidden="1">
      <c r="A125" s="131" t="s">
        <v>628</v>
      </c>
      <c r="B125" s="27"/>
      <c r="C125" s="28" t="s">
        <v>950</v>
      </c>
      <c r="D125" s="28" t="s">
        <v>942</v>
      </c>
      <c r="E125" s="28"/>
      <c r="F125" s="29"/>
      <c r="G125" s="30">
        <f>SUM(G126)</f>
        <v>51968.50000000001</v>
      </c>
      <c r="H125" s="30" t="e">
        <f>SUM(H126)</f>
        <v>#REF!</v>
      </c>
      <c r="I125" s="30" t="e">
        <f t="shared" si="4"/>
        <v>#REF!</v>
      </c>
    </row>
    <row r="126" spans="1:11" ht="18" customHeight="1">
      <c r="A126" s="131" t="s">
        <v>628</v>
      </c>
      <c r="B126" s="27"/>
      <c r="C126" s="28" t="s">
        <v>950</v>
      </c>
      <c r="D126" s="28" t="s">
        <v>942</v>
      </c>
      <c r="E126" s="28"/>
      <c r="F126" s="29"/>
      <c r="G126" s="30">
        <f>SUM(G127+G149)</f>
        <v>51968.50000000001</v>
      </c>
      <c r="H126" s="30" t="e">
        <f>SUM(H127+H149)</f>
        <v>#REF!</v>
      </c>
      <c r="I126" s="30" t="e">
        <f t="shared" si="4"/>
        <v>#REF!</v>
      </c>
      <c r="K126" s="65">
        <f>SUM(J126:J185)</f>
        <v>81911.30000000002</v>
      </c>
    </row>
    <row r="127" spans="1:9" ht="18.75" customHeight="1">
      <c r="A127" s="135" t="s">
        <v>629</v>
      </c>
      <c r="B127" s="27"/>
      <c r="C127" s="28" t="s">
        <v>950</v>
      </c>
      <c r="D127" s="28" t="s">
        <v>942</v>
      </c>
      <c r="E127" s="75" t="s">
        <v>630</v>
      </c>
      <c r="F127" s="29"/>
      <c r="G127" s="30">
        <f>SUM(G128+G130+G137+G139+G142+G147)</f>
        <v>45042.200000000004</v>
      </c>
      <c r="H127" s="30" t="e">
        <f>SUM(H128+H130+H137+H139+H142+H147)</f>
        <v>#REF!</v>
      </c>
      <c r="I127" s="30" t="e">
        <f t="shared" si="4"/>
        <v>#REF!</v>
      </c>
    </row>
    <row r="128" spans="1:9" ht="71.25">
      <c r="A128" s="135" t="s">
        <v>631</v>
      </c>
      <c r="B128" s="27"/>
      <c r="C128" s="28" t="s">
        <v>950</v>
      </c>
      <c r="D128" s="28" t="s">
        <v>942</v>
      </c>
      <c r="E128" s="75" t="s">
        <v>632</v>
      </c>
      <c r="F128" s="29"/>
      <c r="G128" s="30">
        <f>SUM(G129)</f>
        <v>4065.8</v>
      </c>
      <c r="H128" s="30">
        <f>SUM(H129)</f>
        <v>2461.2</v>
      </c>
      <c r="I128" s="30">
        <f t="shared" si="4"/>
        <v>60.53421220915932</v>
      </c>
    </row>
    <row r="129" spans="1:10" ht="42.75">
      <c r="A129" s="135" t="s">
        <v>633</v>
      </c>
      <c r="B129" s="27"/>
      <c r="C129" s="28" t="s">
        <v>950</v>
      </c>
      <c r="D129" s="28" t="s">
        <v>942</v>
      </c>
      <c r="E129" s="75" t="s">
        <v>632</v>
      </c>
      <c r="F129" s="29" t="s">
        <v>634</v>
      </c>
      <c r="G129" s="30">
        <f>6237.3-2171.5</f>
        <v>4065.8</v>
      </c>
      <c r="H129" s="30">
        <v>2461.2</v>
      </c>
      <c r="I129" s="30">
        <f t="shared" si="4"/>
        <v>60.53421220915932</v>
      </c>
      <c r="J129" s="65">
        <f>SUM('[2]ведомствен.'!G1013)</f>
        <v>6237.3</v>
      </c>
    </row>
    <row r="130" spans="1:9" ht="15">
      <c r="A130" s="135" t="s">
        <v>635</v>
      </c>
      <c r="B130" s="27"/>
      <c r="C130" s="28" t="s">
        <v>950</v>
      </c>
      <c r="D130" s="28" t="s">
        <v>942</v>
      </c>
      <c r="E130" s="75" t="s">
        <v>636</v>
      </c>
      <c r="F130" s="29"/>
      <c r="G130" s="30">
        <f>SUM(G131+G133+G135)</f>
        <v>24420.1</v>
      </c>
      <c r="H130" s="30" t="e">
        <f>SUM(#REF!)</f>
        <v>#REF!</v>
      </c>
      <c r="I130" s="30" t="e">
        <f t="shared" si="4"/>
        <v>#REF!</v>
      </c>
    </row>
    <row r="131" spans="1:10" ht="29.25" customHeight="1">
      <c r="A131" s="135" t="s">
        <v>637</v>
      </c>
      <c r="B131" s="27"/>
      <c r="C131" s="28" t="s">
        <v>950</v>
      </c>
      <c r="D131" s="28" t="s">
        <v>942</v>
      </c>
      <c r="E131" s="75" t="s">
        <v>638</v>
      </c>
      <c r="F131" s="29"/>
      <c r="G131" s="30">
        <f>SUM(G132)</f>
        <v>21308.6</v>
      </c>
      <c r="H131" s="30"/>
      <c r="I131" s="30"/>
      <c r="J131" s="3"/>
    </row>
    <row r="132" spans="1:10" ht="43.5" customHeight="1">
      <c r="A132" s="135" t="s">
        <v>633</v>
      </c>
      <c r="B132" s="27"/>
      <c r="C132" s="28" t="s">
        <v>950</v>
      </c>
      <c r="D132" s="28" t="s">
        <v>942</v>
      </c>
      <c r="E132" s="75" t="s">
        <v>638</v>
      </c>
      <c r="F132" s="29" t="s">
        <v>634</v>
      </c>
      <c r="G132" s="30">
        <f>22727.5-1418.9</f>
        <v>21308.6</v>
      </c>
      <c r="H132" s="30">
        <v>25107.2</v>
      </c>
      <c r="I132" s="30">
        <f>SUM(H132/G132*100)</f>
        <v>117.82660522042745</v>
      </c>
      <c r="J132" s="3">
        <f>SUM('[2]ведомствен.'!G1016)</f>
        <v>22727.5</v>
      </c>
    </row>
    <row r="133" spans="1:10" ht="72" customHeight="1">
      <c r="A133" s="135" t="s">
        <v>639</v>
      </c>
      <c r="B133" s="27"/>
      <c r="C133" s="28" t="s">
        <v>950</v>
      </c>
      <c r="D133" s="28" t="s">
        <v>942</v>
      </c>
      <c r="E133" s="75" t="s">
        <v>640</v>
      </c>
      <c r="F133" s="29"/>
      <c r="G133" s="30">
        <f>SUM(G134)</f>
        <v>1366.6</v>
      </c>
      <c r="H133" s="30"/>
      <c r="I133" s="30"/>
      <c r="J133" s="3"/>
    </row>
    <row r="134" spans="1:10" ht="43.5" customHeight="1">
      <c r="A134" s="135" t="s">
        <v>633</v>
      </c>
      <c r="B134" s="27"/>
      <c r="C134" s="28" t="s">
        <v>950</v>
      </c>
      <c r="D134" s="28" t="s">
        <v>942</v>
      </c>
      <c r="E134" s="75" t="s">
        <v>640</v>
      </c>
      <c r="F134" s="29" t="s">
        <v>634</v>
      </c>
      <c r="G134" s="30">
        <f>2736-1369.4</f>
        <v>1366.6</v>
      </c>
      <c r="H134" s="30">
        <v>25107.2</v>
      </c>
      <c r="I134" s="30">
        <f>SUM(H134/G134*100)</f>
        <v>1837.2018147226697</v>
      </c>
      <c r="J134" s="3">
        <f>SUM('[2]ведомствен.'!G1018)</f>
        <v>2736</v>
      </c>
    </row>
    <row r="135" spans="1:10" ht="43.5" customHeight="1">
      <c r="A135" s="135" t="s">
        <v>641</v>
      </c>
      <c r="B135" s="27"/>
      <c r="C135" s="28" t="s">
        <v>950</v>
      </c>
      <c r="D135" s="28" t="s">
        <v>942</v>
      </c>
      <c r="E135" s="75" t="s">
        <v>642</v>
      </c>
      <c r="F135" s="29"/>
      <c r="G135" s="30">
        <f>SUM(G136)</f>
        <v>1744.9</v>
      </c>
      <c r="H135" s="30"/>
      <c r="I135" s="30"/>
      <c r="J135" s="3"/>
    </row>
    <row r="136" spans="1:10" ht="43.5" customHeight="1">
      <c r="A136" s="135" t="s">
        <v>633</v>
      </c>
      <c r="B136" s="27"/>
      <c r="C136" s="28" t="s">
        <v>950</v>
      </c>
      <c r="D136" s="28" t="s">
        <v>942</v>
      </c>
      <c r="E136" s="75" t="s">
        <v>642</v>
      </c>
      <c r="F136" s="29" t="s">
        <v>634</v>
      </c>
      <c r="G136" s="30">
        <f>1815.5-70.6</f>
        <v>1744.9</v>
      </c>
      <c r="H136" s="30"/>
      <c r="I136" s="30"/>
      <c r="J136" s="3">
        <f>SUM('[2]ведомствен.'!G1020)</f>
        <v>1815.5</v>
      </c>
    </row>
    <row r="137" spans="1:9" ht="59.25" customHeight="1">
      <c r="A137" s="135" t="s">
        <v>643</v>
      </c>
      <c r="B137" s="27"/>
      <c r="C137" s="28" t="s">
        <v>950</v>
      </c>
      <c r="D137" s="28" t="s">
        <v>942</v>
      </c>
      <c r="E137" s="75" t="s">
        <v>644</v>
      </c>
      <c r="F137" s="29"/>
      <c r="G137" s="30">
        <f>SUM(G138)</f>
        <v>16092.1</v>
      </c>
      <c r="H137" s="30">
        <f>SUM(H138)</f>
        <v>7951.2</v>
      </c>
      <c r="I137" s="30">
        <f t="shared" si="4"/>
        <v>49.41058034687828</v>
      </c>
    </row>
    <row r="138" spans="1:10" ht="42.75">
      <c r="A138" s="135" t="s">
        <v>633</v>
      </c>
      <c r="B138" s="27"/>
      <c r="C138" s="28" t="s">
        <v>950</v>
      </c>
      <c r="D138" s="28" t="s">
        <v>942</v>
      </c>
      <c r="E138" s="75" t="s">
        <v>644</v>
      </c>
      <c r="F138" s="29" t="s">
        <v>634</v>
      </c>
      <c r="G138" s="30">
        <f>15852.5+308.7-69.1</f>
        <v>16092.1</v>
      </c>
      <c r="H138" s="30">
        <v>7951.2</v>
      </c>
      <c r="I138" s="30">
        <f t="shared" si="4"/>
        <v>49.41058034687828</v>
      </c>
      <c r="J138" s="65">
        <f>SUM('[2]ведомствен.'!G1022)</f>
        <v>15852.5</v>
      </c>
    </row>
    <row r="139" spans="1:9" ht="15">
      <c r="A139" s="135" t="s">
        <v>645</v>
      </c>
      <c r="B139" s="27"/>
      <c r="C139" s="28" t="s">
        <v>950</v>
      </c>
      <c r="D139" s="28" t="s">
        <v>942</v>
      </c>
      <c r="E139" s="75" t="s">
        <v>646</v>
      </c>
      <c r="F139" s="29"/>
      <c r="G139" s="30">
        <f>SUM(G140)</f>
        <v>73.3</v>
      </c>
      <c r="H139" s="30">
        <f>SUM(H140)</f>
        <v>73.1</v>
      </c>
      <c r="I139" s="30">
        <f t="shared" si="4"/>
        <v>99.72714870395633</v>
      </c>
    </row>
    <row r="140" spans="1:9" ht="30.75" customHeight="1">
      <c r="A140" s="135" t="s">
        <v>647</v>
      </c>
      <c r="B140" s="27"/>
      <c r="C140" s="28" t="s">
        <v>950</v>
      </c>
      <c r="D140" s="28" t="s">
        <v>942</v>
      </c>
      <c r="E140" s="75" t="s">
        <v>648</v>
      </c>
      <c r="F140" s="29"/>
      <c r="G140" s="30">
        <f>SUM(G141)</f>
        <v>73.3</v>
      </c>
      <c r="H140" s="30">
        <f>SUM(H141)</f>
        <v>73.1</v>
      </c>
      <c r="I140" s="30">
        <f t="shared" si="4"/>
        <v>99.72714870395633</v>
      </c>
    </row>
    <row r="141" spans="1:10" ht="42.75">
      <c r="A141" s="135" t="s">
        <v>633</v>
      </c>
      <c r="B141" s="27"/>
      <c r="C141" s="28" t="s">
        <v>950</v>
      </c>
      <c r="D141" s="28" t="s">
        <v>942</v>
      </c>
      <c r="E141" s="75" t="s">
        <v>648</v>
      </c>
      <c r="F141" s="29" t="s">
        <v>634</v>
      </c>
      <c r="G141" s="30">
        <v>73.3</v>
      </c>
      <c r="H141" s="30">
        <v>73.1</v>
      </c>
      <c r="I141" s="30">
        <f t="shared" si="4"/>
        <v>99.72714870395633</v>
      </c>
      <c r="J141" s="65">
        <f>SUM('[2]ведомствен.'!G1025)</f>
        <v>73.3</v>
      </c>
    </row>
    <row r="142" spans="1:9" ht="15">
      <c r="A142" s="131" t="s">
        <v>649</v>
      </c>
      <c r="B142" s="27"/>
      <c r="C142" s="28" t="s">
        <v>650</v>
      </c>
      <c r="D142" s="28" t="s">
        <v>942</v>
      </c>
      <c r="E142" s="75" t="s">
        <v>651</v>
      </c>
      <c r="F142" s="29"/>
      <c r="G142" s="30">
        <f>SUM(G143+G145)</f>
        <v>390.9</v>
      </c>
      <c r="H142" s="30">
        <f>SUM(H143+H145)</f>
        <v>66.8</v>
      </c>
      <c r="I142" s="30">
        <f t="shared" si="4"/>
        <v>17.08876950626759</v>
      </c>
    </row>
    <row r="143" spans="1:9" ht="28.5">
      <c r="A143" s="135" t="s">
        <v>652</v>
      </c>
      <c r="B143" s="27"/>
      <c r="C143" s="28" t="s">
        <v>650</v>
      </c>
      <c r="D143" s="28" t="s">
        <v>942</v>
      </c>
      <c r="E143" s="75" t="s">
        <v>653</v>
      </c>
      <c r="F143" s="29"/>
      <c r="G143" s="30">
        <f>SUM(G144)</f>
        <v>29.299999999999955</v>
      </c>
      <c r="H143" s="30">
        <f>SUM(H144)</f>
        <v>0</v>
      </c>
      <c r="I143" s="30">
        <f aca="true" t="shared" si="5" ref="I143:I204">SUM(H143/G143*100)</f>
        <v>0</v>
      </c>
    </row>
    <row r="144" spans="1:10" ht="42.75">
      <c r="A144" s="135" t="s">
        <v>633</v>
      </c>
      <c r="B144" s="27"/>
      <c r="C144" s="28" t="s">
        <v>650</v>
      </c>
      <c r="D144" s="28" t="s">
        <v>942</v>
      </c>
      <c r="E144" s="75" t="s">
        <v>653</v>
      </c>
      <c r="F144" s="29" t="s">
        <v>634</v>
      </c>
      <c r="G144" s="30">
        <f>761.8-732.5</f>
        <v>29.299999999999955</v>
      </c>
      <c r="H144" s="30"/>
      <c r="I144" s="30">
        <f t="shared" si="5"/>
        <v>0</v>
      </c>
      <c r="J144" s="65">
        <f>SUM('[2]ведомствен.'!G1028)</f>
        <v>761.8</v>
      </c>
    </row>
    <row r="145" spans="1:9" ht="15">
      <c r="A145" s="135" t="s">
        <v>654</v>
      </c>
      <c r="B145" s="27"/>
      <c r="C145" s="28" t="s">
        <v>650</v>
      </c>
      <c r="D145" s="28" t="s">
        <v>942</v>
      </c>
      <c r="E145" s="75" t="s">
        <v>655</v>
      </c>
      <c r="F145" s="29"/>
      <c r="G145" s="30">
        <f>SUM(G146)</f>
        <v>361.6</v>
      </c>
      <c r="H145" s="30">
        <f>SUM(H146)</f>
        <v>66.8</v>
      </c>
      <c r="I145" s="30">
        <f t="shared" si="5"/>
        <v>18.473451327433626</v>
      </c>
    </row>
    <row r="146" spans="1:10" ht="41.25" customHeight="1">
      <c r="A146" s="135" t="s">
        <v>633</v>
      </c>
      <c r="B146" s="27"/>
      <c r="C146" s="28" t="s">
        <v>650</v>
      </c>
      <c r="D146" s="28" t="s">
        <v>942</v>
      </c>
      <c r="E146" s="75" t="s">
        <v>655</v>
      </c>
      <c r="F146" s="29" t="s">
        <v>634</v>
      </c>
      <c r="G146" s="30">
        <f>330-37.5+69.1</f>
        <v>361.6</v>
      </c>
      <c r="H146" s="30">
        <v>66.8</v>
      </c>
      <c r="I146" s="30">
        <f t="shared" si="5"/>
        <v>18.473451327433626</v>
      </c>
      <c r="J146" s="65">
        <f>SUM('[2]ведомствен.'!G1030)</f>
        <v>330</v>
      </c>
    </row>
    <row r="147" spans="1:9" ht="27" customHeight="1" hidden="1">
      <c r="A147" s="131" t="s">
        <v>656</v>
      </c>
      <c r="B147" s="27"/>
      <c r="C147" s="28" t="s">
        <v>650</v>
      </c>
      <c r="D147" s="28" t="s">
        <v>942</v>
      </c>
      <c r="E147" s="75" t="s">
        <v>657</v>
      </c>
      <c r="F147" s="29"/>
      <c r="G147" s="30">
        <f>SUM(G148)</f>
        <v>0</v>
      </c>
      <c r="H147" s="30">
        <f>SUM(H148)</f>
        <v>987.3</v>
      </c>
      <c r="I147" s="30" t="e">
        <f t="shared" si="5"/>
        <v>#DIV/0!</v>
      </c>
    </row>
    <row r="148" spans="1:10" ht="17.25" customHeight="1" hidden="1">
      <c r="A148" s="135" t="s">
        <v>978</v>
      </c>
      <c r="B148" s="27"/>
      <c r="C148" s="28" t="s">
        <v>650</v>
      </c>
      <c r="D148" s="28" t="s">
        <v>942</v>
      </c>
      <c r="E148" s="75" t="s">
        <v>657</v>
      </c>
      <c r="F148" s="29" t="s">
        <v>979</v>
      </c>
      <c r="G148" s="30"/>
      <c r="H148" s="30">
        <v>987.3</v>
      </c>
      <c r="I148" s="30" t="e">
        <f t="shared" si="5"/>
        <v>#DIV/0!</v>
      </c>
      <c r="J148" s="65">
        <f>SUM('[2]ведомствен.'!G1032)</f>
        <v>0</v>
      </c>
    </row>
    <row r="149" spans="1:9" ht="19.5" customHeight="1">
      <c r="A149" s="47" t="s">
        <v>20</v>
      </c>
      <c r="B149" s="69"/>
      <c r="C149" s="69" t="s">
        <v>950</v>
      </c>
      <c r="D149" s="69" t="s">
        <v>942</v>
      </c>
      <c r="E149" s="94" t="s">
        <v>21</v>
      </c>
      <c r="F149" s="34"/>
      <c r="G149" s="30">
        <f>SUM(G150)</f>
        <v>6926.3</v>
      </c>
      <c r="H149" s="30">
        <f>SUM(H150)</f>
        <v>275.7</v>
      </c>
      <c r="I149" s="30">
        <f t="shared" si="5"/>
        <v>3.9804801986630665</v>
      </c>
    </row>
    <row r="150" spans="1:9" ht="42.75">
      <c r="A150" s="135" t="s">
        <v>633</v>
      </c>
      <c r="B150" s="51"/>
      <c r="C150" s="57" t="s">
        <v>950</v>
      </c>
      <c r="D150" s="57" t="s">
        <v>942</v>
      </c>
      <c r="E150" s="57" t="s">
        <v>658</v>
      </c>
      <c r="F150" s="49" t="s">
        <v>634</v>
      </c>
      <c r="G150" s="30">
        <f>SUM(G153)+G151+G152</f>
        <v>6926.3</v>
      </c>
      <c r="H150" s="30">
        <f>SUM(H153)</f>
        <v>275.7</v>
      </c>
      <c r="I150" s="30">
        <f t="shared" si="5"/>
        <v>3.9804801986630665</v>
      </c>
    </row>
    <row r="151" spans="1:10" ht="46.5" customHeight="1">
      <c r="A151" s="46" t="s">
        <v>659</v>
      </c>
      <c r="B151" s="80"/>
      <c r="C151" s="57" t="s">
        <v>950</v>
      </c>
      <c r="D151" s="57" t="s">
        <v>942</v>
      </c>
      <c r="E151" s="28" t="s">
        <v>402</v>
      </c>
      <c r="F151" s="29" t="s">
        <v>634</v>
      </c>
      <c r="G151" s="30">
        <f>588.5-63.7</f>
        <v>524.8</v>
      </c>
      <c r="H151" s="30">
        <v>179.9</v>
      </c>
      <c r="I151" s="30">
        <f>SUM(H151/G151*100)</f>
        <v>34.2797256097561</v>
      </c>
      <c r="J151" s="3">
        <f>SUM('[2]ведомствен.'!G1035)</f>
        <v>588.5</v>
      </c>
    </row>
    <row r="152" spans="1:10" ht="46.5" customHeight="1">
      <c r="A152" s="46" t="s">
        <v>660</v>
      </c>
      <c r="B152" s="80"/>
      <c r="C152" s="57" t="s">
        <v>950</v>
      </c>
      <c r="D152" s="57" t="s">
        <v>942</v>
      </c>
      <c r="E152" s="28" t="s">
        <v>661</v>
      </c>
      <c r="F152" s="29" t="s">
        <v>634</v>
      </c>
      <c r="G152" s="30">
        <f>1225-96.3</f>
        <v>1128.7</v>
      </c>
      <c r="H152" s="30"/>
      <c r="I152" s="30"/>
      <c r="J152" s="3">
        <f>SUM('[2]ведомствен.'!G1036)</f>
        <v>1225</v>
      </c>
    </row>
    <row r="153" spans="1:10" ht="40.5" customHeight="1">
      <c r="A153" s="132" t="s">
        <v>662</v>
      </c>
      <c r="B153" s="48"/>
      <c r="C153" s="57" t="s">
        <v>950</v>
      </c>
      <c r="D153" s="57" t="s">
        <v>942</v>
      </c>
      <c r="E153" s="57" t="s">
        <v>663</v>
      </c>
      <c r="F153" s="49" t="s">
        <v>634</v>
      </c>
      <c r="G153" s="50">
        <f>2850+2422.8</f>
        <v>5272.8</v>
      </c>
      <c r="H153" s="50">
        <v>275.7</v>
      </c>
      <c r="I153" s="30">
        <f t="shared" si="5"/>
        <v>5.228720983158853</v>
      </c>
      <c r="J153" s="65">
        <f>SUM('[2]ведомствен.'!G1037)</f>
        <v>2850</v>
      </c>
    </row>
    <row r="154" spans="1:9" ht="24.75" customHeight="1" hidden="1">
      <c r="A154" s="132" t="s">
        <v>867</v>
      </c>
      <c r="B154" s="48"/>
      <c r="C154" s="57" t="s">
        <v>950</v>
      </c>
      <c r="D154" s="57" t="s">
        <v>942</v>
      </c>
      <c r="E154" s="57" t="s">
        <v>868</v>
      </c>
      <c r="F154" s="49" t="s">
        <v>634</v>
      </c>
      <c r="G154" s="50"/>
      <c r="H154" s="50"/>
      <c r="I154" s="30" t="e">
        <f t="shared" si="5"/>
        <v>#DIV/0!</v>
      </c>
    </row>
    <row r="155" spans="1:10" ht="18.75" customHeight="1">
      <c r="A155" s="77" t="s">
        <v>296</v>
      </c>
      <c r="B155" s="27"/>
      <c r="C155" s="28" t="s">
        <v>950</v>
      </c>
      <c r="D155" s="28" t="s">
        <v>5</v>
      </c>
      <c r="E155" s="28"/>
      <c r="F155" s="29"/>
      <c r="G155" s="30">
        <f>SUM(G157)</f>
        <v>5234.2</v>
      </c>
      <c r="H155" s="30">
        <f>SUM(H157)</f>
        <v>0</v>
      </c>
      <c r="I155" s="30">
        <f>SUM(H155/G155*100)</f>
        <v>0</v>
      </c>
      <c r="J155" s="3"/>
    </row>
    <row r="156" spans="1:10" ht="27.75" customHeight="1">
      <c r="A156" s="26" t="s">
        <v>276</v>
      </c>
      <c r="B156" s="27"/>
      <c r="C156" s="28" t="s">
        <v>950</v>
      </c>
      <c r="D156" s="28" t="s">
        <v>5</v>
      </c>
      <c r="E156" s="28" t="s">
        <v>277</v>
      </c>
      <c r="F156" s="29"/>
      <c r="G156" s="30">
        <f>SUM(G157)</f>
        <v>5234.2</v>
      </c>
      <c r="H156" s="30"/>
      <c r="I156" s="30"/>
      <c r="J156" s="3"/>
    </row>
    <row r="157" spans="1:10" ht="28.5">
      <c r="A157" s="26" t="s">
        <v>278</v>
      </c>
      <c r="B157" s="27"/>
      <c r="C157" s="28" t="s">
        <v>950</v>
      </c>
      <c r="D157" s="28" t="s">
        <v>5</v>
      </c>
      <c r="E157" s="28" t="s">
        <v>279</v>
      </c>
      <c r="F157" s="29"/>
      <c r="G157" s="30">
        <f>SUM(G158)</f>
        <v>5234.2</v>
      </c>
      <c r="H157" s="30">
        <f>SUM(H158)</f>
        <v>0</v>
      </c>
      <c r="I157" s="30">
        <f>SUM(H157/G157*100)</f>
        <v>0</v>
      </c>
      <c r="J157" s="3"/>
    </row>
    <row r="158" spans="1:10" ht="15">
      <c r="A158" s="26" t="s">
        <v>947</v>
      </c>
      <c r="B158" s="27"/>
      <c r="C158" s="28" t="s">
        <v>950</v>
      </c>
      <c r="D158" s="28" t="s">
        <v>5</v>
      </c>
      <c r="E158" s="28" t="s">
        <v>279</v>
      </c>
      <c r="F158" s="29" t="s">
        <v>948</v>
      </c>
      <c r="G158" s="30">
        <f>6188-953.8</f>
        <v>5234.2</v>
      </c>
      <c r="H158" s="30"/>
      <c r="I158" s="30">
        <f>SUM(H158/G158*100)</f>
        <v>0</v>
      </c>
      <c r="J158" s="3">
        <f>SUM('[2]ведомствен.'!G293)</f>
        <v>6188</v>
      </c>
    </row>
    <row r="159" spans="1:9" ht="45.75" customHeight="1">
      <c r="A159" s="135" t="s">
        <v>297</v>
      </c>
      <c r="B159" s="27"/>
      <c r="C159" s="28" t="s">
        <v>950</v>
      </c>
      <c r="D159" s="28" t="s">
        <v>25</v>
      </c>
      <c r="E159" s="28"/>
      <c r="F159" s="29"/>
      <c r="G159" s="30">
        <f>SUM(G163+G168+G171+G174)+G160</f>
        <v>15453.599999999999</v>
      </c>
      <c r="H159" s="30">
        <f>SUM(H163+H168+H171+H174)+H161</f>
        <v>15879.199999999997</v>
      </c>
      <c r="I159" s="30">
        <f t="shared" si="5"/>
        <v>102.75405083605114</v>
      </c>
    </row>
    <row r="160" spans="1:9" ht="18" customHeight="1">
      <c r="A160" s="131" t="s">
        <v>94</v>
      </c>
      <c r="B160" s="27"/>
      <c r="C160" s="28" t="s">
        <v>950</v>
      </c>
      <c r="D160" s="28" t="s">
        <v>25</v>
      </c>
      <c r="E160" s="28" t="s">
        <v>95</v>
      </c>
      <c r="F160" s="29"/>
      <c r="G160" s="30">
        <f>SUM(G161)</f>
        <v>2261.8</v>
      </c>
      <c r="H160" s="30">
        <f>SUM(H161)</f>
        <v>0</v>
      </c>
      <c r="I160" s="30">
        <f t="shared" si="5"/>
        <v>0</v>
      </c>
    </row>
    <row r="161" spans="1:10" ht="45" customHeight="1">
      <c r="A161" s="26" t="s">
        <v>298</v>
      </c>
      <c r="B161" s="27"/>
      <c r="C161" s="28" t="s">
        <v>950</v>
      </c>
      <c r="D161" s="28" t="s">
        <v>25</v>
      </c>
      <c r="E161" s="28" t="s">
        <v>299</v>
      </c>
      <c r="F161" s="29"/>
      <c r="G161" s="30">
        <f>SUM(G162)</f>
        <v>2261.8</v>
      </c>
      <c r="H161" s="30">
        <f>SUM(H162)</f>
        <v>0</v>
      </c>
      <c r="I161" s="30">
        <f>SUM(H161/G161*100)</f>
        <v>0</v>
      </c>
      <c r="J161" s="3"/>
    </row>
    <row r="162" spans="1:10" ht="15">
      <c r="A162" s="26" t="s">
        <v>947</v>
      </c>
      <c r="B162" s="27"/>
      <c r="C162" s="28" t="s">
        <v>950</v>
      </c>
      <c r="D162" s="28" t="s">
        <v>25</v>
      </c>
      <c r="E162" s="28" t="s">
        <v>299</v>
      </c>
      <c r="F162" s="29" t="s">
        <v>948</v>
      </c>
      <c r="G162" s="30">
        <v>2261.8</v>
      </c>
      <c r="H162" s="30"/>
      <c r="I162" s="30">
        <f>SUM(H162/G162*100)</f>
        <v>0</v>
      </c>
      <c r="J162" s="3">
        <f>SUM('[2]ведомствен.'!G297)</f>
        <v>2261.8</v>
      </c>
    </row>
    <row r="163" spans="1:9" ht="30.75" customHeight="1">
      <c r="A163" s="135" t="s">
        <v>300</v>
      </c>
      <c r="B163" s="27"/>
      <c r="C163" s="28" t="s">
        <v>950</v>
      </c>
      <c r="D163" s="28" t="s">
        <v>25</v>
      </c>
      <c r="E163" s="28" t="s">
        <v>301</v>
      </c>
      <c r="F163" s="29"/>
      <c r="G163" s="30">
        <f>SUM(G164)+G166</f>
        <v>3210.7999999999997</v>
      </c>
      <c r="H163" s="30">
        <f>SUM(H164)+H166</f>
        <v>10264.099999999999</v>
      </c>
      <c r="I163" s="30">
        <f t="shared" si="5"/>
        <v>319.67422449233834</v>
      </c>
    </row>
    <row r="164" spans="1:9" ht="43.5" customHeight="1">
      <c r="A164" s="135" t="s">
        <v>302</v>
      </c>
      <c r="B164" s="27"/>
      <c r="C164" s="28" t="s">
        <v>950</v>
      </c>
      <c r="D164" s="28" t="s">
        <v>25</v>
      </c>
      <c r="E164" s="28" t="s">
        <v>303</v>
      </c>
      <c r="F164" s="29"/>
      <c r="G164" s="30">
        <f>SUM(G165)</f>
        <v>1084.5</v>
      </c>
      <c r="H164" s="30">
        <f>SUM(H165)</f>
        <v>438.8</v>
      </c>
      <c r="I164" s="30">
        <f t="shared" si="5"/>
        <v>40.46104195481789</v>
      </c>
    </row>
    <row r="165" spans="1:10" ht="15">
      <c r="A165" s="26" t="s">
        <v>947</v>
      </c>
      <c r="B165" s="27"/>
      <c r="C165" s="28" t="s">
        <v>950</v>
      </c>
      <c r="D165" s="28" t="s">
        <v>25</v>
      </c>
      <c r="E165" s="28" t="s">
        <v>303</v>
      </c>
      <c r="F165" s="29" t="s">
        <v>948</v>
      </c>
      <c r="G165" s="30">
        <f>2132.5-1048</f>
        <v>1084.5</v>
      </c>
      <c r="H165" s="30">
        <v>438.8</v>
      </c>
      <c r="I165" s="30">
        <f t="shared" si="5"/>
        <v>40.46104195481789</v>
      </c>
      <c r="J165" s="65">
        <f>SUM('[2]ведомствен.'!G300)</f>
        <v>2132.5</v>
      </c>
    </row>
    <row r="166" spans="1:9" ht="28.5">
      <c r="A166" s="26" t="s">
        <v>304</v>
      </c>
      <c r="B166" s="27"/>
      <c r="C166" s="28" t="s">
        <v>950</v>
      </c>
      <c r="D166" s="28" t="s">
        <v>25</v>
      </c>
      <c r="E166" s="28" t="s">
        <v>305</v>
      </c>
      <c r="F166" s="29"/>
      <c r="G166" s="30">
        <f>SUM(G167)</f>
        <v>2126.2999999999997</v>
      </c>
      <c r="H166" s="30">
        <f>SUM(H167)</f>
        <v>9825.3</v>
      </c>
      <c r="I166" s="30">
        <f t="shared" si="5"/>
        <v>462.0843719136529</v>
      </c>
    </row>
    <row r="167" spans="1:10" ht="15">
      <c r="A167" s="26" t="s">
        <v>306</v>
      </c>
      <c r="B167" s="27"/>
      <c r="C167" s="28" t="s">
        <v>950</v>
      </c>
      <c r="D167" s="28" t="s">
        <v>25</v>
      </c>
      <c r="E167" s="28" t="s">
        <v>305</v>
      </c>
      <c r="F167" s="29" t="s">
        <v>307</v>
      </c>
      <c r="G167" s="30">
        <f>4995.2-744.3-2124.6</f>
        <v>2126.2999999999997</v>
      </c>
      <c r="H167" s="30">
        <v>9825.3</v>
      </c>
      <c r="I167" s="30">
        <f t="shared" si="5"/>
        <v>462.0843719136529</v>
      </c>
      <c r="J167" s="65">
        <f>SUM('[2]ведомствен.'!G302)</f>
        <v>4995.2</v>
      </c>
    </row>
    <row r="168" spans="1:9" ht="15">
      <c r="A168" s="135" t="s">
        <v>308</v>
      </c>
      <c r="B168" s="51"/>
      <c r="C168" s="51" t="s">
        <v>950</v>
      </c>
      <c r="D168" s="51" t="s">
        <v>25</v>
      </c>
      <c r="E168" s="51" t="s">
        <v>309</v>
      </c>
      <c r="F168" s="56"/>
      <c r="G168" s="30">
        <f>SUM(G169)</f>
        <v>310</v>
      </c>
      <c r="H168" s="30">
        <f>SUM(H169)</f>
        <v>227.3</v>
      </c>
      <c r="I168" s="30">
        <f t="shared" si="5"/>
        <v>73.3225806451613</v>
      </c>
    </row>
    <row r="169" spans="1:9" ht="31.5" customHeight="1">
      <c r="A169" s="135" t="s">
        <v>310</v>
      </c>
      <c r="B169" s="51"/>
      <c r="C169" s="57" t="s">
        <v>950</v>
      </c>
      <c r="D169" s="57" t="s">
        <v>25</v>
      </c>
      <c r="E169" s="57" t="s">
        <v>311</v>
      </c>
      <c r="F169" s="49"/>
      <c r="G169" s="30">
        <f>SUM(G170)</f>
        <v>310</v>
      </c>
      <c r="H169" s="30">
        <f>SUM(H170)</f>
        <v>227.3</v>
      </c>
      <c r="I169" s="30">
        <f t="shared" si="5"/>
        <v>73.3225806451613</v>
      </c>
    </row>
    <row r="170" spans="1:10" ht="19.5" customHeight="1">
      <c r="A170" s="26" t="s">
        <v>947</v>
      </c>
      <c r="B170" s="51"/>
      <c r="C170" s="57" t="s">
        <v>950</v>
      </c>
      <c r="D170" s="57" t="s">
        <v>25</v>
      </c>
      <c r="E170" s="57" t="s">
        <v>311</v>
      </c>
      <c r="F170" s="49" t="s">
        <v>948</v>
      </c>
      <c r="G170" s="30">
        <f>310.3-0.3</f>
        <v>310</v>
      </c>
      <c r="H170" s="30">
        <v>227.3</v>
      </c>
      <c r="I170" s="30">
        <f t="shared" si="5"/>
        <v>73.3225806451613</v>
      </c>
      <c r="J170" s="65">
        <f>SUM('[2]ведомствен.'!G305)</f>
        <v>310.3</v>
      </c>
    </row>
    <row r="171" spans="1:9" ht="45.75" customHeight="1">
      <c r="A171" s="131" t="s">
        <v>312</v>
      </c>
      <c r="B171" s="27"/>
      <c r="C171" s="28" t="s">
        <v>950</v>
      </c>
      <c r="D171" s="28" t="s">
        <v>25</v>
      </c>
      <c r="E171" s="28" t="s">
        <v>313</v>
      </c>
      <c r="F171" s="29"/>
      <c r="G171" s="30">
        <f>SUM(G172)</f>
        <v>9595.5</v>
      </c>
      <c r="H171" s="30">
        <f>SUM(H172)</f>
        <v>5387.8</v>
      </c>
      <c r="I171" s="30">
        <f t="shared" si="5"/>
        <v>56.14923662133292</v>
      </c>
    </row>
    <row r="172" spans="1:9" ht="21.75" customHeight="1">
      <c r="A172" s="131" t="s">
        <v>234</v>
      </c>
      <c r="B172" s="27"/>
      <c r="C172" s="28" t="s">
        <v>950</v>
      </c>
      <c r="D172" s="28" t="s">
        <v>25</v>
      </c>
      <c r="E172" s="28" t="s">
        <v>314</v>
      </c>
      <c r="F172" s="29"/>
      <c r="G172" s="30">
        <f>SUM(G173)</f>
        <v>9595.5</v>
      </c>
      <c r="H172" s="30">
        <f>SUM(H173)</f>
        <v>5387.8</v>
      </c>
      <c r="I172" s="30">
        <f t="shared" si="5"/>
        <v>56.14923662133292</v>
      </c>
    </row>
    <row r="173" spans="1:10" ht="15.75" customHeight="1">
      <c r="A173" s="26" t="s">
        <v>969</v>
      </c>
      <c r="B173" s="36"/>
      <c r="C173" s="28" t="s">
        <v>950</v>
      </c>
      <c r="D173" s="28" t="s">
        <v>25</v>
      </c>
      <c r="E173" s="28" t="s">
        <v>314</v>
      </c>
      <c r="F173" s="29" t="s">
        <v>970</v>
      </c>
      <c r="G173" s="30">
        <f>9706.1-110.6</f>
        <v>9595.5</v>
      </c>
      <c r="H173" s="30">
        <v>5387.8</v>
      </c>
      <c r="I173" s="30">
        <f t="shared" si="5"/>
        <v>56.14923662133292</v>
      </c>
      <c r="J173" s="65">
        <f>SUM('[2]ведомствен.'!G308)</f>
        <v>9706.1</v>
      </c>
    </row>
    <row r="174" spans="1:10" ht="15">
      <c r="A174" s="26" t="s">
        <v>20</v>
      </c>
      <c r="B174" s="27"/>
      <c r="C174" s="28" t="s">
        <v>950</v>
      </c>
      <c r="D174" s="28" t="s">
        <v>25</v>
      </c>
      <c r="E174" s="57" t="s">
        <v>21</v>
      </c>
      <c r="F174" s="29"/>
      <c r="G174" s="30">
        <f>SUM(G177)+G175</f>
        <v>75.5</v>
      </c>
      <c r="H174" s="30"/>
      <c r="I174" s="30"/>
      <c r="J174" s="3"/>
    </row>
    <row r="175" spans="1:10" ht="57">
      <c r="A175" s="26" t="s">
        <v>315</v>
      </c>
      <c r="B175" s="27"/>
      <c r="C175" s="28" t="s">
        <v>950</v>
      </c>
      <c r="D175" s="28" t="s">
        <v>25</v>
      </c>
      <c r="E175" s="57" t="s">
        <v>316</v>
      </c>
      <c r="F175" s="29"/>
      <c r="G175" s="30">
        <f>SUM(G176)</f>
        <v>35.5</v>
      </c>
      <c r="H175" s="30"/>
      <c r="I175" s="30"/>
      <c r="J175" s="3"/>
    </row>
    <row r="176" spans="1:10" ht="15">
      <c r="A176" s="26" t="s">
        <v>947</v>
      </c>
      <c r="B176" s="27"/>
      <c r="C176" s="28" t="s">
        <v>950</v>
      </c>
      <c r="D176" s="28" t="s">
        <v>25</v>
      </c>
      <c r="E176" s="57" t="s">
        <v>316</v>
      </c>
      <c r="F176" s="29" t="s">
        <v>948</v>
      </c>
      <c r="G176" s="30">
        <f>750-714.5</f>
        <v>35.5</v>
      </c>
      <c r="H176" s="30"/>
      <c r="I176" s="30"/>
      <c r="J176" s="3">
        <f>SUM('[2]ведомствен.'!G311)</f>
        <v>750</v>
      </c>
    </row>
    <row r="177" spans="1:10" ht="44.25" customHeight="1">
      <c r="A177" s="26" t="s">
        <v>317</v>
      </c>
      <c r="B177" s="27"/>
      <c r="C177" s="28" t="s">
        <v>950</v>
      </c>
      <c r="D177" s="28" t="s">
        <v>25</v>
      </c>
      <c r="E177" s="57" t="s">
        <v>318</v>
      </c>
      <c r="F177" s="29"/>
      <c r="G177" s="30">
        <f>SUM(G178)</f>
        <v>40</v>
      </c>
      <c r="H177" s="30"/>
      <c r="I177" s="30"/>
      <c r="J177" s="3"/>
    </row>
    <row r="178" spans="1:10" ht="15">
      <c r="A178" s="46" t="s">
        <v>41</v>
      </c>
      <c r="B178" s="27"/>
      <c r="C178" s="28" t="s">
        <v>950</v>
      </c>
      <c r="D178" s="28" t="s">
        <v>25</v>
      </c>
      <c r="E178" s="57" t="s">
        <v>318</v>
      </c>
      <c r="F178" s="29" t="s">
        <v>42</v>
      </c>
      <c r="G178" s="30">
        <v>40</v>
      </c>
      <c r="H178" s="30"/>
      <c r="I178" s="30"/>
      <c r="J178" s="3">
        <f>SUM('[2]ведомствен.'!G313)</f>
        <v>40</v>
      </c>
    </row>
    <row r="179" spans="1:9" ht="28.5" customHeight="1">
      <c r="A179" s="135" t="s">
        <v>319</v>
      </c>
      <c r="B179" s="27"/>
      <c r="C179" s="28" t="s">
        <v>950</v>
      </c>
      <c r="D179" s="28" t="s">
        <v>293</v>
      </c>
      <c r="E179" s="57"/>
      <c r="F179" s="29"/>
      <c r="G179" s="30">
        <f>SUM(G180+G183)</f>
        <v>0</v>
      </c>
      <c r="H179" s="30">
        <f>SUM(H180+H183)</f>
        <v>0</v>
      </c>
      <c r="I179" s="30" t="e">
        <f t="shared" si="5"/>
        <v>#DIV/0!</v>
      </c>
    </row>
    <row r="180" spans="1:9" ht="15.75" customHeight="1" hidden="1">
      <c r="A180" s="135" t="s">
        <v>67</v>
      </c>
      <c r="B180" s="27"/>
      <c r="C180" s="28" t="s">
        <v>950</v>
      </c>
      <c r="D180" s="28" t="s">
        <v>293</v>
      </c>
      <c r="E180" s="57" t="s">
        <v>68</v>
      </c>
      <c r="F180" s="29"/>
      <c r="G180" s="30">
        <f>SUM(G181)</f>
        <v>0</v>
      </c>
      <c r="H180" s="30">
        <f>SUM(H181)</f>
        <v>0</v>
      </c>
      <c r="I180" s="30" t="e">
        <f t="shared" si="5"/>
        <v>#DIV/0!</v>
      </c>
    </row>
    <row r="181" spans="1:9" ht="16.5" customHeight="1" hidden="1">
      <c r="A181" s="135" t="s">
        <v>320</v>
      </c>
      <c r="B181" s="27"/>
      <c r="C181" s="28" t="s">
        <v>950</v>
      </c>
      <c r="D181" s="28" t="s">
        <v>293</v>
      </c>
      <c r="E181" s="57" t="s">
        <v>321</v>
      </c>
      <c r="F181" s="29"/>
      <c r="G181" s="30">
        <f>SUM(G182)</f>
        <v>0</v>
      </c>
      <c r="H181" s="30">
        <f>SUM(H182)</f>
        <v>0</v>
      </c>
      <c r="I181" s="30" t="e">
        <f t="shared" si="5"/>
        <v>#DIV/0!</v>
      </c>
    </row>
    <row r="182" spans="1:9" ht="13.5" customHeight="1" hidden="1">
      <c r="A182" s="131" t="s">
        <v>41</v>
      </c>
      <c r="B182" s="27"/>
      <c r="C182" s="28" t="s">
        <v>950</v>
      </c>
      <c r="D182" s="28" t="s">
        <v>293</v>
      </c>
      <c r="E182" s="57" t="s">
        <v>321</v>
      </c>
      <c r="F182" s="29" t="s">
        <v>42</v>
      </c>
      <c r="G182" s="30"/>
      <c r="H182" s="30"/>
      <c r="I182" s="30" t="e">
        <f t="shared" si="5"/>
        <v>#DIV/0!</v>
      </c>
    </row>
    <row r="183" spans="1:10" ht="15">
      <c r="A183" s="26" t="s">
        <v>20</v>
      </c>
      <c r="B183" s="27"/>
      <c r="C183" s="28" t="s">
        <v>950</v>
      </c>
      <c r="D183" s="28" t="s">
        <v>293</v>
      </c>
      <c r="E183" s="57" t="s">
        <v>21</v>
      </c>
      <c r="F183" s="29"/>
      <c r="G183" s="30">
        <f>SUM(G184)</f>
        <v>0</v>
      </c>
      <c r="H183" s="30"/>
      <c r="I183" s="30"/>
      <c r="J183" s="3"/>
    </row>
    <row r="184" spans="1:10" ht="35.25" customHeight="1">
      <c r="A184" s="26" t="s">
        <v>317</v>
      </c>
      <c r="B184" s="27"/>
      <c r="C184" s="28" t="s">
        <v>950</v>
      </c>
      <c r="D184" s="28" t="s">
        <v>293</v>
      </c>
      <c r="E184" s="57" t="s">
        <v>318</v>
      </c>
      <c r="F184" s="29"/>
      <c r="G184" s="30">
        <f>SUM(G185)</f>
        <v>0</v>
      </c>
      <c r="H184" s="30"/>
      <c r="I184" s="30"/>
      <c r="J184" s="3"/>
    </row>
    <row r="185" spans="1:10" ht="15">
      <c r="A185" s="46" t="s">
        <v>41</v>
      </c>
      <c r="B185" s="27"/>
      <c r="C185" s="28" t="s">
        <v>950</v>
      </c>
      <c r="D185" s="28" t="s">
        <v>293</v>
      </c>
      <c r="E185" s="57" t="s">
        <v>318</v>
      </c>
      <c r="F185" s="29" t="s">
        <v>42</v>
      </c>
      <c r="G185" s="30">
        <f>330-330</f>
        <v>0</v>
      </c>
      <c r="H185" s="30"/>
      <c r="I185" s="30"/>
      <c r="J185" s="3">
        <f>SUM('[2]ведомствен.'!G320)</f>
        <v>330</v>
      </c>
    </row>
    <row r="186" spans="1:11" s="130" customFormat="1" ht="15.75">
      <c r="A186" s="136" t="s">
        <v>4</v>
      </c>
      <c r="B186" s="84"/>
      <c r="C186" s="137" t="s">
        <v>5</v>
      </c>
      <c r="D186" s="137"/>
      <c r="E186" s="137"/>
      <c r="F186" s="138"/>
      <c r="G186" s="38">
        <f>SUM(G190+G217)+G187+G209</f>
        <v>109255.09999999999</v>
      </c>
      <c r="H186" s="38">
        <f>SUM(H190+H217)</f>
        <v>56110.700000000004</v>
      </c>
      <c r="I186" s="38">
        <f t="shared" si="5"/>
        <v>51.357510999486536</v>
      </c>
      <c r="J186" s="129"/>
      <c r="K186" s="130">
        <f>SUM('[2]ведомствен.'!G859+'[2]ведомствен.'!G688+'[2]ведомствен.'!G321+'[2]ведомствен.'!G46)</f>
        <v>105034.4</v>
      </c>
    </row>
    <row r="187" spans="1:11" ht="16.5" customHeight="1">
      <c r="A187" s="131" t="s">
        <v>322</v>
      </c>
      <c r="B187" s="27"/>
      <c r="C187" s="28" t="s">
        <v>5</v>
      </c>
      <c r="D187" s="28" t="s">
        <v>983</v>
      </c>
      <c r="E187" s="28"/>
      <c r="F187" s="29"/>
      <c r="G187" s="30">
        <f>SUM(G188)</f>
        <v>13007</v>
      </c>
      <c r="H187" s="30"/>
      <c r="I187" s="30"/>
      <c r="J187" s="3"/>
      <c r="K187" s="3">
        <f>SUM(J188:J233)</f>
        <v>105034.40000000001</v>
      </c>
    </row>
    <row r="188" spans="1:10" ht="45.75" customHeight="1">
      <c r="A188" s="131" t="s">
        <v>323</v>
      </c>
      <c r="B188" s="27"/>
      <c r="C188" s="28" t="s">
        <v>5</v>
      </c>
      <c r="D188" s="28" t="s">
        <v>983</v>
      </c>
      <c r="E188" s="28" t="s">
        <v>324</v>
      </c>
      <c r="F188" s="29"/>
      <c r="G188" s="30">
        <f>SUM(G189)</f>
        <v>13007</v>
      </c>
      <c r="H188" s="30"/>
      <c r="I188" s="30"/>
      <c r="J188" s="3"/>
    </row>
    <row r="189" spans="1:10" ht="17.25" customHeight="1">
      <c r="A189" s="131" t="s">
        <v>41</v>
      </c>
      <c r="B189" s="27"/>
      <c r="C189" s="28" t="s">
        <v>5</v>
      </c>
      <c r="D189" s="28" t="s">
        <v>983</v>
      </c>
      <c r="E189" s="28" t="s">
        <v>324</v>
      </c>
      <c r="F189" s="29" t="s">
        <v>42</v>
      </c>
      <c r="G189" s="30">
        <f>12140+867</f>
        <v>13007</v>
      </c>
      <c r="H189" s="30"/>
      <c r="I189" s="30"/>
      <c r="J189" s="3">
        <f>SUM('[2]ведомствен.'!G325)</f>
        <v>12140</v>
      </c>
    </row>
    <row r="190" spans="1:9" ht="15.75" customHeight="1">
      <c r="A190" s="131" t="s">
        <v>6</v>
      </c>
      <c r="B190" s="27"/>
      <c r="C190" s="28" t="s">
        <v>5</v>
      </c>
      <c r="D190" s="28" t="s">
        <v>7</v>
      </c>
      <c r="E190" s="28"/>
      <c r="F190" s="29"/>
      <c r="G190" s="30">
        <f>SUM(G198)+G191+G203</f>
        <v>80495.59999999999</v>
      </c>
      <c r="H190" s="30">
        <f>SUM(H198)+H193+H191</f>
        <v>55910.700000000004</v>
      </c>
      <c r="I190" s="30">
        <f t="shared" si="5"/>
        <v>69.4580821808894</v>
      </c>
    </row>
    <row r="191" spans="1:9" ht="33" customHeight="1">
      <c r="A191" s="131" t="s">
        <v>8</v>
      </c>
      <c r="B191" s="27"/>
      <c r="C191" s="28" t="s">
        <v>5</v>
      </c>
      <c r="D191" s="28" t="s">
        <v>7</v>
      </c>
      <c r="E191" s="28" t="s">
        <v>9</v>
      </c>
      <c r="F191" s="29"/>
      <c r="G191" s="30">
        <f>SUM(G192)+G195+G196</f>
        <v>39008.99999999999</v>
      </c>
      <c r="H191" s="30">
        <f>SUM(H192)+H195+H196</f>
        <v>25204.300000000003</v>
      </c>
      <c r="I191" s="30">
        <f t="shared" si="5"/>
        <v>64.61149991027713</v>
      </c>
    </row>
    <row r="192" spans="1:10" ht="16.5" customHeight="1">
      <c r="A192" s="131" t="s">
        <v>10</v>
      </c>
      <c r="B192" s="27"/>
      <c r="C192" s="28" t="s">
        <v>5</v>
      </c>
      <c r="D192" s="28" t="s">
        <v>7</v>
      </c>
      <c r="E192" s="28" t="s">
        <v>9</v>
      </c>
      <c r="F192" s="29" t="s">
        <v>11</v>
      </c>
      <c r="G192" s="30">
        <f>35900-295+183.1-93.4</f>
        <v>35694.7</v>
      </c>
      <c r="H192" s="30">
        <v>24333.9</v>
      </c>
      <c r="I192" s="30">
        <f t="shared" si="5"/>
        <v>68.17230569244175</v>
      </c>
      <c r="J192" s="65">
        <f>SUM('[2]ведомствен.'!G329+'[2]ведомствен.'!G691+'[2]ведомствен.'!G49)+'[2]ведомствен.'!G862</f>
        <v>35900</v>
      </c>
    </row>
    <row r="193" spans="1:9" ht="11.25" customHeight="1" hidden="1">
      <c r="A193" s="131" t="s">
        <v>94</v>
      </c>
      <c r="B193" s="27"/>
      <c r="C193" s="28" t="s">
        <v>5</v>
      </c>
      <c r="D193" s="28" t="s">
        <v>7</v>
      </c>
      <c r="E193" s="28" t="s">
        <v>95</v>
      </c>
      <c r="F193" s="29"/>
      <c r="G193" s="30">
        <f>SUM(G194)</f>
        <v>0</v>
      </c>
      <c r="H193" s="30">
        <f>SUM(H194)</f>
        <v>0</v>
      </c>
      <c r="I193" s="30" t="e">
        <f t="shared" si="5"/>
        <v>#DIV/0!</v>
      </c>
    </row>
    <row r="194" spans="1:9" ht="11.25" customHeight="1" hidden="1">
      <c r="A194" s="131" t="s">
        <v>869</v>
      </c>
      <c r="B194" s="27"/>
      <c r="C194" s="28" t="s">
        <v>5</v>
      </c>
      <c r="D194" s="28" t="s">
        <v>7</v>
      </c>
      <c r="E194" s="28" t="s">
        <v>95</v>
      </c>
      <c r="F194" s="29" t="s">
        <v>870</v>
      </c>
      <c r="G194" s="30"/>
      <c r="H194" s="30"/>
      <c r="I194" s="30" t="e">
        <f t="shared" si="5"/>
        <v>#DIV/0!</v>
      </c>
    </row>
    <row r="195" spans="1:10" ht="15">
      <c r="A195" s="26" t="s">
        <v>947</v>
      </c>
      <c r="B195" s="27"/>
      <c r="C195" s="28" t="s">
        <v>5</v>
      </c>
      <c r="D195" s="28" t="s">
        <v>7</v>
      </c>
      <c r="E195" s="28" t="s">
        <v>9</v>
      </c>
      <c r="F195" s="29" t="s">
        <v>948</v>
      </c>
      <c r="G195" s="30">
        <f>295-8.8</f>
        <v>286.2</v>
      </c>
      <c r="H195" s="30"/>
      <c r="I195" s="30">
        <f t="shared" si="5"/>
        <v>0</v>
      </c>
      <c r="J195" s="65">
        <f>SUM('[2]ведомствен.'!G50)</f>
        <v>0</v>
      </c>
    </row>
    <row r="196" spans="1:9" ht="72.75" customHeight="1">
      <c r="A196" s="88" t="s">
        <v>450</v>
      </c>
      <c r="B196" s="27"/>
      <c r="C196" s="28" t="s">
        <v>5</v>
      </c>
      <c r="D196" s="28" t="s">
        <v>7</v>
      </c>
      <c r="E196" s="28" t="s">
        <v>451</v>
      </c>
      <c r="F196" s="29"/>
      <c r="G196" s="30">
        <f>SUM(G197)</f>
        <v>3028.1</v>
      </c>
      <c r="H196" s="30">
        <f>SUM(H197)</f>
        <v>870.4</v>
      </c>
      <c r="I196" s="30">
        <f t="shared" si="5"/>
        <v>28.744096958488825</v>
      </c>
    </row>
    <row r="197" spans="1:10" ht="18" customHeight="1">
      <c r="A197" s="131" t="s">
        <v>10</v>
      </c>
      <c r="B197" s="27"/>
      <c r="C197" s="28" t="s">
        <v>5</v>
      </c>
      <c r="D197" s="28" t="s">
        <v>7</v>
      </c>
      <c r="E197" s="28" t="s">
        <v>451</v>
      </c>
      <c r="F197" s="29" t="s">
        <v>11</v>
      </c>
      <c r="G197" s="30">
        <f>1127.3+1900.8</f>
        <v>3028.1</v>
      </c>
      <c r="H197" s="30">
        <v>870.4</v>
      </c>
      <c r="I197" s="30">
        <f t="shared" si="5"/>
        <v>28.744096958488825</v>
      </c>
      <c r="J197" s="65">
        <f>SUM('[2]ведомствен.'!G693)</f>
        <v>1127.3</v>
      </c>
    </row>
    <row r="198" spans="1:9" ht="16.5" customHeight="1">
      <c r="A198" s="131" t="s">
        <v>12</v>
      </c>
      <c r="B198" s="27"/>
      <c r="C198" s="28" t="s">
        <v>5</v>
      </c>
      <c r="D198" s="28" t="s">
        <v>7</v>
      </c>
      <c r="E198" s="28" t="s">
        <v>13</v>
      </c>
      <c r="F198" s="29"/>
      <c r="G198" s="30">
        <f>SUM(G199)+G201</f>
        <v>41016.8</v>
      </c>
      <c r="H198" s="30">
        <f>SUM(H199)</f>
        <v>30706.4</v>
      </c>
      <c r="I198" s="30">
        <f t="shared" si="5"/>
        <v>74.86298297283064</v>
      </c>
    </row>
    <row r="199" spans="1:9" ht="30.75" customHeight="1">
      <c r="A199" s="26" t="s">
        <v>14</v>
      </c>
      <c r="B199" s="27"/>
      <c r="C199" s="28" t="s">
        <v>5</v>
      </c>
      <c r="D199" s="28" t="s">
        <v>7</v>
      </c>
      <c r="E199" s="28" t="s">
        <v>15</v>
      </c>
      <c r="F199" s="29"/>
      <c r="G199" s="30">
        <f>SUM(G200)</f>
        <v>40845</v>
      </c>
      <c r="H199" s="30">
        <f>SUM(H200)+H203</f>
        <v>30706.4</v>
      </c>
      <c r="I199" s="30">
        <f t="shared" si="5"/>
        <v>75.1778675480475</v>
      </c>
    </row>
    <row r="200" spans="1:10" ht="17.25" customHeight="1">
      <c r="A200" s="131" t="s">
        <v>10</v>
      </c>
      <c r="B200" s="27"/>
      <c r="C200" s="28" t="s">
        <v>5</v>
      </c>
      <c r="D200" s="28" t="s">
        <v>7</v>
      </c>
      <c r="E200" s="28" t="s">
        <v>15</v>
      </c>
      <c r="F200" s="29" t="s">
        <v>11</v>
      </c>
      <c r="G200" s="30">
        <f>37788.4+3056.6</f>
        <v>40845</v>
      </c>
      <c r="H200" s="30">
        <v>30706.4</v>
      </c>
      <c r="I200" s="30">
        <f t="shared" si="5"/>
        <v>75.1778675480475</v>
      </c>
      <c r="J200" s="65">
        <f>SUM('[2]ведомствен.'!G333+'[2]ведомствен.'!G53)</f>
        <v>37788.4</v>
      </c>
    </row>
    <row r="201" spans="1:10" ht="22.5" customHeight="1">
      <c r="A201" s="26" t="s">
        <v>579</v>
      </c>
      <c r="B201" s="39"/>
      <c r="C201" s="40" t="s">
        <v>5</v>
      </c>
      <c r="D201" s="40" t="s">
        <v>7</v>
      </c>
      <c r="E201" s="40" t="s">
        <v>580</v>
      </c>
      <c r="F201" s="41"/>
      <c r="G201" s="42">
        <f>SUM(G202)</f>
        <v>171.8</v>
      </c>
      <c r="H201" s="30"/>
      <c r="I201" s="30"/>
      <c r="J201" s="3"/>
    </row>
    <row r="202" spans="1:10" ht="28.5" customHeight="1">
      <c r="A202" s="26" t="s">
        <v>947</v>
      </c>
      <c r="B202" s="39"/>
      <c r="C202" s="40" t="s">
        <v>5</v>
      </c>
      <c r="D202" s="40" t="s">
        <v>7</v>
      </c>
      <c r="E202" s="40" t="s">
        <v>580</v>
      </c>
      <c r="F202" s="41" t="s">
        <v>948</v>
      </c>
      <c r="G202" s="42">
        <f>177-5.2</f>
        <v>171.8</v>
      </c>
      <c r="H202" s="30"/>
      <c r="I202" s="30"/>
      <c r="J202" s="3">
        <f>SUM('[2]ведомствен.'!G865)</f>
        <v>177</v>
      </c>
    </row>
    <row r="203" spans="1:9" ht="15" customHeight="1">
      <c r="A203" s="131" t="s">
        <v>20</v>
      </c>
      <c r="B203" s="40"/>
      <c r="C203" s="40" t="s">
        <v>5</v>
      </c>
      <c r="D203" s="40" t="s">
        <v>7</v>
      </c>
      <c r="E203" s="40" t="s">
        <v>21</v>
      </c>
      <c r="F203" s="41"/>
      <c r="G203" s="42">
        <f>SUM(G205)</f>
        <v>469.8</v>
      </c>
      <c r="H203" s="30">
        <f>SUM(H204)</f>
        <v>0</v>
      </c>
      <c r="I203" s="30">
        <f t="shared" si="5"/>
        <v>0</v>
      </c>
    </row>
    <row r="204" spans="1:9" ht="42.75">
      <c r="A204" s="26" t="s">
        <v>22</v>
      </c>
      <c r="B204" s="40"/>
      <c r="C204" s="40" t="s">
        <v>5</v>
      </c>
      <c r="D204" s="40" t="s">
        <v>7</v>
      </c>
      <c r="E204" s="40" t="s">
        <v>23</v>
      </c>
      <c r="F204" s="41"/>
      <c r="G204" s="42">
        <f>SUM(G205)</f>
        <v>469.8</v>
      </c>
      <c r="H204" s="30"/>
      <c r="I204" s="30">
        <f t="shared" si="5"/>
        <v>0</v>
      </c>
    </row>
    <row r="205" spans="1:10" ht="17.25" customHeight="1">
      <c r="A205" s="26" t="s">
        <v>947</v>
      </c>
      <c r="B205" s="40"/>
      <c r="C205" s="40" t="s">
        <v>5</v>
      </c>
      <c r="D205" s="40" t="s">
        <v>7</v>
      </c>
      <c r="E205" s="40" t="s">
        <v>23</v>
      </c>
      <c r="F205" s="41" t="s">
        <v>948</v>
      </c>
      <c r="G205" s="42">
        <f>500-30.2</f>
        <v>469.8</v>
      </c>
      <c r="H205" s="30"/>
      <c r="I205" s="30"/>
      <c r="J205" s="65">
        <f>SUM('[2]ведомствен.'!G59)</f>
        <v>500</v>
      </c>
    </row>
    <row r="206" spans="1:9" s="4" customFormat="1" ht="31.5" customHeight="1" hidden="1">
      <c r="A206" s="135" t="s">
        <v>587</v>
      </c>
      <c r="B206" s="70"/>
      <c r="C206" s="67" t="s">
        <v>5</v>
      </c>
      <c r="D206" s="67" t="s">
        <v>7</v>
      </c>
      <c r="E206" s="67" t="s">
        <v>99</v>
      </c>
      <c r="F206" s="34"/>
      <c r="G206" s="50">
        <f>SUM(G207)</f>
        <v>0</v>
      </c>
      <c r="H206" s="50"/>
      <c r="I206" s="50"/>
    </row>
    <row r="207" spans="1:9" s="4" customFormat="1" ht="31.5" customHeight="1" hidden="1">
      <c r="A207" s="135" t="s">
        <v>588</v>
      </c>
      <c r="B207" s="70"/>
      <c r="C207" s="67" t="s">
        <v>871</v>
      </c>
      <c r="D207" s="67" t="s">
        <v>7</v>
      </c>
      <c r="E207" s="67" t="s">
        <v>101</v>
      </c>
      <c r="F207" s="34"/>
      <c r="G207" s="50">
        <f>SUM(G208)</f>
        <v>0</v>
      </c>
      <c r="H207" s="50"/>
      <c r="I207" s="50"/>
    </row>
    <row r="208" spans="1:9" s="4" customFormat="1" ht="27" customHeight="1" hidden="1">
      <c r="A208" s="131" t="s">
        <v>10</v>
      </c>
      <c r="B208" s="70"/>
      <c r="C208" s="67" t="s">
        <v>5</v>
      </c>
      <c r="D208" s="67" t="s">
        <v>7</v>
      </c>
      <c r="E208" s="67" t="s">
        <v>101</v>
      </c>
      <c r="F208" s="34" t="s">
        <v>11</v>
      </c>
      <c r="G208" s="50"/>
      <c r="H208" s="50"/>
      <c r="I208" s="50"/>
    </row>
    <row r="209" spans="1:10" ht="28.5" customHeight="1" hidden="1">
      <c r="A209" s="26" t="s">
        <v>24</v>
      </c>
      <c r="B209" s="40"/>
      <c r="C209" s="40" t="s">
        <v>5</v>
      </c>
      <c r="D209" s="40" t="s">
        <v>25</v>
      </c>
      <c r="E209" s="40"/>
      <c r="F209" s="41"/>
      <c r="G209" s="42">
        <f>SUM(G210)</f>
        <v>0</v>
      </c>
      <c r="H209" s="30"/>
      <c r="I209" s="30"/>
      <c r="J209" s="3"/>
    </row>
    <row r="210" spans="1:10" ht="23.25" customHeight="1" hidden="1">
      <c r="A210" s="26" t="s">
        <v>26</v>
      </c>
      <c r="B210" s="40"/>
      <c r="C210" s="40" t="s">
        <v>5</v>
      </c>
      <c r="D210" s="40" t="s">
        <v>25</v>
      </c>
      <c r="E210" s="40" t="s">
        <v>27</v>
      </c>
      <c r="F210" s="41"/>
      <c r="G210" s="42">
        <f>SUM(G211)</f>
        <v>0</v>
      </c>
      <c r="H210" s="30"/>
      <c r="I210" s="30"/>
      <c r="J210" s="3"/>
    </row>
    <row r="211" spans="1:10" ht="28.5" customHeight="1" hidden="1">
      <c r="A211" s="26" t="s">
        <v>28</v>
      </c>
      <c r="B211" s="40"/>
      <c r="C211" s="40" t="s">
        <v>5</v>
      </c>
      <c r="D211" s="40" t="s">
        <v>25</v>
      </c>
      <c r="E211" s="40" t="s">
        <v>29</v>
      </c>
      <c r="F211" s="41"/>
      <c r="G211" s="42">
        <f>SUM(G212)</f>
        <v>0</v>
      </c>
      <c r="H211" s="30"/>
      <c r="I211" s="30"/>
      <c r="J211" s="3"/>
    </row>
    <row r="212" spans="1:10" ht="28.5" customHeight="1" hidden="1">
      <c r="A212" s="26" t="s">
        <v>947</v>
      </c>
      <c r="B212" s="40"/>
      <c r="C212" s="40" t="s">
        <v>5</v>
      </c>
      <c r="D212" s="40" t="s">
        <v>25</v>
      </c>
      <c r="E212" s="40" t="s">
        <v>29</v>
      </c>
      <c r="F212" s="41" t="s">
        <v>948</v>
      </c>
      <c r="G212" s="42"/>
      <c r="H212" s="30"/>
      <c r="I212" s="30"/>
      <c r="J212" s="3">
        <f>SUM('[2]ведомствен.'!G63)</f>
        <v>0</v>
      </c>
    </row>
    <row r="213" spans="1:9" s="4" customFormat="1" ht="27" customHeight="1" hidden="1">
      <c r="A213" s="131"/>
      <c r="B213" s="70"/>
      <c r="C213" s="67"/>
      <c r="D213" s="67"/>
      <c r="E213" s="67"/>
      <c r="F213" s="34"/>
      <c r="G213" s="50"/>
      <c r="H213" s="50"/>
      <c r="I213" s="50"/>
    </row>
    <row r="214" spans="1:9" s="4" customFormat="1" ht="27" customHeight="1" hidden="1">
      <c r="A214" s="131"/>
      <c r="B214" s="70"/>
      <c r="C214" s="67"/>
      <c r="D214" s="67"/>
      <c r="E214" s="67"/>
      <c r="F214" s="34"/>
      <c r="G214" s="50"/>
      <c r="H214" s="50"/>
      <c r="I214" s="50"/>
    </row>
    <row r="215" spans="1:9" s="4" customFormat="1" ht="27" customHeight="1" hidden="1">
      <c r="A215" s="131"/>
      <c r="B215" s="70"/>
      <c r="C215" s="67"/>
      <c r="D215" s="67"/>
      <c r="E215" s="67"/>
      <c r="F215" s="34"/>
      <c r="G215" s="50"/>
      <c r="H215" s="50"/>
      <c r="I215" s="50"/>
    </row>
    <row r="216" spans="1:9" s="4" customFormat="1" ht="27" customHeight="1" hidden="1">
      <c r="A216" s="131"/>
      <c r="B216" s="70"/>
      <c r="C216" s="67"/>
      <c r="D216" s="67"/>
      <c r="E216" s="67"/>
      <c r="F216" s="34"/>
      <c r="G216" s="50"/>
      <c r="H216" s="50"/>
      <c r="I216" s="50"/>
    </row>
    <row r="217" spans="1:9" ht="14.25" customHeight="1">
      <c r="A217" s="131" t="s">
        <v>18</v>
      </c>
      <c r="B217" s="27"/>
      <c r="C217" s="28" t="s">
        <v>5</v>
      </c>
      <c r="D217" s="28" t="s">
        <v>19</v>
      </c>
      <c r="E217" s="28"/>
      <c r="F217" s="29"/>
      <c r="G217" s="30">
        <f>SUM(G221+G224+G230+G227)</f>
        <v>15752.5</v>
      </c>
      <c r="H217" s="30">
        <f>SUM(H221+H224+H230+H218)</f>
        <v>200</v>
      </c>
      <c r="I217" s="30">
        <f aca="true" t="shared" si="6" ref="I217:I280">SUM(H217/G217*100)</f>
        <v>1.2696397397238535</v>
      </c>
    </row>
    <row r="218" spans="1:9" ht="0.75" customHeight="1" hidden="1">
      <c r="A218" s="131" t="s">
        <v>51</v>
      </c>
      <c r="B218" s="28"/>
      <c r="C218" s="28" t="s">
        <v>5</v>
      </c>
      <c r="D218" s="28" t="s">
        <v>19</v>
      </c>
      <c r="E218" s="28" t="s">
        <v>52</v>
      </c>
      <c r="F218" s="29"/>
      <c r="G218" s="30">
        <f>SUM(G220)</f>
        <v>0</v>
      </c>
      <c r="H218" s="30">
        <f>SUM(H220)</f>
        <v>0</v>
      </c>
      <c r="I218" s="30" t="e">
        <f t="shared" si="6"/>
        <v>#DIV/0!</v>
      </c>
    </row>
    <row r="219" spans="1:9" ht="27" customHeight="1" hidden="1">
      <c r="A219" s="131" t="s">
        <v>53</v>
      </c>
      <c r="B219" s="28"/>
      <c r="C219" s="28" t="s">
        <v>5</v>
      </c>
      <c r="D219" s="28" t="s">
        <v>19</v>
      </c>
      <c r="E219" s="57" t="s">
        <v>54</v>
      </c>
      <c r="F219" s="29"/>
      <c r="G219" s="30">
        <f>SUM(G220)</f>
        <v>0</v>
      </c>
      <c r="H219" s="30">
        <f>SUM(H220)</f>
        <v>0</v>
      </c>
      <c r="I219" s="30" t="e">
        <f t="shared" si="6"/>
        <v>#DIV/0!</v>
      </c>
    </row>
    <row r="220" spans="1:9" ht="21" customHeight="1" hidden="1">
      <c r="A220" s="131" t="s">
        <v>41</v>
      </c>
      <c r="B220" s="28"/>
      <c r="C220" s="28" t="s">
        <v>5</v>
      </c>
      <c r="D220" s="28" t="s">
        <v>19</v>
      </c>
      <c r="E220" s="57" t="s">
        <v>54</v>
      </c>
      <c r="F220" s="29" t="s">
        <v>42</v>
      </c>
      <c r="G220" s="30"/>
      <c r="H220" s="30"/>
      <c r="I220" s="30" t="e">
        <f t="shared" si="6"/>
        <v>#DIV/0!</v>
      </c>
    </row>
    <row r="221" spans="1:9" ht="28.5" customHeight="1">
      <c r="A221" s="139" t="s">
        <v>326</v>
      </c>
      <c r="B221" s="28"/>
      <c r="C221" s="28" t="s">
        <v>5</v>
      </c>
      <c r="D221" s="28" t="s">
        <v>19</v>
      </c>
      <c r="E221" s="28" t="s">
        <v>327</v>
      </c>
      <c r="F221" s="29"/>
      <c r="G221" s="30">
        <f>SUM(G223)+G222</f>
        <v>4942.8</v>
      </c>
      <c r="H221" s="30">
        <f>SUM(H223)</f>
        <v>0</v>
      </c>
      <c r="I221" s="30">
        <f t="shared" si="6"/>
        <v>0</v>
      </c>
    </row>
    <row r="222" spans="1:10" s="43" customFormat="1" ht="21.75" customHeight="1">
      <c r="A222" s="139" t="s">
        <v>10</v>
      </c>
      <c r="B222" s="28"/>
      <c r="C222" s="28" t="s">
        <v>5</v>
      </c>
      <c r="D222" s="28" t="s">
        <v>19</v>
      </c>
      <c r="E222" s="28" t="s">
        <v>327</v>
      </c>
      <c r="F222" s="29" t="s">
        <v>11</v>
      </c>
      <c r="G222" s="30">
        <v>4843.8</v>
      </c>
      <c r="H222" s="30"/>
      <c r="I222" s="30"/>
      <c r="J222" s="43">
        <f>SUM('[2]ведомствен.'!G341)</f>
        <v>4843.8</v>
      </c>
    </row>
    <row r="223" spans="1:10" ht="18.75" customHeight="1">
      <c r="A223" s="26" t="s">
        <v>947</v>
      </c>
      <c r="B223" s="28"/>
      <c r="C223" s="28" t="s">
        <v>5</v>
      </c>
      <c r="D223" s="28" t="s">
        <v>19</v>
      </c>
      <c r="E223" s="28" t="s">
        <v>327</v>
      </c>
      <c r="F223" s="29" t="s">
        <v>948</v>
      </c>
      <c r="G223" s="30">
        <f>156.2-57.2</f>
        <v>98.99999999999999</v>
      </c>
      <c r="H223" s="30"/>
      <c r="I223" s="30">
        <f t="shared" si="6"/>
        <v>0</v>
      </c>
      <c r="J223" s="65">
        <f>SUM('[2]ведомствен.'!G342)</f>
        <v>156.19999999999982</v>
      </c>
    </row>
    <row r="224" spans="1:9" ht="28.5">
      <c r="A224" s="131" t="s">
        <v>328</v>
      </c>
      <c r="B224" s="27"/>
      <c r="C224" s="28" t="s">
        <v>5</v>
      </c>
      <c r="D224" s="28" t="s">
        <v>19</v>
      </c>
      <c r="E224" s="28" t="s">
        <v>329</v>
      </c>
      <c r="F224" s="29"/>
      <c r="G224" s="30">
        <f>SUM(G225)</f>
        <v>6782.2</v>
      </c>
      <c r="H224" s="30">
        <f>SUM(H225)</f>
        <v>200</v>
      </c>
      <c r="I224" s="30">
        <f t="shared" si="6"/>
        <v>2.948895638583351</v>
      </c>
    </row>
    <row r="225" spans="1:9" ht="18" customHeight="1">
      <c r="A225" s="131" t="s">
        <v>330</v>
      </c>
      <c r="B225" s="27"/>
      <c r="C225" s="28" t="s">
        <v>5</v>
      </c>
      <c r="D225" s="28" t="s">
        <v>19</v>
      </c>
      <c r="E225" s="28" t="s">
        <v>331</v>
      </c>
      <c r="F225" s="29"/>
      <c r="G225" s="30">
        <f>SUM(G226)</f>
        <v>6782.2</v>
      </c>
      <c r="H225" s="30">
        <f>SUM(H226)</f>
        <v>200</v>
      </c>
      <c r="I225" s="30">
        <f t="shared" si="6"/>
        <v>2.948895638583351</v>
      </c>
    </row>
    <row r="226" spans="1:10" ht="15.75" customHeight="1">
      <c r="A226" s="26" t="s">
        <v>947</v>
      </c>
      <c r="B226" s="27"/>
      <c r="C226" s="28" t="s">
        <v>5</v>
      </c>
      <c r="D226" s="28" t="s">
        <v>19</v>
      </c>
      <c r="E226" s="28" t="s">
        <v>331</v>
      </c>
      <c r="F226" s="29" t="s">
        <v>948</v>
      </c>
      <c r="G226" s="30">
        <f>7448.7-260.2-406.3</f>
        <v>6782.2</v>
      </c>
      <c r="H226" s="30">
        <v>200</v>
      </c>
      <c r="I226" s="30">
        <f t="shared" si="6"/>
        <v>2.948895638583351</v>
      </c>
      <c r="J226" s="65">
        <f>SUM('[2]ведомствен.'!G874)</f>
        <v>7448.7</v>
      </c>
    </row>
    <row r="227" spans="1:9" ht="28.5" customHeight="1">
      <c r="A227" s="26" t="s">
        <v>67</v>
      </c>
      <c r="B227" s="27"/>
      <c r="C227" s="28" t="s">
        <v>5</v>
      </c>
      <c r="D227" s="28" t="s">
        <v>19</v>
      </c>
      <c r="E227" s="28" t="s">
        <v>68</v>
      </c>
      <c r="F227" s="29"/>
      <c r="G227" s="30">
        <f>SUM(G228)</f>
        <v>800</v>
      </c>
      <c r="H227" s="30">
        <f>SUM(H229)</f>
        <v>0</v>
      </c>
      <c r="I227" s="30">
        <f t="shared" si="6"/>
        <v>0</v>
      </c>
    </row>
    <row r="228" spans="1:9" ht="66" customHeight="1">
      <c r="A228" s="26" t="s">
        <v>332</v>
      </c>
      <c r="B228" s="27"/>
      <c r="C228" s="28" t="s">
        <v>5</v>
      </c>
      <c r="D228" s="28" t="s">
        <v>19</v>
      </c>
      <c r="E228" s="28" t="s">
        <v>218</v>
      </c>
      <c r="F228" s="29"/>
      <c r="G228" s="30">
        <f>SUM(G229)</f>
        <v>800</v>
      </c>
      <c r="H228" s="30"/>
      <c r="I228" s="30"/>
    </row>
    <row r="229" spans="1:10" ht="15" customHeight="1">
      <c r="A229" s="26" t="s">
        <v>947</v>
      </c>
      <c r="B229" s="28"/>
      <c r="C229" s="28" t="s">
        <v>5</v>
      </c>
      <c r="D229" s="28" t="s">
        <v>19</v>
      </c>
      <c r="E229" s="28" t="s">
        <v>218</v>
      </c>
      <c r="F229" s="29" t="s">
        <v>948</v>
      </c>
      <c r="G229" s="30">
        <f>1600-800</f>
        <v>800</v>
      </c>
      <c r="H229" s="30"/>
      <c r="I229" s="30">
        <f t="shared" si="6"/>
        <v>0</v>
      </c>
      <c r="J229" s="65">
        <f>SUM('[2]ведомствен.'!G347)</f>
        <v>1600</v>
      </c>
    </row>
    <row r="230" spans="1:9" ht="22.5" customHeight="1">
      <c r="A230" s="131" t="s">
        <v>20</v>
      </c>
      <c r="B230" s="27"/>
      <c r="C230" s="28" t="s">
        <v>5</v>
      </c>
      <c r="D230" s="28" t="s">
        <v>19</v>
      </c>
      <c r="E230" s="28" t="s">
        <v>21</v>
      </c>
      <c r="F230" s="29"/>
      <c r="G230" s="30">
        <f>SUM(G231)</f>
        <v>3227.5</v>
      </c>
      <c r="H230" s="30">
        <f>SUM(H231)</f>
        <v>0</v>
      </c>
      <c r="I230" s="30">
        <f t="shared" si="6"/>
        <v>0</v>
      </c>
    </row>
    <row r="231" spans="1:9" ht="21.75" customHeight="1">
      <c r="A231" s="26" t="s">
        <v>947</v>
      </c>
      <c r="B231" s="27"/>
      <c r="C231" s="28" t="s">
        <v>5</v>
      </c>
      <c r="D231" s="28" t="s">
        <v>19</v>
      </c>
      <c r="E231" s="28" t="s">
        <v>21</v>
      </c>
      <c r="F231" s="29" t="s">
        <v>948</v>
      </c>
      <c r="G231" s="30">
        <f>SUM(G232)+G233</f>
        <v>3227.5</v>
      </c>
      <c r="H231" s="30">
        <f>SUM(H232)</f>
        <v>0</v>
      </c>
      <c r="I231" s="30">
        <f t="shared" si="6"/>
        <v>0</v>
      </c>
    </row>
    <row r="232" spans="1:10" ht="43.5" customHeight="1">
      <c r="A232" s="132" t="s">
        <v>333</v>
      </c>
      <c r="B232" s="27"/>
      <c r="C232" s="28" t="s">
        <v>5</v>
      </c>
      <c r="D232" s="28" t="s">
        <v>19</v>
      </c>
      <c r="E232" s="28" t="s">
        <v>334</v>
      </c>
      <c r="F232" s="29" t="s">
        <v>948</v>
      </c>
      <c r="G232" s="50">
        <f>824+5.5</f>
        <v>829.5</v>
      </c>
      <c r="H232" s="50"/>
      <c r="I232" s="30">
        <f t="shared" si="6"/>
        <v>0</v>
      </c>
      <c r="J232" s="65">
        <f>SUM('[2]ведомствен.'!G350)</f>
        <v>824</v>
      </c>
    </row>
    <row r="233" spans="1:10" ht="45" customHeight="1">
      <c r="A233" s="132" t="s">
        <v>335</v>
      </c>
      <c r="B233" s="27"/>
      <c r="C233" s="28" t="s">
        <v>5</v>
      </c>
      <c r="D233" s="28" t="s">
        <v>19</v>
      </c>
      <c r="E233" s="28" t="s">
        <v>230</v>
      </c>
      <c r="F233" s="29" t="s">
        <v>948</v>
      </c>
      <c r="G233" s="50">
        <f>2529-131</f>
        <v>2398</v>
      </c>
      <c r="H233" s="50"/>
      <c r="I233" s="30">
        <f t="shared" si="6"/>
        <v>0</v>
      </c>
      <c r="J233" s="65">
        <f>SUM('[2]ведомствен.'!G351)</f>
        <v>2529</v>
      </c>
    </row>
    <row r="234" spans="1:11" s="130" customFormat="1" ht="15.75">
      <c r="A234" s="136" t="s">
        <v>30</v>
      </c>
      <c r="B234" s="84"/>
      <c r="C234" s="137" t="s">
        <v>31</v>
      </c>
      <c r="D234" s="137"/>
      <c r="E234" s="137"/>
      <c r="F234" s="138"/>
      <c r="G234" s="38">
        <f>SUM(G235+G289+G320+G350)</f>
        <v>703186.5999999999</v>
      </c>
      <c r="H234" s="38">
        <f>SUM(H235+H289+H320+H350)</f>
        <v>127351.2</v>
      </c>
      <c r="I234" s="38">
        <f t="shared" si="6"/>
        <v>18.110584018523678</v>
      </c>
      <c r="J234" s="129"/>
      <c r="K234" s="130">
        <f>SUM('[2]ведомствен.'!G64+'[2]ведомствен.'!G352+'[2]ведомствен.'!G875)</f>
        <v>722337.3</v>
      </c>
    </row>
    <row r="235" spans="1:11" ht="15">
      <c r="A235" s="131" t="s">
        <v>32</v>
      </c>
      <c r="B235" s="27"/>
      <c r="C235" s="28" t="s">
        <v>31</v>
      </c>
      <c r="D235" s="28" t="s">
        <v>940</v>
      </c>
      <c r="E235" s="28"/>
      <c r="F235" s="29"/>
      <c r="G235" s="30">
        <f>SUM(G236+G256)</f>
        <v>123174.69999999998</v>
      </c>
      <c r="H235" s="30">
        <f>SUM(H256+H279+H248+H261+H236)</f>
        <v>24076.4</v>
      </c>
      <c r="I235" s="30">
        <f t="shared" si="6"/>
        <v>19.54654649047248</v>
      </c>
      <c r="K235" s="65">
        <f>SUM(J235:J389)</f>
        <v>722337.3</v>
      </c>
    </row>
    <row r="236" spans="1:9" ht="42.75">
      <c r="A236" s="140" t="s">
        <v>33</v>
      </c>
      <c r="B236" s="27"/>
      <c r="C236" s="28" t="s">
        <v>31</v>
      </c>
      <c r="D236" s="28" t="s">
        <v>940</v>
      </c>
      <c r="E236" s="28" t="s">
        <v>34</v>
      </c>
      <c r="F236" s="29"/>
      <c r="G236" s="30">
        <f>SUM(G237+G244)</f>
        <v>119463.29999999999</v>
      </c>
      <c r="H236" s="30">
        <f>SUM(H237+H244)</f>
        <v>23798.300000000003</v>
      </c>
      <c r="I236" s="30">
        <f t="shared" si="6"/>
        <v>19.92101339909412</v>
      </c>
    </row>
    <row r="237" spans="1:9" ht="77.25" customHeight="1">
      <c r="A237" s="140" t="s">
        <v>35</v>
      </c>
      <c r="B237" s="27"/>
      <c r="C237" s="28" t="s">
        <v>31</v>
      </c>
      <c r="D237" s="28" t="s">
        <v>940</v>
      </c>
      <c r="E237" s="28" t="s">
        <v>36</v>
      </c>
      <c r="F237" s="29"/>
      <c r="G237" s="30">
        <f>SUM(G238)+G240+G242</f>
        <v>75525.9</v>
      </c>
      <c r="H237" s="30">
        <f>SUM(H238)+H240+H242</f>
        <v>20414.4</v>
      </c>
      <c r="I237" s="30">
        <f t="shared" si="6"/>
        <v>27.029667968206937</v>
      </c>
    </row>
    <row r="238" spans="1:9" ht="61.5" customHeight="1">
      <c r="A238" s="140" t="s">
        <v>37</v>
      </c>
      <c r="B238" s="27"/>
      <c r="C238" s="28" t="s">
        <v>31</v>
      </c>
      <c r="D238" s="28" t="s">
        <v>940</v>
      </c>
      <c r="E238" s="28" t="s">
        <v>38</v>
      </c>
      <c r="F238" s="29"/>
      <c r="G238" s="30">
        <f>SUM(G239)</f>
        <v>18877.4</v>
      </c>
      <c r="H238" s="30">
        <f>SUM(H239)</f>
        <v>15652.8</v>
      </c>
      <c r="I238" s="30">
        <f t="shared" si="6"/>
        <v>82.91819848072296</v>
      </c>
    </row>
    <row r="239" spans="1:10" ht="21" customHeight="1">
      <c r="A239" s="131" t="s">
        <v>10</v>
      </c>
      <c r="B239" s="27"/>
      <c r="C239" s="28" t="s">
        <v>31</v>
      </c>
      <c r="D239" s="28" t="s">
        <v>940</v>
      </c>
      <c r="E239" s="28" t="s">
        <v>38</v>
      </c>
      <c r="F239" s="29" t="s">
        <v>11</v>
      </c>
      <c r="G239" s="30">
        <v>18877.4</v>
      </c>
      <c r="H239" s="30">
        <v>15652.8</v>
      </c>
      <c r="I239" s="30">
        <f t="shared" si="6"/>
        <v>82.91819848072296</v>
      </c>
      <c r="J239" s="65">
        <f>SUM('[2]ведомствен.'!G357)+'[2]ведомствен.'!G69</f>
        <v>18877.4</v>
      </c>
    </row>
    <row r="240" spans="1:9" ht="58.5" customHeight="1">
      <c r="A240" s="44" t="s">
        <v>39</v>
      </c>
      <c r="B240" s="45"/>
      <c r="C240" s="28" t="s">
        <v>31</v>
      </c>
      <c r="D240" s="28" t="s">
        <v>940</v>
      </c>
      <c r="E240" s="28" t="s">
        <v>40</v>
      </c>
      <c r="F240" s="29"/>
      <c r="G240" s="30">
        <f>SUM(G241)</f>
        <v>56648.5</v>
      </c>
      <c r="H240" s="30">
        <f>SUM(H241)</f>
        <v>0</v>
      </c>
      <c r="I240" s="30">
        <f t="shared" si="6"/>
        <v>0</v>
      </c>
    </row>
    <row r="241" spans="1:10" ht="21" customHeight="1">
      <c r="A241" s="46" t="s">
        <v>41</v>
      </c>
      <c r="B241" s="45"/>
      <c r="C241" s="28" t="s">
        <v>31</v>
      </c>
      <c r="D241" s="28" t="s">
        <v>940</v>
      </c>
      <c r="E241" s="28" t="s">
        <v>40</v>
      </c>
      <c r="F241" s="29" t="s">
        <v>42</v>
      </c>
      <c r="G241" s="30">
        <v>56648.5</v>
      </c>
      <c r="H241" s="30"/>
      <c r="I241" s="30">
        <f t="shared" si="6"/>
        <v>0</v>
      </c>
      <c r="J241" s="65">
        <f>SUM('[2]ведомствен.'!G359+'[2]ведомствен.'!G879)+'[2]ведомствен.'!G71</f>
        <v>56648.5</v>
      </c>
    </row>
    <row r="242" spans="1:9" ht="90.75" customHeight="1" hidden="1">
      <c r="A242" s="44" t="s">
        <v>43</v>
      </c>
      <c r="B242" s="45"/>
      <c r="C242" s="28" t="s">
        <v>31</v>
      </c>
      <c r="D242" s="28" t="s">
        <v>940</v>
      </c>
      <c r="E242" s="28" t="s">
        <v>44</v>
      </c>
      <c r="F242" s="29"/>
      <c r="G242" s="30">
        <f>SUM(G243)</f>
        <v>0</v>
      </c>
      <c r="H242" s="30">
        <f>SUM(H243)</f>
        <v>4761.6</v>
      </c>
      <c r="I242" s="30" t="e">
        <f t="shared" si="6"/>
        <v>#DIV/0!</v>
      </c>
    </row>
    <row r="243" spans="1:10" ht="21" customHeight="1" hidden="1">
      <c r="A243" s="46" t="s">
        <v>41</v>
      </c>
      <c r="B243" s="45"/>
      <c r="C243" s="28" t="s">
        <v>31</v>
      </c>
      <c r="D243" s="28" t="s">
        <v>940</v>
      </c>
      <c r="E243" s="28" t="s">
        <v>44</v>
      </c>
      <c r="F243" s="29" t="s">
        <v>42</v>
      </c>
      <c r="G243" s="30"/>
      <c r="H243" s="30">
        <v>4761.6</v>
      </c>
      <c r="I243" s="30" t="e">
        <f t="shared" si="6"/>
        <v>#DIV/0!</v>
      </c>
      <c r="J243" s="65">
        <f>SUM('[2]ведомствен.'!G361)+'[2]ведомствен.'!G73</f>
        <v>0</v>
      </c>
    </row>
    <row r="244" spans="1:9" ht="42.75">
      <c r="A244" s="141" t="s">
        <v>45</v>
      </c>
      <c r="B244" s="27"/>
      <c r="C244" s="28" t="s">
        <v>31</v>
      </c>
      <c r="D244" s="28" t="s">
        <v>940</v>
      </c>
      <c r="E244" s="28" t="s">
        <v>46</v>
      </c>
      <c r="F244" s="29"/>
      <c r="G244" s="30">
        <f>SUM(G245)+G254+G251</f>
        <v>43937.399999999994</v>
      </c>
      <c r="H244" s="30">
        <f>SUM(H245)+H254+H251</f>
        <v>3383.9</v>
      </c>
      <c r="I244" s="30">
        <f t="shared" si="6"/>
        <v>7.701639150245578</v>
      </c>
    </row>
    <row r="245" spans="1:9" ht="28.5">
      <c r="A245" s="26" t="s">
        <v>47</v>
      </c>
      <c r="B245" s="45"/>
      <c r="C245" s="28" t="s">
        <v>31</v>
      </c>
      <c r="D245" s="28" t="s">
        <v>940</v>
      </c>
      <c r="E245" s="28" t="s">
        <v>48</v>
      </c>
      <c r="F245" s="29"/>
      <c r="G245" s="30">
        <v>7647</v>
      </c>
      <c r="H245" s="30">
        <f>SUM(H246+H247)</f>
        <v>1562</v>
      </c>
      <c r="I245" s="30">
        <f t="shared" si="6"/>
        <v>20.426310971622858</v>
      </c>
    </row>
    <row r="246" spans="1:10" ht="16.5" customHeight="1">
      <c r="A246" s="142" t="s">
        <v>10</v>
      </c>
      <c r="B246" s="45"/>
      <c r="C246" s="28" t="s">
        <v>31</v>
      </c>
      <c r="D246" s="28" t="s">
        <v>940</v>
      </c>
      <c r="E246" s="28" t="s">
        <v>48</v>
      </c>
      <c r="F246" s="29" t="s">
        <v>11</v>
      </c>
      <c r="G246" s="30">
        <v>7647</v>
      </c>
      <c r="H246" s="30">
        <v>233.9</v>
      </c>
      <c r="I246" s="30">
        <f t="shared" si="6"/>
        <v>3.0587158362756637</v>
      </c>
      <c r="J246" s="65">
        <f>SUM('[2]ведомствен.'!G364)+'[2]ведомствен.'!G76</f>
        <v>7647</v>
      </c>
    </row>
    <row r="247" spans="1:10" ht="0.75" customHeight="1" hidden="1">
      <c r="A247" s="142" t="s">
        <v>49</v>
      </c>
      <c r="B247" s="45"/>
      <c r="C247" s="28" t="s">
        <v>31</v>
      </c>
      <c r="D247" s="28" t="s">
        <v>940</v>
      </c>
      <c r="E247" s="28" t="s">
        <v>48</v>
      </c>
      <c r="F247" s="29" t="s">
        <v>50</v>
      </c>
      <c r="G247" s="30"/>
      <c r="H247" s="30">
        <v>1328.1</v>
      </c>
      <c r="I247" s="30" t="e">
        <f t="shared" si="6"/>
        <v>#DIV/0!</v>
      </c>
      <c r="J247" s="65">
        <f>SUM('[2]ведомствен.'!G365)+'[2]ведомствен.'!G77</f>
        <v>0</v>
      </c>
    </row>
    <row r="248" spans="1:9" ht="28.5" customHeight="1" hidden="1">
      <c r="A248" s="131" t="s">
        <v>51</v>
      </c>
      <c r="B248" s="27"/>
      <c r="C248" s="28" t="s">
        <v>31</v>
      </c>
      <c r="D248" s="28" t="s">
        <v>940</v>
      </c>
      <c r="E248" s="28" t="s">
        <v>52</v>
      </c>
      <c r="F248" s="29"/>
      <c r="G248" s="30">
        <f>SUM(G249)</f>
        <v>0</v>
      </c>
      <c r="H248" s="30">
        <f>SUM(H249)</f>
        <v>0</v>
      </c>
      <c r="I248" s="30" t="e">
        <f t="shared" si="6"/>
        <v>#DIV/0!</v>
      </c>
    </row>
    <row r="249" spans="1:9" ht="32.25" customHeight="1" hidden="1">
      <c r="A249" s="131" t="s">
        <v>53</v>
      </c>
      <c r="B249" s="27"/>
      <c r="C249" s="28" t="s">
        <v>31</v>
      </c>
      <c r="D249" s="28" t="s">
        <v>940</v>
      </c>
      <c r="E249" s="28" t="s">
        <v>54</v>
      </c>
      <c r="F249" s="29"/>
      <c r="G249" s="30">
        <f>SUM(G250)</f>
        <v>0</v>
      </c>
      <c r="H249" s="30">
        <f>SUM(H250)</f>
        <v>0</v>
      </c>
      <c r="I249" s="30" t="e">
        <f t="shared" si="6"/>
        <v>#DIV/0!</v>
      </c>
    </row>
    <row r="250" spans="1:9" ht="17.25" customHeight="1" hidden="1">
      <c r="A250" s="131" t="s">
        <v>41</v>
      </c>
      <c r="B250" s="27"/>
      <c r="C250" s="28" t="s">
        <v>31</v>
      </c>
      <c r="D250" s="28" t="s">
        <v>940</v>
      </c>
      <c r="E250" s="28" t="s">
        <v>54</v>
      </c>
      <c r="F250" s="29" t="s">
        <v>42</v>
      </c>
      <c r="G250" s="30"/>
      <c r="H250" s="30"/>
      <c r="I250" s="30" t="e">
        <f t="shared" si="6"/>
        <v>#DIV/0!</v>
      </c>
    </row>
    <row r="251" spans="1:9" ht="29.25" customHeight="1">
      <c r="A251" s="131" t="s">
        <v>55</v>
      </c>
      <c r="B251" s="27"/>
      <c r="C251" s="28" t="s">
        <v>31</v>
      </c>
      <c r="D251" s="28" t="s">
        <v>940</v>
      </c>
      <c r="E251" s="28" t="s">
        <v>56</v>
      </c>
      <c r="F251" s="29"/>
      <c r="G251" s="30">
        <f>SUM(G252+G253)</f>
        <v>23346.8</v>
      </c>
      <c r="H251" s="30">
        <f>SUM(H252+H253)</f>
        <v>0</v>
      </c>
      <c r="I251" s="30">
        <f t="shared" si="6"/>
        <v>0</v>
      </c>
    </row>
    <row r="252" spans="1:10" ht="16.5" customHeight="1">
      <c r="A252" s="46" t="s">
        <v>41</v>
      </c>
      <c r="B252" s="27"/>
      <c r="C252" s="28" t="s">
        <v>31</v>
      </c>
      <c r="D252" s="28" t="s">
        <v>940</v>
      </c>
      <c r="E252" s="28" t="s">
        <v>56</v>
      </c>
      <c r="F252" s="29" t="s">
        <v>42</v>
      </c>
      <c r="G252" s="30">
        <v>23346.8</v>
      </c>
      <c r="H252" s="30"/>
      <c r="I252" s="30">
        <f t="shared" si="6"/>
        <v>0</v>
      </c>
      <c r="J252" s="65">
        <f>SUM('[2]ведомствен.'!G370+'[2]ведомствен.'!G883)+'[2]ведомствен.'!G82</f>
        <v>23346.8</v>
      </c>
    </row>
    <row r="253" spans="1:10" ht="29.25" customHeight="1" hidden="1">
      <c r="A253" s="46" t="s">
        <v>57</v>
      </c>
      <c r="B253" s="27"/>
      <c r="C253" s="28" t="s">
        <v>31</v>
      </c>
      <c r="D253" s="28" t="s">
        <v>940</v>
      </c>
      <c r="E253" s="28" t="s">
        <v>56</v>
      </c>
      <c r="F253" s="29" t="s">
        <v>58</v>
      </c>
      <c r="G253" s="30"/>
      <c r="H253" s="30"/>
      <c r="I253" s="30" t="e">
        <f t="shared" si="6"/>
        <v>#DIV/0!</v>
      </c>
      <c r="J253" s="65">
        <f>SUM('[2]ведомствен.'!G371+'[2]ведомствен.'!G884)+'[2]ведомствен.'!G83</f>
        <v>0</v>
      </c>
    </row>
    <row r="254" spans="1:9" ht="59.25" customHeight="1">
      <c r="A254" s="131" t="s">
        <v>59</v>
      </c>
      <c r="B254" s="27"/>
      <c r="C254" s="28" t="s">
        <v>31</v>
      </c>
      <c r="D254" s="28" t="s">
        <v>940</v>
      </c>
      <c r="E254" s="28" t="s">
        <v>60</v>
      </c>
      <c r="F254" s="29"/>
      <c r="G254" s="30">
        <f>SUM(G255)</f>
        <v>12943.6</v>
      </c>
      <c r="H254" s="30">
        <f>SUM(H255)</f>
        <v>1821.9</v>
      </c>
      <c r="I254" s="30">
        <f t="shared" si="6"/>
        <v>14.075682190426155</v>
      </c>
    </row>
    <row r="255" spans="1:10" ht="16.5" customHeight="1">
      <c r="A255" s="46" t="s">
        <v>41</v>
      </c>
      <c r="B255" s="27"/>
      <c r="C255" s="28" t="s">
        <v>31</v>
      </c>
      <c r="D255" s="28" t="s">
        <v>940</v>
      </c>
      <c r="E255" s="28" t="s">
        <v>60</v>
      </c>
      <c r="F255" s="29" t="s">
        <v>42</v>
      </c>
      <c r="G255" s="30">
        <f>12944-0.4</f>
        <v>12943.6</v>
      </c>
      <c r="H255" s="30">
        <v>1821.9</v>
      </c>
      <c r="I255" s="30">
        <f t="shared" si="6"/>
        <v>14.075682190426155</v>
      </c>
      <c r="J255" s="65">
        <f>SUM('[2]ведомствен.'!G373+'[2]ведомствен.'!G85)</f>
        <v>12944</v>
      </c>
    </row>
    <row r="256" spans="1:9" ht="14.25" customHeight="1">
      <c r="A256" s="131" t="s">
        <v>61</v>
      </c>
      <c r="B256" s="27"/>
      <c r="C256" s="28" t="s">
        <v>31</v>
      </c>
      <c r="D256" s="28" t="s">
        <v>940</v>
      </c>
      <c r="E256" s="28" t="s">
        <v>62</v>
      </c>
      <c r="F256" s="29"/>
      <c r="G256" s="30">
        <f>SUM(G277,G275)</f>
        <v>3711.4000000000005</v>
      </c>
      <c r="H256" s="30">
        <f>SUM(H257+H259)</f>
        <v>0</v>
      </c>
      <c r="I256" s="30">
        <f t="shared" si="6"/>
        <v>0</v>
      </c>
    </row>
    <row r="257" spans="1:9" ht="44.25" customHeight="1" hidden="1">
      <c r="A257" s="135" t="s">
        <v>63</v>
      </c>
      <c r="B257" s="27"/>
      <c r="C257" s="28" t="s">
        <v>31</v>
      </c>
      <c r="D257" s="28" t="s">
        <v>940</v>
      </c>
      <c r="E257" s="28" t="s">
        <v>64</v>
      </c>
      <c r="F257" s="29"/>
      <c r="G257" s="30">
        <f>SUM(G258)</f>
        <v>0</v>
      </c>
      <c r="H257" s="30">
        <f>SUM(H258)</f>
        <v>0</v>
      </c>
      <c r="I257" s="30" t="e">
        <f t="shared" si="6"/>
        <v>#DIV/0!</v>
      </c>
    </row>
    <row r="258" spans="1:9" ht="15.75" customHeight="1" hidden="1">
      <c r="A258" s="131" t="s">
        <v>10</v>
      </c>
      <c r="B258" s="27"/>
      <c r="C258" s="28" t="s">
        <v>31</v>
      </c>
      <c r="D258" s="28" t="s">
        <v>940</v>
      </c>
      <c r="E258" s="28" t="s">
        <v>64</v>
      </c>
      <c r="F258" s="29" t="s">
        <v>11</v>
      </c>
      <c r="G258" s="30"/>
      <c r="H258" s="30"/>
      <c r="I258" s="30" t="e">
        <f t="shared" si="6"/>
        <v>#DIV/0!</v>
      </c>
    </row>
    <row r="259" spans="1:9" ht="28.5" customHeight="1" hidden="1">
      <c r="A259" s="135" t="s">
        <v>65</v>
      </c>
      <c r="B259" s="27"/>
      <c r="C259" s="28" t="s">
        <v>31</v>
      </c>
      <c r="D259" s="28" t="s">
        <v>940</v>
      </c>
      <c r="E259" s="28" t="s">
        <v>66</v>
      </c>
      <c r="F259" s="29"/>
      <c r="G259" s="30">
        <f>SUM(G260)</f>
        <v>0</v>
      </c>
      <c r="H259" s="30">
        <f>SUM(H260)</f>
        <v>0</v>
      </c>
      <c r="I259" s="30" t="e">
        <f t="shared" si="6"/>
        <v>#DIV/0!</v>
      </c>
    </row>
    <row r="260" spans="1:10" s="59" customFormat="1" ht="16.5" customHeight="1" hidden="1">
      <c r="A260" s="26" t="s">
        <v>947</v>
      </c>
      <c r="B260" s="48"/>
      <c r="C260" s="28" t="s">
        <v>31</v>
      </c>
      <c r="D260" s="28" t="s">
        <v>940</v>
      </c>
      <c r="E260" s="28" t="s">
        <v>66</v>
      </c>
      <c r="F260" s="56" t="s">
        <v>948</v>
      </c>
      <c r="G260" s="50"/>
      <c r="H260" s="50"/>
      <c r="I260" s="30" t="e">
        <f t="shared" si="6"/>
        <v>#DIV/0!</v>
      </c>
      <c r="J260" s="143"/>
    </row>
    <row r="261" spans="1:10" s="43" customFormat="1" ht="18.75" customHeight="1" hidden="1">
      <c r="A261" s="135" t="s">
        <v>67</v>
      </c>
      <c r="B261" s="51"/>
      <c r="C261" s="51" t="s">
        <v>31</v>
      </c>
      <c r="D261" s="51" t="s">
        <v>940</v>
      </c>
      <c r="E261" s="51" t="s">
        <v>68</v>
      </c>
      <c r="F261" s="53"/>
      <c r="G261" s="54">
        <f>SUM(G264)+G269+G262</f>
        <v>0</v>
      </c>
      <c r="H261" s="54">
        <f>SUM(H264)+H269+H262</f>
        <v>0</v>
      </c>
      <c r="I261" s="30" t="e">
        <f t="shared" si="6"/>
        <v>#DIV/0!</v>
      </c>
      <c r="J261" s="144"/>
    </row>
    <row r="262" spans="1:10" s="43" customFormat="1" ht="39.75" customHeight="1" hidden="1">
      <c r="A262" s="135" t="s">
        <v>69</v>
      </c>
      <c r="B262" s="51"/>
      <c r="C262" s="52" t="s">
        <v>31</v>
      </c>
      <c r="D262" s="52" t="s">
        <v>940</v>
      </c>
      <c r="E262" s="52" t="s">
        <v>70</v>
      </c>
      <c r="F262" s="53"/>
      <c r="G262" s="54">
        <f>SUM(G263)</f>
        <v>0</v>
      </c>
      <c r="H262" s="54">
        <f>SUM(H263)</f>
        <v>0</v>
      </c>
      <c r="I262" s="30" t="e">
        <f t="shared" si="6"/>
        <v>#DIV/0!</v>
      </c>
      <c r="J262" s="144"/>
    </row>
    <row r="263" spans="1:10" s="43" customFormat="1" ht="18.75" customHeight="1" hidden="1">
      <c r="A263" s="135" t="s">
        <v>41</v>
      </c>
      <c r="B263" s="51"/>
      <c r="C263" s="52" t="s">
        <v>31</v>
      </c>
      <c r="D263" s="52" t="s">
        <v>940</v>
      </c>
      <c r="E263" s="52" t="s">
        <v>70</v>
      </c>
      <c r="F263" s="53" t="s">
        <v>42</v>
      </c>
      <c r="G263" s="54"/>
      <c r="H263" s="54"/>
      <c r="I263" s="30" t="e">
        <f t="shared" si="6"/>
        <v>#DIV/0!</v>
      </c>
      <c r="J263" s="144"/>
    </row>
    <row r="264" spans="1:10" s="43" customFormat="1" ht="45" customHeight="1" hidden="1">
      <c r="A264" s="131" t="s">
        <v>71</v>
      </c>
      <c r="B264" s="51"/>
      <c r="C264" s="52" t="s">
        <v>31</v>
      </c>
      <c r="D264" s="52" t="s">
        <v>940</v>
      </c>
      <c r="E264" s="52" t="s">
        <v>72</v>
      </c>
      <c r="F264" s="53"/>
      <c r="G264" s="54">
        <f>SUM(G265+G267)</f>
        <v>0</v>
      </c>
      <c r="H264" s="54">
        <f>SUM(H265+H267)</f>
        <v>0</v>
      </c>
      <c r="I264" s="30" t="e">
        <f t="shared" si="6"/>
        <v>#DIV/0!</v>
      </c>
      <c r="J264" s="144"/>
    </row>
    <row r="265" spans="1:10" s="43" customFormat="1" ht="49.5" customHeight="1" hidden="1">
      <c r="A265" s="135" t="s">
        <v>73</v>
      </c>
      <c r="B265" s="55"/>
      <c r="C265" s="52" t="s">
        <v>31</v>
      </c>
      <c r="D265" s="52" t="s">
        <v>940</v>
      </c>
      <c r="E265" s="52" t="s">
        <v>74</v>
      </c>
      <c r="F265" s="53"/>
      <c r="G265" s="54">
        <f>SUM(G266)</f>
        <v>0</v>
      </c>
      <c r="H265" s="54">
        <f>SUM(H266)</f>
        <v>0</v>
      </c>
      <c r="I265" s="30" t="e">
        <f t="shared" si="6"/>
        <v>#DIV/0!</v>
      </c>
      <c r="J265" s="144"/>
    </row>
    <row r="266" spans="1:10" s="43" customFormat="1" ht="15" customHeight="1" hidden="1">
      <c r="A266" s="131" t="s">
        <v>41</v>
      </c>
      <c r="B266" s="51"/>
      <c r="C266" s="52" t="s">
        <v>31</v>
      </c>
      <c r="D266" s="52" t="s">
        <v>940</v>
      </c>
      <c r="E266" s="52" t="s">
        <v>74</v>
      </c>
      <c r="F266" s="56" t="s">
        <v>42</v>
      </c>
      <c r="G266" s="30">
        <v>0</v>
      </c>
      <c r="H266" s="30">
        <v>0</v>
      </c>
      <c r="I266" s="30" t="e">
        <f t="shared" si="6"/>
        <v>#DIV/0!</v>
      </c>
      <c r="J266" s="144"/>
    </row>
    <row r="267" spans="1:10" s="43" customFormat="1" ht="18" customHeight="1" hidden="1">
      <c r="A267" s="131" t="s">
        <v>75</v>
      </c>
      <c r="B267" s="51"/>
      <c r="C267" s="52" t="s">
        <v>31</v>
      </c>
      <c r="D267" s="52" t="s">
        <v>940</v>
      </c>
      <c r="E267" s="52" t="s">
        <v>76</v>
      </c>
      <c r="F267" s="56"/>
      <c r="G267" s="30">
        <f>SUM(G268)</f>
        <v>0</v>
      </c>
      <c r="H267" s="30">
        <f>SUM(H268)</f>
        <v>0</v>
      </c>
      <c r="I267" s="30" t="e">
        <f t="shared" si="6"/>
        <v>#DIV/0!</v>
      </c>
      <c r="J267" s="144"/>
    </row>
    <row r="268" spans="1:10" s="43" customFormat="1" ht="14.25" customHeight="1" hidden="1">
      <c r="A268" s="26" t="s">
        <v>947</v>
      </c>
      <c r="B268" s="48"/>
      <c r="C268" s="28" t="s">
        <v>31</v>
      </c>
      <c r="D268" s="28" t="s">
        <v>940</v>
      </c>
      <c r="E268" s="52" t="s">
        <v>76</v>
      </c>
      <c r="F268" s="56" t="s">
        <v>948</v>
      </c>
      <c r="G268" s="30">
        <f>SUM('[1]Ведомств.'!F180)</f>
        <v>0</v>
      </c>
      <c r="H268" s="30">
        <f>SUM('[1]Ведомств.'!G180)</f>
        <v>0</v>
      </c>
      <c r="I268" s="30" t="e">
        <f t="shared" si="6"/>
        <v>#DIV/0!</v>
      </c>
      <c r="J268" s="144"/>
    </row>
    <row r="269" spans="1:10" s="43" customFormat="1" ht="28.5" customHeight="1" hidden="1">
      <c r="A269" s="26" t="s">
        <v>77</v>
      </c>
      <c r="B269" s="48"/>
      <c r="C269" s="28" t="s">
        <v>31</v>
      </c>
      <c r="D269" s="28" t="s">
        <v>940</v>
      </c>
      <c r="E269" s="57" t="s">
        <v>78</v>
      </c>
      <c r="F269" s="56"/>
      <c r="G269" s="30">
        <f>SUM(G270)+G272</f>
        <v>0</v>
      </c>
      <c r="H269" s="30">
        <f>SUM(H270)+H272</f>
        <v>0</v>
      </c>
      <c r="I269" s="30" t="e">
        <f t="shared" si="6"/>
        <v>#DIV/0!</v>
      </c>
      <c r="J269" s="144"/>
    </row>
    <row r="270" spans="1:10" s="43" customFormat="1" ht="42.75" customHeight="1" hidden="1">
      <c r="A270" s="26" t="s">
        <v>79</v>
      </c>
      <c r="B270" s="48"/>
      <c r="C270" s="28" t="s">
        <v>31</v>
      </c>
      <c r="D270" s="28" t="s">
        <v>940</v>
      </c>
      <c r="E270" s="57" t="s">
        <v>80</v>
      </c>
      <c r="F270" s="56"/>
      <c r="G270" s="30">
        <f>SUM(G271)</f>
        <v>0</v>
      </c>
      <c r="H270" s="30">
        <f>SUM(H271)</f>
        <v>0</v>
      </c>
      <c r="I270" s="30" t="e">
        <f t="shared" si="6"/>
        <v>#DIV/0!</v>
      </c>
      <c r="J270" s="144"/>
    </row>
    <row r="271" spans="1:10" s="43" customFormat="1" ht="15" customHeight="1" hidden="1">
      <c r="A271" s="131" t="s">
        <v>10</v>
      </c>
      <c r="B271" s="48"/>
      <c r="C271" s="28" t="s">
        <v>31</v>
      </c>
      <c r="D271" s="28" t="s">
        <v>940</v>
      </c>
      <c r="E271" s="52" t="s">
        <v>80</v>
      </c>
      <c r="F271" s="56" t="s">
        <v>11</v>
      </c>
      <c r="G271" s="30"/>
      <c r="H271" s="30"/>
      <c r="I271" s="30" t="e">
        <f t="shared" si="6"/>
        <v>#DIV/0!</v>
      </c>
      <c r="J271" s="144"/>
    </row>
    <row r="272" spans="1:10" s="43" customFormat="1" ht="42.75" customHeight="1" hidden="1">
      <c r="A272" s="26" t="s">
        <v>81</v>
      </c>
      <c r="B272" s="48"/>
      <c r="C272" s="28" t="s">
        <v>31</v>
      </c>
      <c r="D272" s="28" t="s">
        <v>940</v>
      </c>
      <c r="E272" s="57" t="s">
        <v>82</v>
      </c>
      <c r="F272" s="56"/>
      <c r="G272" s="30">
        <f>SUM(G273)</f>
        <v>0</v>
      </c>
      <c r="H272" s="30">
        <f>SUM(H273)</f>
        <v>0</v>
      </c>
      <c r="I272" s="30" t="e">
        <f t="shared" si="6"/>
        <v>#DIV/0!</v>
      </c>
      <c r="J272" s="144"/>
    </row>
    <row r="273" spans="1:10" s="43" customFormat="1" ht="15" customHeight="1" hidden="1">
      <c r="A273" s="131" t="s">
        <v>10</v>
      </c>
      <c r="B273" s="48"/>
      <c r="C273" s="28" t="s">
        <v>31</v>
      </c>
      <c r="D273" s="28" t="s">
        <v>940</v>
      </c>
      <c r="E273" s="52" t="s">
        <v>82</v>
      </c>
      <c r="F273" s="56" t="s">
        <v>11</v>
      </c>
      <c r="G273" s="30"/>
      <c r="H273" s="30"/>
      <c r="I273" s="30" t="e">
        <f t="shared" si="6"/>
        <v>#DIV/0!</v>
      </c>
      <c r="J273" s="144"/>
    </row>
    <row r="274" spans="1:10" ht="21.75" customHeight="1" hidden="1">
      <c r="A274" s="131" t="s">
        <v>61</v>
      </c>
      <c r="B274" s="48"/>
      <c r="C274" s="28" t="s">
        <v>31</v>
      </c>
      <c r="D274" s="28" t="s">
        <v>940</v>
      </c>
      <c r="E274" s="52" t="s">
        <v>62</v>
      </c>
      <c r="F274" s="56"/>
      <c r="G274" s="30">
        <f>SUM(G275)</f>
        <v>27</v>
      </c>
      <c r="H274" s="30"/>
      <c r="I274" s="30"/>
      <c r="J274" s="3"/>
    </row>
    <row r="275" spans="1:10" ht="15">
      <c r="A275" s="131" t="s">
        <v>574</v>
      </c>
      <c r="B275" s="48"/>
      <c r="C275" s="28" t="s">
        <v>31</v>
      </c>
      <c r="D275" s="28" t="s">
        <v>940</v>
      </c>
      <c r="E275" s="57" t="s">
        <v>569</v>
      </c>
      <c r="F275" s="56"/>
      <c r="G275" s="30">
        <f>SUM(G276)</f>
        <v>27</v>
      </c>
      <c r="H275" s="30"/>
      <c r="I275" s="30"/>
      <c r="J275" s="3"/>
    </row>
    <row r="276" spans="1:10" ht="15">
      <c r="A276" s="131" t="s">
        <v>947</v>
      </c>
      <c r="B276" s="48"/>
      <c r="C276" s="28" t="s">
        <v>31</v>
      </c>
      <c r="D276" s="28" t="s">
        <v>940</v>
      </c>
      <c r="E276" s="57" t="s">
        <v>66</v>
      </c>
      <c r="F276" s="49" t="s">
        <v>948</v>
      </c>
      <c r="G276" s="30">
        <f>22+5</f>
        <v>27</v>
      </c>
      <c r="H276" s="30"/>
      <c r="I276" s="30"/>
      <c r="J276" s="3">
        <f>SUM('[2]ведомствен.'!G395+'[2]ведомствен.'!G107)</f>
        <v>0</v>
      </c>
    </row>
    <row r="277" spans="1:10" ht="15">
      <c r="A277" s="46" t="s">
        <v>585</v>
      </c>
      <c r="B277" s="27"/>
      <c r="C277" s="28" t="s">
        <v>31</v>
      </c>
      <c r="D277" s="28" t="s">
        <v>940</v>
      </c>
      <c r="E277" s="28" t="s">
        <v>586</v>
      </c>
      <c r="F277" s="29"/>
      <c r="G277" s="50">
        <f>SUM(G278)</f>
        <v>3684.4000000000005</v>
      </c>
      <c r="H277" s="30"/>
      <c r="I277" s="30"/>
      <c r="J277" s="3"/>
    </row>
    <row r="278" spans="1:10" ht="15">
      <c r="A278" s="46" t="s">
        <v>41</v>
      </c>
      <c r="B278" s="27"/>
      <c r="C278" s="28" t="s">
        <v>31</v>
      </c>
      <c r="D278" s="28" t="s">
        <v>940</v>
      </c>
      <c r="E278" s="28" t="s">
        <v>586</v>
      </c>
      <c r="F278" s="29" t="s">
        <v>42</v>
      </c>
      <c r="G278" s="50">
        <f>5221.6-1537.2</f>
        <v>3684.4000000000005</v>
      </c>
      <c r="H278" s="30"/>
      <c r="I278" s="30"/>
      <c r="J278" s="3">
        <f>SUM('[2]ведомствен.'!G886)</f>
        <v>5221.6</v>
      </c>
    </row>
    <row r="279" spans="1:10" s="43" customFormat="1" ht="13.5" customHeight="1" hidden="1">
      <c r="A279" s="46" t="s">
        <v>20</v>
      </c>
      <c r="B279" s="51"/>
      <c r="C279" s="51" t="s">
        <v>31</v>
      </c>
      <c r="D279" s="51" t="s">
        <v>940</v>
      </c>
      <c r="E279" s="51" t="s">
        <v>21</v>
      </c>
      <c r="F279" s="56"/>
      <c r="G279" s="30">
        <f>SUM(G280+G283)+G287</f>
        <v>0</v>
      </c>
      <c r="H279" s="30">
        <f>SUM(H280+H283)+H287</f>
        <v>278.1</v>
      </c>
      <c r="I279" s="30" t="e">
        <f t="shared" si="6"/>
        <v>#DIV/0!</v>
      </c>
      <c r="J279" s="144"/>
    </row>
    <row r="280" spans="1:10" s="43" customFormat="1" ht="21" customHeight="1" hidden="1">
      <c r="A280" s="26" t="s">
        <v>947</v>
      </c>
      <c r="B280" s="51"/>
      <c r="C280" s="51" t="s">
        <v>31</v>
      </c>
      <c r="D280" s="51" t="s">
        <v>940</v>
      </c>
      <c r="E280" s="51" t="s">
        <v>21</v>
      </c>
      <c r="F280" s="56" t="s">
        <v>948</v>
      </c>
      <c r="G280" s="58">
        <f>SUM(G281:G282)</f>
        <v>0</v>
      </c>
      <c r="H280" s="58">
        <f>SUM(H281:H282)</f>
        <v>0</v>
      </c>
      <c r="I280" s="30" t="e">
        <f t="shared" si="6"/>
        <v>#DIV/0!</v>
      </c>
      <c r="J280" s="144"/>
    </row>
    <row r="281" spans="1:10" s="43" customFormat="1" ht="15.75" customHeight="1" hidden="1">
      <c r="A281" s="46" t="s">
        <v>84</v>
      </c>
      <c r="B281" s="51"/>
      <c r="C281" s="51" t="s">
        <v>31</v>
      </c>
      <c r="D281" s="51" t="s">
        <v>940</v>
      </c>
      <c r="E281" s="51" t="s">
        <v>85</v>
      </c>
      <c r="F281" s="56" t="s">
        <v>948</v>
      </c>
      <c r="G281" s="58">
        <f>SUM('[1]Ведомств.'!F188)</f>
        <v>0</v>
      </c>
      <c r="H281" s="58">
        <f>SUM('[1]Ведомств.'!G188)</f>
        <v>0</v>
      </c>
      <c r="I281" s="30" t="e">
        <f aca="true" t="shared" si="7" ref="I281:I344">SUM(H281/G281*100)</f>
        <v>#DIV/0!</v>
      </c>
      <c r="J281" s="144"/>
    </row>
    <row r="282" spans="1:10" s="43" customFormat="1" ht="15.75" customHeight="1" hidden="1">
      <c r="A282" s="46" t="s">
        <v>86</v>
      </c>
      <c r="B282" s="51"/>
      <c r="C282" s="51" t="s">
        <v>31</v>
      </c>
      <c r="D282" s="51" t="s">
        <v>940</v>
      </c>
      <c r="E282" s="51" t="s">
        <v>87</v>
      </c>
      <c r="F282" s="56" t="s">
        <v>948</v>
      </c>
      <c r="G282" s="58"/>
      <c r="H282" s="58"/>
      <c r="I282" s="30" t="e">
        <f t="shared" si="7"/>
        <v>#DIV/0!</v>
      </c>
      <c r="J282" s="144"/>
    </row>
    <row r="283" spans="1:10" s="43" customFormat="1" ht="15" hidden="1">
      <c r="A283" s="46" t="s">
        <v>41</v>
      </c>
      <c r="B283" s="51"/>
      <c r="C283" s="51" t="s">
        <v>31</v>
      </c>
      <c r="D283" s="51" t="s">
        <v>940</v>
      </c>
      <c r="E283" s="51" t="s">
        <v>21</v>
      </c>
      <c r="F283" s="56" t="s">
        <v>42</v>
      </c>
      <c r="G283" s="50">
        <f>SUM(G285)</f>
        <v>0</v>
      </c>
      <c r="H283" s="50">
        <f>SUM(H285)</f>
        <v>167.7</v>
      </c>
      <c r="I283" s="30" t="e">
        <f t="shared" si="7"/>
        <v>#DIV/0!</v>
      </c>
      <c r="J283" s="65"/>
    </row>
    <row r="284" spans="1:10" s="43" customFormat="1" ht="28.5" customHeight="1" hidden="1">
      <c r="A284" s="131" t="s">
        <v>88</v>
      </c>
      <c r="B284" s="51"/>
      <c r="C284" s="57" t="s">
        <v>31</v>
      </c>
      <c r="D284" s="57" t="s">
        <v>940</v>
      </c>
      <c r="E284" s="57" t="s">
        <v>89</v>
      </c>
      <c r="F284" s="49" t="s">
        <v>42</v>
      </c>
      <c r="G284" s="30">
        <f>SUM(G285)</f>
        <v>0</v>
      </c>
      <c r="H284" s="30">
        <f>SUM(H285)</f>
        <v>167.7</v>
      </c>
      <c r="I284" s="30" t="e">
        <f t="shared" si="7"/>
        <v>#DIV/0!</v>
      </c>
      <c r="J284" s="144"/>
    </row>
    <row r="285" spans="1:10" s="43" customFormat="1" ht="42" customHeight="1" hidden="1">
      <c r="A285" s="135" t="s">
        <v>73</v>
      </c>
      <c r="B285" s="51"/>
      <c r="C285" s="57" t="s">
        <v>31</v>
      </c>
      <c r="D285" s="57" t="s">
        <v>940</v>
      </c>
      <c r="E285" s="57" t="s">
        <v>90</v>
      </c>
      <c r="F285" s="49" t="s">
        <v>42</v>
      </c>
      <c r="G285" s="30"/>
      <c r="H285" s="30">
        <v>167.7</v>
      </c>
      <c r="I285" s="30" t="e">
        <f t="shared" si="7"/>
        <v>#DIV/0!</v>
      </c>
      <c r="J285" s="65">
        <f>SUM('[2]ведомствен.'!G401)+'[2]ведомствен.'!G114</f>
        <v>0</v>
      </c>
    </row>
    <row r="286" spans="1:10" s="43" customFormat="1" ht="14.25" customHeight="1" hidden="1">
      <c r="A286" s="142" t="s">
        <v>872</v>
      </c>
      <c r="B286" s="51"/>
      <c r="C286" s="51" t="s">
        <v>31</v>
      </c>
      <c r="D286" s="51" t="s">
        <v>940</v>
      </c>
      <c r="E286" s="51" t="s">
        <v>21</v>
      </c>
      <c r="F286" s="56" t="s">
        <v>873</v>
      </c>
      <c r="G286" s="145"/>
      <c r="H286" s="145"/>
      <c r="I286" s="30" t="e">
        <f t="shared" si="7"/>
        <v>#DIV/0!</v>
      </c>
      <c r="J286" s="144"/>
    </row>
    <row r="287" spans="1:10" s="43" customFormat="1" ht="32.25" customHeight="1" hidden="1">
      <c r="A287" s="142" t="s">
        <v>91</v>
      </c>
      <c r="B287" s="51"/>
      <c r="C287" s="57" t="s">
        <v>31</v>
      </c>
      <c r="D287" s="57" t="s">
        <v>940</v>
      </c>
      <c r="E287" s="57" t="s">
        <v>92</v>
      </c>
      <c r="F287" s="49"/>
      <c r="G287" s="30">
        <f>SUM(G288)</f>
        <v>0</v>
      </c>
      <c r="H287" s="30">
        <f>SUM(H288)</f>
        <v>110.4</v>
      </c>
      <c r="I287" s="30" t="e">
        <f t="shared" si="7"/>
        <v>#DIV/0!</v>
      </c>
      <c r="J287" s="144"/>
    </row>
    <row r="288" spans="1:10" s="43" customFormat="1" ht="22.5" customHeight="1" hidden="1">
      <c r="A288" s="46" t="s">
        <v>41</v>
      </c>
      <c r="B288" s="51"/>
      <c r="C288" s="57" t="s">
        <v>31</v>
      </c>
      <c r="D288" s="57" t="s">
        <v>940</v>
      </c>
      <c r="E288" s="57" t="s">
        <v>92</v>
      </c>
      <c r="F288" s="49" t="s">
        <v>42</v>
      </c>
      <c r="G288" s="30"/>
      <c r="H288" s="30">
        <v>110.4</v>
      </c>
      <c r="I288" s="30" t="e">
        <f t="shared" si="7"/>
        <v>#DIV/0!</v>
      </c>
      <c r="J288" s="65">
        <f>SUM('[2]ведомствен.'!G405)+'[2]ведомствен.'!G116</f>
        <v>0</v>
      </c>
    </row>
    <row r="289" spans="1:9" ht="20.25" customHeight="1">
      <c r="A289" s="131" t="s">
        <v>93</v>
      </c>
      <c r="B289" s="27"/>
      <c r="C289" s="28" t="s">
        <v>31</v>
      </c>
      <c r="D289" s="28" t="s">
        <v>942</v>
      </c>
      <c r="E289" s="28"/>
      <c r="F289" s="29"/>
      <c r="G289" s="30">
        <f>SUM(G297+G309)+G292+G305+G294+G317</f>
        <v>49834.4</v>
      </c>
      <c r="H289" s="30">
        <f>SUM(H297+H309)+H292+H305+H294</f>
        <v>24530.6</v>
      </c>
      <c r="I289" s="30">
        <f t="shared" si="7"/>
        <v>49.22423065191916</v>
      </c>
    </row>
    <row r="290" spans="1:9" ht="18" customHeight="1" hidden="1">
      <c r="A290" s="131" t="s">
        <v>26</v>
      </c>
      <c r="B290" s="27"/>
      <c r="C290" s="28" t="s">
        <v>31</v>
      </c>
      <c r="D290" s="28" t="s">
        <v>942</v>
      </c>
      <c r="E290" s="28" t="s">
        <v>103</v>
      </c>
      <c r="F290" s="29"/>
      <c r="G290" s="30"/>
      <c r="H290" s="30"/>
      <c r="I290" s="30" t="e">
        <f t="shared" si="7"/>
        <v>#DIV/0!</v>
      </c>
    </row>
    <row r="291" spans="1:9" ht="18" customHeight="1" hidden="1">
      <c r="A291" s="131" t="s">
        <v>874</v>
      </c>
      <c r="B291" s="27"/>
      <c r="C291" s="28" t="s">
        <v>31</v>
      </c>
      <c r="D291" s="28" t="s">
        <v>942</v>
      </c>
      <c r="E291" s="28" t="s">
        <v>103</v>
      </c>
      <c r="F291" s="29" t="s">
        <v>875</v>
      </c>
      <c r="G291" s="30"/>
      <c r="H291" s="30"/>
      <c r="I291" s="30" t="e">
        <f t="shared" si="7"/>
        <v>#DIV/0!</v>
      </c>
    </row>
    <row r="292" spans="1:9" ht="19.5" customHeight="1" hidden="1">
      <c r="A292" s="131" t="s">
        <v>96</v>
      </c>
      <c r="B292" s="27"/>
      <c r="C292" s="28" t="s">
        <v>31</v>
      </c>
      <c r="D292" s="28" t="s">
        <v>942</v>
      </c>
      <c r="E292" s="28" t="s">
        <v>97</v>
      </c>
      <c r="F292" s="29"/>
      <c r="G292" s="30">
        <f>SUM(G293)</f>
        <v>0</v>
      </c>
      <c r="H292" s="30">
        <f>SUM(H293)</f>
        <v>0</v>
      </c>
      <c r="I292" s="30" t="e">
        <f t="shared" si="7"/>
        <v>#DIV/0!</v>
      </c>
    </row>
    <row r="293" spans="1:9" ht="18" customHeight="1" hidden="1">
      <c r="A293" s="26" t="s">
        <v>947</v>
      </c>
      <c r="B293" s="27"/>
      <c r="C293" s="28" t="s">
        <v>31</v>
      </c>
      <c r="D293" s="28" t="s">
        <v>942</v>
      </c>
      <c r="E293" s="28" t="s">
        <v>97</v>
      </c>
      <c r="F293" s="29" t="s">
        <v>948</v>
      </c>
      <c r="G293" s="30"/>
      <c r="H293" s="30"/>
      <c r="I293" s="30" t="e">
        <f t="shared" si="7"/>
        <v>#DIV/0!</v>
      </c>
    </row>
    <row r="294" spans="1:9" ht="18" customHeight="1" hidden="1">
      <c r="A294" s="26" t="s">
        <v>98</v>
      </c>
      <c r="B294" s="27"/>
      <c r="C294" s="28" t="s">
        <v>31</v>
      </c>
      <c r="D294" s="28" t="s">
        <v>942</v>
      </c>
      <c r="E294" s="28" t="s">
        <v>99</v>
      </c>
      <c r="F294" s="29"/>
      <c r="G294" s="30">
        <f>SUM(G295)</f>
        <v>0</v>
      </c>
      <c r="H294" s="30">
        <f>SUM(H295)</f>
        <v>9483.6</v>
      </c>
      <c r="I294" s="30" t="e">
        <f t="shared" si="7"/>
        <v>#DIV/0!</v>
      </c>
    </row>
    <row r="295" spans="1:9" ht="18" customHeight="1" hidden="1">
      <c r="A295" s="26" t="s">
        <v>100</v>
      </c>
      <c r="B295" s="27"/>
      <c r="C295" s="28" t="s">
        <v>31</v>
      </c>
      <c r="D295" s="28" t="s">
        <v>942</v>
      </c>
      <c r="E295" s="28" t="s">
        <v>101</v>
      </c>
      <c r="F295" s="29"/>
      <c r="G295" s="30">
        <f>SUM(G296)</f>
        <v>0</v>
      </c>
      <c r="H295" s="30">
        <f>SUM(H296)</f>
        <v>9483.6</v>
      </c>
      <c r="I295" s="30" t="e">
        <f t="shared" si="7"/>
        <v>#DIV/0!</v>
      </c>
    </row>
    <row r="296" spans="1:10" ht="18" customHeight="1" hidden="1">
      <c r="A296" s="131" t="s">
        <v>10</v>
      </c>
      <c r="B296" s="27"/>
      <c r="C296" s="28" t="s">
        <v>31</v>
      </c>
      <c r="D296" s="28" t="s">
        <v>942</v>
      </c>
      <c r="E296" s="28" t="s">
        <v>101</v>
      </c>
      <c r="F296" s="29" t="s">
        <v>11</v>
      </c>
      <c r="G296" s="30"/>
      <c r="H296" s="30">
        <v>9483.6</v>
      </c>
      <c r="I296" s="30" t="e">
        <f t="shared" si="7"/>
        <v>#DIV/0!</v>
      </c>
      <c r="J296" s="65">
        <f>SUM('[2]ведомствен.'!G412+'[2]ведомствен.'!G890)+'[2]ведомствен.'!G123</f>
        <v>0</v>
      </c>
    </row>
    <row r="297" spans="1:9" ht="15">
      <c r="A297" s="139" t="s">
        <v>102</v>
      </c>
      <c r="B297" s="27"/>
      <c r="C297" s="28" t="s">
        <v>31</v>
      </c>
      <c r="D297" s="28" t="s">
        <v>942</v>
      </c>
      <c r="E297" s="28" t="s">
        <v>103</v>
      </c>
      <c r="F297" s="29"/>
      <c r="G297" s="30">
        <f>SUM(G298+G300+G302)</f>
        <v>49834.4</v>
      </c>
      <c r="H297" s="30">
        <f>SUM(H298+H300+H302)</f>
        <v>15047</v>
      </c>
      <c r="I297" s="30">
        <f t="shared" si="7"/>
        <v>30.19400253640056</v>
      </c>
    </row>
    <row r="298" spans="1:9" ht="42.75" customHeight="1" hidden="1">
      <c r="A298" s="46" t="s">
        <v>104</v>
      </c>
      <c r="B298" s="27"/>
      <c r="C298" s="28" t="s">
        <v>31</v>
      </c>
      <c r="D298" s="28" t="s">
        <v>942</v>
      </c>
      <c r="E298" s="28" t="s">
        <v>105</v>
      </c>
      <c r="F298" s="29"/>
      <c r="G298" s="30">
        <f>SUM(G299)</f>
        <v>0</v>
      </c>
      <c r="H298" s="30">
        <f>SUM(H299)</f>
        <v>0</v>
      </c>
      <c r="I298" s="30" t="e">
        <f t="shared" si="7"/>
        <v>#DIV/0!</v>
      </c>
    </row>
    <row r="299" spans="1:9" ht="17.25" customHeight="1" hidden="1">
      <c r="A299" s="131" t="s">
        <v>10</v>
      </c>
      <c r="B299" s="27"/>
      <c r="C299" s="28" t="s">
        <v>31</v>
      </c>
      <c r="D299" s="28" t="s">
        <v>942</v>
      </c>
      <c r="E299" s="28" t="s">
        <v>105</v>
      </c>
      <c r="F299" s="29" t="s">
        <v>11</v>
      </c>
      <c r="G299" s="30"/>
      <c r="H299" s="30"/>
      <c r="I299" s="30" t="e">
        <f t="shared" si="7"/>
        <v>#DIV/0!</v>
      </c>
    </row>
    <row r="300" spans="1:9" ht="61.5" customHeight="1" hidden="1">
      <c r="A300" s="46" t="s">
        <v>106</v>
      </c>
      <c r="B300" s="27"/>
      <c r="C300" s="28" t="s">
        <v>31</v>
      </c>
      <c r="D300" s="28" t="s">
        <v>942</v>
      </c>
      <c r="E300" s="28" t="s">
        <v>107</v>
      </c>
      <c r="F300" s="29"/>
      <c r="G300" s="30">
        <f>SUM(G301)</f>
        <v>0</v>
      </c>
      <c r="H300" s="30">
        <f>SUM(H301)</f>
        <v>0</v>
      </c>
      <c r="I300" s="30" t="e">
        <f t="shared" si="7"/>
        <v>#DIV/0!</v>
      </c>
    </row>
    <row r="301" spans="1:9" ht="17.25" customHeight="1" hidden="1">
      <c r="A301" s="131" t="s">
        <v>10</v>
      </c>
      <c r="B301" s="27"/>
      <c r="C301" s="28" t="s">
        <v>31</v>
      </c>
      <c r="D301" s="28" t="s">
        <v>942</v>
      </c>
      <c r="E301" s="28" t="s">
        <v>107</v>
      </c>
      <c r="F301" s="29" t="s">
        <v>11</v>
      </c>
      <c r="G301" s="30"/>
      <c r="H301" s="30"/>
      <c r="I301" s="30" t="e">
        <f t="shared" si="7"/>
        <v>#DIV/0!</v>
      </c>
    </row>
    <row r="302" spans="1:9" ht="17.25" customHeight="1">
      <c r="A302" s="135" t="s">
        <v>108</v>
      </c>
      <c r="B302" s="27"/>
      <c r="C302" s="28" t="s">
        <v>31</v>
      </c>
      <c r="D302" s="28" t="s">
        <v>942</v>
      </c>
      <c r="E302" s="28" t="s">
        <v>109</v>
      </c>
      <c r="F302" s="29"/>
      <c r="G302" s="30">
        <f>SUM(G303)+G304</f>
        <v>49834.4</v>
      </c>
      <c r="H302" s="30">
        <f>SUM(H303)+H304</f>
        <v>15047</v>
      </c>
      <c r="I302" s="30">
        <f t="shared" si="7"/>
        <v>30.19400253640056</v>
      </c>
    </row>
    <row r="303" spans="1:10" ht="14.25" customHeight="1">
      <c r="A303" s="131" t="s">
        <v>10</v>
      </c>
      <c r="B303" s="27"/>
      <c r="C303" s="28" t="s">
        <v>31</v>
      </c>
      <c r="D303" s="28" t="s">
        <v>942</v>
      </c>
      <c r="E303" s="28" t="s">
        <v>109</v>
      </c>
      <c r="F303" s="29" t="s">
        <v>11</v>
      </c>
      <c r="G303" s="50">
        <f>11457.7-83.4-14.6+3050.3</f>
        <v>14410</v>
      </c>
      <c r="H303" s="50">
        <f>878+4272.1+2990.6</f>
        <v>8140.700000000001</v>
      </c>
      <c r="I303" s="30">
        <f t="shared" si="7"/>
        <v>56.49340735600278</v>
      </c>
      <c r="J303" s="65">
        <f>SUM('[2]ведомствен.'!G419)+'[2]ведомствен.'!G130</f>
        <v>11457.7</v>
      </c>
    </row>
    <row r="304" spans="1:10" ht="14.25" customHeight="1">
      <c r="A304" s="26" t="s">
        <v>947</v>
      </c>
      <c r="B304" s="27"/>
      <c r="C304" s="28" t="s">
        <v>31</v>
      </c>
      <c r="D304" s="28" t="s">
        <v>942</v>
      </c>
      <c r="E304" s="28" t="s">
        <v>109</v>
      </c>
      <c r="F304" s="29" t="s">
        <v>948</v>
      </c>
      <c r="G304" s="50">
        <f>39206.8+1277.7-17-1323.1-3600-120</f>
        <v>35424.4</v>
      </c>
      <c r="H304" s="50">
        <v>6906.3</v>
      </c>
      <c r="I304" s="30">
        <f t="shared" si="7"/>
        <v>19.495884192816252</v>
      </c>
      <c r="J304" s="65">
        <f>SUM('[2]ведомствен.'!G420)+'[2]ведомствен.'!G893+'[2]ведомствен.'!G131</f>
        <v>39206.8</v>
      </c>
    </row>
    <row r="305" spans="1:9" ht="15.75" customHeight="1" hidden="1">
      <c r="A305" s="135" t="s">
        <v>67</v>
      </c>
      <c r="B305" s="51"/>
      <c r="C305" s="28" t="s">
        <v>31</v>
      </c>
      <c r="D305" s="28" t="s">
        <v>942</v>
      </c>
      <c r="E305" s="57" t="s">
        <v>68</v>
      </c>
      <c r="F305" s="29"/>
      <c r="G305" s="50">
        <f aca="true" t="shared" si="8" ref="G305:H307">SUM(G306)</f>
        <v>0</v>
      </c>
      <c r="H305" s="50">
        <f t="shared" si="8"/>
        <v>0</v>
      </c>
      <c r="I305" s="30" t="e">
        <f t="shared" si="7"/>
        <v>#DIV/0!</v>
      </c>
    </row>
    <row r="306" spans="1:9" ht="15.75" customHeight="1" hidden="1">
      <c r="A306" s="131" t="s">
        <v>71</v>
      </c>
      <c r="B306" s="51"/>
      <c r="C306" s="28" t="s">
        <v>31</v>
      </c>
      <c r="D306" s="28" t="s">
        <v>942</v>
      </c>
      <c r="E306" s="57" t="s">
        <v>72</v>
      </c>
      <c r="F306" s="29"/>
      <c r="G306" s="50">
        <f t="shared" si="8"/>
        <v>0</v>
      </c>
      <c r="H306" s="50">
        <f t="shared" si="8"/>
        <v>0</v>
      </c>
      <c r="I306" s="30" t="e">
        <f t="shared" si="7"/>
        <v>#DIV/0!</v>
      </c>
    </row>
    <row r="307" spans="1:9" ht="30.75" customHeight="1" hidden="1">
      <c r="A307" s="135" t="s">
        <v>110</v>
      </c>
      <c r="B307" s="27"/>
      <c r="C307" s="28" t="s">
        <v>31</v>
      </c>
      <c r="D307" s="28" t="s">
        <v>942</v>
      </c>
      <c r="E307" s="57" t="s">
        <v>111</v>
      </c>
      <c r="F307" s="29"/>
      <c r="G307" s="50">
        <f t="shared" si="8"/>
        <v>0</v>
      </c>
      <c r="H307" s="50">
        <f t="shared" si="8"/>
        <v>0</v>
      </c>
      <c r="I307" s="30" t="e">
        <f t="shared" si="7"/>
        <v>#DIV/0!</v>
      </c>
    </row>
    <row r="308" spans="1:9" ht="15.75" customHeight="1" hidden="1">
      <c r="A308" s="26" t="s">
        <v>947</v>
      </c>
      <c r="B308" s="27"/>
      <c r="C308" s="28" t="s">
        <v>31</v>
      </c>
      <c r="D308" s="28" t="s">
        <v>942</v>
      </c>
      <c r="E308" s="57" t="s">
        <v>111</v>
      </c>
      <c r="F308" s="29" t="s">
        <v>948</v>
      </c>
      <c r="G308" s="50"/>
      <c r="H308" s="50"/>
      <c r="I308" s="30" t="e">
        <f t="shared" si="7"/>
        <v>#DIV/0!</v>
      </c>
    </row>
    <row r="309" spans="1:9" ht="15.75" customHeight="1" hidden="1">
      <c r="A309" s="46" t="s">
        <v>20</v>
      </c>
      <c r="B309" s="62"/>
      <c r="C309" s="51" t="s">
        <v>31</v>
      </c>
      <c r="D309" s="51" t="s">
        <v>942</v>
      </c>
      <c r="E309" s="51" t="s">
        <v>21</v>
      </c>
      <c r="F309" s="56"/>
      <c r="G309" s="50">
        <f>SUM(G310)</f>
        <v>0</v>
      </c>
      <c r="H309" s="50">
        <f>SUM(H310)</f>
        <v>0</v>
      </c>
      <c r="I309" s="30" t="e">
        <f t="shared" si="7"/>
        <v>#DIV/0!</v>
      </c>
    </row>
    <row r="310" spans="1:9" ht="15.75" customHeight="1" hidden="1">
      <c r="A310" s="26" t="s">
        <v>947</v>
      </c>
      <c r="B310" s="62"/>
      <c r="C310" s="51" t="s">
        <v>31</v>
      </c>
      <c r="D310" s="51" t="s">
        <v>942</v>
      </c>
      <c r="E310" s="51" t="s">
        <v>21</v>
      </c>
      <c r="F310" s="29" t="s">
        <v>948</v>
      </c>
      <c r="G310" s="50">
        <f>SUM(G311:G314)</f>
        <v>0</v>
      </c>
      <c r="H310" s="50">
        <f>SUM(H311:H314)</f>
        <v>0</v>
      </c>
      <c r="I310" s="30" t="e">
        <f t="shared" si="7"/>
        <v>#DIV/0!</v>
      </c>
    </row>
    <row r="311" spans="1:9" ht="27.75" customHeight="1" hidden="1">
      <c r="A311" s="26" t="s">
        <v>114</v>
      </c>
      <c r="B311" s="62"/>
      <c r="C311" s="57" t="s">
        <v>31</v>
      </c>
      <c r="D311" s="57" t="s">
        <v>942</v>
      </c>
      <c r="E311" s="57" t="s">
        <v>115</v>
      </c>
      <c r="F311" s="29" t="s">
        <v>948</v>
      </c>
      <c r="G311" s="50"/>
      <c r="H311" s="50"/>
      <c r="I311" s="30" t="e">
        <f t="shared" si="7"/>
        <v>#DIV/0!</v>
      </c>
    </row>
    <row r="312" spans="1:9" ht="34.5" customHeight="1" hidden="1">
      <c r="A312" s="46" t="s">
        <v>116</v>
      </c>
      <c r="B312" s="62"/>
      <c r="C312" s="57" t="s">
        <v>31</v>
      </c>
      <c r="D312" s="57" t="s">
        <v>942</v>
      </c>
      <c r="E312" s="57" t="s">
        <v>117</v>
      </c>
      <c r="F312" s="29" t="s">
        <v>948</v>
      </c>
      <c r="G312" s="50"/>
      <c r="H312" s="50"/>
      <c r="I312" s="30" t="e">
        <f t="shared" si="7"/>
        <v>#DIV/0!</v>
      </c>
    </row>
    <row r="313" spans="1:9" ht="26.25" customHeight="1" hidden="1">
      <c r="A313" s="46" t="s">
        <v>876</v>
      </c>
      <c r="B313" s="62"/>
      <c r="C313" s="57" t="s">
        <v>31</v>
      </c>
      <c r="D313" s="57" t="s">
        <v>942</v>
      </c>
      <c r="E313" s="57" t="s">
        <v>877</v>
      </c>
      <c r="F313" s="29" t="s">
        <v>948</v>
      </c>
      <c r="G313" s="50"/>
      <c r="H313" s="50"/>
      <c r="I313" s="30" t="e">
        <f t="shared" si="7"/>
        <v>#DIV/0!</v>
      </c>
    </row>
    <row r="314" spans="1:9" ht="35.25" customHeight="1" hidden="1">
      <c r="A314" s="142" t="s">
        <v>118</v>
      </c>
      <c r="B314" s="62"/>
      <c r="C314" s="57" t="s">
        <v>31</v>
      </c>
      <c r="D314" s="57" t="s">
        <v>942</v>
      </c>
      <c r="E314" s="57" t="s">
        <v>119</v>
      </c>
      <c r="F314" s="29"/>
      <c r="G314" s="50">
        <f>SUM(G315)</f>
        <v>0</v>
      </c>
      <c r="H314" s="50">
        <f>SUM(H315)</f>
        <v>0</v>
      </c>
      <c r="I314" s="30" t="e">
        <f t="shared" si="7"/>
        <v>#DIV/0!</v>
      </c>
    </row>
    <row r="315" spans="1:9" ht="32.25" customHeight="1" hidden="1">
      <c r="A315" s="46" t="s">
        <v>110</v>
      </c>
      <c r="B315" s="62"/>
      <c r="C315" s="57" t="s">
        <v>31</v>
      </c>
      <c r="D315" s="57" t="s">
        <v>942</v>
      </c>
      <c r="E315" s="57" t="s">
        <v>120</v>
      </c>
      <c r="F315" s="29"/>
      <c r="G315" s="50">
        <f>SUM(G316)</f>
        <v>0</v>
      </c>
      <c r="H315" s="50">
        <f>SUM(H316)</f>
        <v>0</v>
      </c>
      <c r="I315" s="30" t="e">
        <f t="shared" si="7"/>
        <v>#DIV/0!</v>
      </c>
    </row>
    <row r="316" spans="1:9" ht="21.75" customHeight="1" hidden="1">
      <c r="A316" s="26" t="s">
        <v>947</v>
      </c>
      <c r="B316" s="62"/>
      <c r="C316" s="57" t="s">
        <v>31</v>
      </c>
      <c r="D316" s="57" t="s">
        <v>942</v>
      </c>
      <c r="E316" s="57" t="s">
        <v>120</v>
      </c>
      <c r="F316" s="29" t="s">
        <v>948</v>
      </c>
      <c r="G316" s="50"/>
      <c r="H316" s="50"/>
      <c r="I316" s="30" t="e">
        <f t="shared" si="7"/>
        <v>#DIV/0!</v>
      </c>
    </row>
    <row r="317" spans="1:10" ht="15" hidden="1">
      <c r="A317" s="131" t="s">
        <v>20</v>
      </c>
      <c r="B317" s="27"/>
      <c r="C317" s="28" t="s">
        <v>31</v>
      </c>
      <c r="D317" s="28" t="s">
        <v>942</v>
      </c>
      <c r="E317" s="28" t="s">
        <v>21</v>
      </c>
      <c r="F317" s="29"/>
      <c r="G317" s="50">
        <f>SUM(G318)</f>
        <v>0</v>
      </c>
      <c r="H317" s="30"/>
      <c r="I317" s="30"/>
      <c r="J317" s="3"/>
    </row>
    <row r="318" spans="1:10" ht="15" hidden="1">
      <c r="A318" s="26"/>
      <c r="B318" s="27"/>
      <c r="C318" s="28" t="s">
        <v>31</v>
      </c>
      <c r="D318" s="28" t="s">
        <v>942</v>
      </c>
      <c r="E318" s="28" t="s">
        <v>21</v>
      </c>
      <c r="F318" s="29"/>
      <c r="G318" s="50">
        <f>SUM(G319)</f>
        <v>0</v>
      </c>
      <c r="H318" s="30"/>
      <c r="I318" s="30"/>
      <c r="J318" s="3"/>
    </row>
    <row r="319" spans="1:10" ht="15" hidden="1">
      <c r="A319" s="26" t="s">
        <v>947</v>
      </c>
      <c r="B319" s="27"/>
      <c r="C319" s="28" t="s">
        <v>31</v>
      </c>
      <c r="D319" s="28" t="s">
        <v>942</v>
      </c>
      <c r="E319" s="28" t="s">
        <v>21</v>
      </c>
      <c r="F319" s="29" t="s">
        <v>948</v>
      </c>
      <c r="G319" s="50">
        <f>6000-6000</f>
        <v>0</v>
      </c>
      <c r="H319" s="30"/>
      <c r="I319" s="30"/>
      <c r="J319" s="3">
        <f>SUM('[2]ведомствен.'!G896)</f>
        <v>0</v>
      </c>
    </row>
    <row r="320" spans="1:9" ht="17.25" customHeight="1">
      <c r="A320" s="146" t="s">
        <v>121</v>
      </c>
      <c r="B320" s="27"/>
      <c r="C320" s="28" t="s">
        <v>31</v>
      </c>
      <c r="D320" s="28" t="s">
        <v>950</v>
      </c>
      <c r="E320" s="28"/>
      <c r="F320" s="29"/>
      <c r="G320" s="30">
        <f>SUM(G323+G341)+G321</f>
        <v>459265.29999999993</v>
      </c>
      <c r="H320" s="30">
        <f>SUM(H323+H341)+H321</f>
        <v>71482.59999999999</v>
      </c>
      <c r="I320" s="30">
        <f t="shared" si="7"/>
        <v>15.564554953313477</v>
      </c>
    </row>
    <row r="321" spans="1:9" ht="73.5" customHeight="1" hidden="1">
      <c r="A321" s="146" t="s">
        <v>122</v>
      </c>
      <c r="B321" s="27"/>
      <c r="C321" s="28" t="s">
        <v>31</v>
      </c>
      <c r="D321" s="28" t="s">
        <v>950</v>
      </c>
      <c r="E321" s="28" t="s">
        <v>123</v>
      </c>
      <c r="F321" s="29"/>
      <c r="G321" s="30">
        <f>SUM(G322)</f>
        <v>0</v>
      </c>
      <c r="H321" s="30">
        <f>SUM(H322)</f>
        <v>0</v>
      </c>
      <c r="I321" s="30" t="e">
        <f t="shared" si="7"/>
        <v>#DIV/0!</v>
      </c>
    </row>
    <row r="322" spans="1:9" ht="64.5" customHeight="1" hidden="1">
      <c r="A322" s="146" t="s">
        <v>124</v>
      </c>
      <c r="B322" s="27"/>
      <c r="C322" s="28" t="s">
        <v>31</v>
      </c>
      <c r="D322" s="28" t="s">
        <v>950</v>
      </c>
      <c r="E322" s="28" t="s">
        <v>123</v>
      </c>
      <c r="F322" s="29" t="s">
        <v>125</v>
      </c>
      <c r="G322" s="30">
        <f>SUM('[1]Ведомств.'!F218)</f>
        <v>0</v>
      </c>
      <c r="H322" s="30">
        <f>SUM('[1]Ведомств.'!G218)</f>
        <v>0</v>
      </c>
      <c r="I322" s="30" t="e">
        <f t="shared" si="7"/>
        <v>#DIV/0!</v>
      </c>
    </row>
    <row r="323" spans="1:9" ht="15">
      <c r="A323" s="146" t="s">
        <v>121</v>
      </c>
      <c r="B323" s="51"/>
      <c r="C323" s="28" t="s">
        <v>31</v>
      </c>
      <c r="D323" s="28" t="s">
        <v>950</v>
      </c>
      <c r="E323" s="57" t="s">
        <v>126</v>
      </c>
      <c r="F323" s="49"/>
      <c r="G323" s="30">
        <f>SUM(G324+G329+G335+G338)+G333</f>
        <v>453802.79999999993</v>
      </c>
      <c r="H323" s="30">
        <f>SUM(H324+H329+H335+H338)+H333</f>
        <v>71087.2</v>
      </c>
      <c r="I323" s="30">
        <f t="shared" si="7"/>
        <v>15.664777740463482</v>
      </c>
    </row>
    <row r="324" spans="1:9" ht="15">
      <c r="A324" s="46" t="s">
        <v>127</v>
      </c>
      <c r="B324" s="62"/>
      <c r="C324" s="28" t="s">
        <v>31</v>
      </c>
      <c r="D324" s="28" t="s">
        <v>950</v>
      </c>
      <c r="E324" s="57" t="s">
        <v>128</v>
      </c>
      <c r="F324" s="49"/>
      <c r="G324" s="30">
        <f>SUM(G325:G327)</f>
        <v>49846.799999999996</v>
      </c>
      <c r="H324" s="30">
        <f>SUM(H326:H327)</f>
        <v>20816.7</v>
      </c>
      <c r="I324" s="30">
        <f t="shared" si="7"/>
        <v>41.7613567972267</v>
      </c>
    </row>
    <row r="325" spans="1:10" s="64" customFormat="1" ht="15.75" customHeight="1">
      <c r="A325" s="131" t="s">
        <v>10</v>
      </c>
      <c r="B325" s="62"/>
      <c r="C325" s="28" t="s">
        <v>31</v>
      </c>
      <c r="D325" s="28" t="s">
        <v>950</v>
      </c>
      <c r="E325" s="57" t="s">
        <v>128</v>
      </c>
      <c r="F325" s="49" t="s">
        <v>11</v>
      </c>
      <c r="G325" s="30">
        <f>12317.4+91.3-0.1+3091.6</f>
        <v>15500.199999999999</v>
      </c>
      <c r="H325" s="30"/>
      <c r="I325" s="30"/>
      <c r="J325" s="65">
        <f>SUM('[2]ведомствен.'!G438)+'[2]ведомствен.'!G149</f>
        <v>12317.4</v>
      </c>
    </row>
    <row r="326" spans="1:10" ht="15">
      <c r="A326" s="26" t="s">
        <v>947</v>
      </c>
      <c r="B326" s="62"/>
      <c r="C326" s="28" t="s">
        <v>31</v>
      </c>
      <c r="D326" s="28" t="s">
        <v>950</v>
      </c>
      <c r="E326" s="57" t="s">
        <v>128</v>
      </c>
      <c r="F326" s="49" t="s">
        <v>948</v>
      </c>
      <c r="G326" s="30">
        <f>38000-3653.4</f>
        <v>34346.6</v>
      </c>
      <c r="H326" s="30">
        <v>20816.7</v>
      </c>
      <c r="I326" s="30">
        <f t="shared" si="7"/>
        <v>60.60774574484811</v>
      </c>
      <c r="J326" s="65">
        <f>SUM('[2]ведомствен.'!G439)+'[2]ведомствен.'!G150</f>
        <v>38000</v>
      </c>
    </row>
    <row r="327" spans="1:9" ht="57" customHeight="1" hidden="1">
      <c r="A327" s="26" t="s">
        <v>129</v>
      </c>
      <c r="B327" s="62"/>
      <c r="C327" s="28" t="s">
        <v>31</v>
      </c>
      <c r="D327" s="28" t="s">
        <v>950</v>
      </c>
      <c r="E327" s="57" t="s">
        <v>130</v>
      </c>
      <c r="F327" s="49"/>
      <c r="G327" s="30">
        <f>SUM(G328)</f>
        <v>0</v>
      </c>
      <c r="H327" s="30">
        <f>SUM(H328)</f>
        <v>0</v>
      </c>
      <c r="I327" s="30" t="e">
        <f t="shared" si="7"/>
        <v>#DIV/0!</v>
      </c>
    </row>
    <row r="328" spans="1:9" ht="15" customHeight="1" hidden="1">
      <c r="A328" s="26" t="s">
        <v>947</v>
      </c>
      <c r="B328" s="62"/>
      <c r="C328" s="28" t="s">
        <v>31</v>
      </c>
      <c r="D328" s="28" t="s">
        <v>950</v>
      </c>
      <c r="E328" s="57" t="s">
        <v>130</v>
      </c>
      <c r="F328" s="49" t="s">
        <v>948</v>
      </c>
      <c r="G328" s="30"/>
      <c r="H328" s="30"/>
      <c r="I328" s="30" t="e">
        <f t="shared" si="7"/>
        <v>#DIV/0!</v>
      </c>
    </row>
    <row r="329" spans="1:9" ht="42.75">
      <c r="A329" s="46" t="s">
        <v>193</v>
      </c>
      <c r="B329" s="62"/>
      <c r="C329" s="28" t="s">
        <v>31</v>
      </c>
      <c r="D329" s="28" t="s">
        <v>950</v>
      </c>
      <c r="E329" s="57" t="s">
        <v>194</v>
      </c>
      <c r="F329" s="49"/>
      <c r="G329" s="30">
        <f>SUM(G332+G331)+G330</f>
        <v>322647.1</v>
      </c>
      <c r="H329" s="30">
        <f>SUM(H332)</f>
        <v>43097.5</v>
      </c>
      <c r="I329" s="30">
        <f t="shared" si="7"/>
        <v>13.35747322694052</v>
      </c>
    </row>
    <row r="330" spans="1:10" s="64" customFormat="1" ht="19.5" customHeight="1">
      <c r="A330" s="26" t="s">
        <v>195</v>
      </c>
      <c r="B330" s="62"/>
      <c r="C330" s="28" t="s">
        <v>31</v>
      </c>
      <c r="D330" s="28" t="s">
        <v>950</v>
      </c>
      <c r="E330" s="57" t="s">
        <v>194</v>
      </c>
      <c r="F330" s="49" t="s">
        <v>42</v>
      </c>
      <c r="G330" s="30">
        <f>84224+5501.7-32717.7-6128.9+32717.7</f>
        <v>83596.8</v>
      </c>
      <c r="H330" s="30"/>
      <c r="I330" s="30"/>
      <c r="J330" s="64">
        <f>SUM('[2]ведомствен.'!G154)</f>
        <v>84224</v>
      </c>
    </row>
    <row r="331" spans="1:10" ht="15">
      <c r="A331" s="131" t="s">
        <v>10</v>
      </c>
      <c r="B331" s="62"/>
      <c r="C331" s="28" t="s">
        <v>31</v>
      </c>
      <c r="D331" s="28" t="s">
        <v>950</v>
      </c>
      <c r="E331" s="57" t="s">
        <v>194</v>
      </c>
      <c r="F331" s="49" t="s">
        <v>11</v>
      </c>
      <c r="G331" s="30">
        <f>66532.5-24.8-0.3</f>
        <v>66507.4</v>
      </c>
      <c r="H331" s="30"/>
      <c r="I331" s="30"/>
      <c r="J331" s="65">
        <f>SUM('[2]ведомствен.'!G443)+'[2]ведомствен.'!G155</f>
        <v>66532.5</v>
      </c>
    </row>
    <row r="332" spans="1:10" ht="15">
      <c r="A332" s="26" t="s">
        <v>947</v>
      </c>
      <c r="B332" s="62"/>
      <c r="C332" s="28" t="s">
        <v>31</v>
      </c>
      <c r="D332" s="28" t="s">
        <v>950</v>
      </c>
      <c r="E332" s="57" t="s">
        <v>194</v>
      </c>
      <c r="F332" s="49" t="s">
        <v>948</v>
      </c>
      <c r="G332" s="30">
        <f>176186.1-5110.2-3604.7+1467+3604.7</f>
        <v>172542.9</v>
      </c>
      <c r="H332" s="30">
        <v>43097.5</v>
      </c>
      <c r="I332" s="30">
        <f t="shared" si="7"/>
        <v>24.97784608929142</v>
      </c>
      <c r="J332" s="65">
        <f>SUM('[2]ведомствен.'!G444)+'[2]ведомствен.'!G156</f>
        <v>176186.1</v>
      </c>
    </row>
    <row r="333" spans="1:9" ht="57">
      <c r="A333" s="26" t="s">
        <v>196</v>
      </c>
      <c r="B333" s="62"/>
      <c r="C333" s="28" t="s">
        <v>31</v>
      </c>
      <c r="D333" s="28" t="s">
        <v>950</v>
      </c>
      <c r="E333" s="57" t="s">
        <v>197</v>
      </c>
      <c r="F333" s="49"/>
      <c r="G333" s="30">
        <f>SUM(G334)</f>
        <v>2672.3</v>
      </c>
      <c r="H333" s="30">
        <f>SUM(H334)</f>
        <v>482.9</v>
      </c>
      <c r="I333" s="30">
        <f t="shared" si="7"/>
        <v>18.070575908393515</v>
      </c>
    </row>
    <row r="334" spans="1:10" ht="14.25" customHeight="1">
      <c r="A334" s="26" t="s">
        <v>947</v>
      </c>
      <c r="B334" s="62"/>
      <c r="C334" s="28" t="s">
        <v>31</v>
      </c>
      <c r="D334" s="28" t="s">
        <v>950</v>
      </c>
      <c r="E334" s="57" t="s">
        <v>197</v>
      </c>
      <c r="F334" s="49" t="s">
        <v>948</v>
      </c>
      <c r="G334" s="30">
        <v>2672.3</v>
      </c>
      <c r="H334" s="30">
        <v>482.9</v>
      </c>
      <c r="I334" s="30">
        <f t="shared" si="7"/>
        <v>18.070575908393515</v>
      </c>
      <c r="J334" s="65">
        <f>SUM('[2]ведомствен.'!G446)+'[2]ведомствен.'!G158</f>
        <v>2672.3</v>
      </c>
    </row>
    <row r="335" spans="1:9" ht="15">
      <c r="A335" s="46" t="s">
        <v>198</v>
      </c>
      <c r="B335" s="62"/>
      <c r="C335" s="28" t="s">
        <v>31</v>
      </c>
      <c r="D335" s="28" t="s">
        <v>950</v>
      </c>
      <c r="E335" s="51" t="s">
        <v>199</v>
      </c>
      <c r="F335" s="56"/>
      <c r="G335" s="30">
        <f>SUM(G337+G336)</f>
        <v>1287.6000000000004</v>
      </c>
      <c r="H335" s="30">
        <f>SUM(H337)</f>
        <v>489.8</v>
      </c>
      <c r="I335" s="30">
        <f t="shared" si="7"/>
        <v>38.039763901832856</v>
      </c>
    </row>
    <row r="336" spans="1:10" ht="16.5" customHeight="1">
      <c r="A336" s="131" t="s">
        <v>10</v>
      </c>
      <c r="B336" s="62"/>
      <c r="C336" s="28" t="s">
        <v>31</v>
      </c>
      <c r="D336" s="28" t="s">
        <v>950</v>
      </c>
      <c r="E336" s="57" t="s">
        <v>199</v>
      </c>
      <c r="F336" s="56" t="s">
        <v>11</v>
      </c>
      <c r="G336" s="30">
        <f>5800-4884.4</f>
        <v>915.6000000000004</v>
      </c>
      <c r="H336" s="30"/>
      <c r="I336" s="30"/>
      <c r="J336" s="65">
        <f>SUM('[2]ведомствен.'!G448)+'[2]ведомствен.'!G160</f>
        <v>5800</v>
      </c>
    </row>
    <row r="337" spans="1:10" ht="16.5" customHeight="1">
      <c r="A337" s="26" t="s">
        <v>947</v>
      </c>
      <c r="B337" s="62"/>
      <c r="C337" s="28" t="s">
        <v>31</v>
      </c>
      <c r="D337" s="28" t="s">
        <v>950</v>
      </c>
      <c r="E337" s="51" t="s">
        <v>199</v>
      </c>
      <c r="F337" s="56" t="s">
        <v>948</v>
      </c>
      <c r="G337" s="30">
        <f>125+247</f>
        <v>372</v>
      </c>
      <c r="H337" s="30">
        <v>489.8</v>
      </c>
      <c r="I337" s="30">
        <f t="shared" si="7"/>
        <v>131.66666666666666</v>
      </c>
      <c r="J337" s="65">
        <f>SUM('[2]ведомствен.'!G449)+'[2]ведомствен.'!G161</f>
        <v>125</v>
      </c>
    </row>
    <row r="338" spans="1:9" ht="28.5">
      <c r="A338" s="46" t="s">
        <v>200</v>
      </c>
      <c r="B338" s="62"/>
      <c r="C338" s="28" t="s">
        <v>31</v>
      </c>
      <c r="D338" s="28" t="s">
        <v>950</v>
      </c>
      <c r="E338" s="57" t="s">
        <v>201</v>
      </c>
      <c r="F338" s="56"/>
      <c r="G338" s="30">
        <f>SUM(G340+G339)</f>
        <v>77349</v>
      </c>
      <c r="H338" s="30">
        <f>SUM(H340)</f>
        <v>6200.3</v>
      </c>
      <c r="I338" s="30">
        <f t="shared" si="7"/>
        <v>8.016005378220791</v>
      </c>
    </row>
    <row r="339" spans="1:10" s="63" customFormat="1" ht="15">
      <c r="A339" s="131" t="s">
        <v>10</v>
      </c>
      <c r="B339" s="62"/>
      <c r="C339" s="28" t="s">
        <v>31</v>
      </c>
      <c r="D339" s="28" t="s">
        <v>950</v>
      </c>
      <c r="E339" s="57" t="s">
        <v>201</v>
      </c>
      <c r="F339" s="49" t="s">
        <v>11</v>
      </c>
      <c r="G339" s="30">
        <f>46605.4+18370.3-6845.4-57.6+450</f>
        <v>58522.7</v>
      </c>
      <c r="H339" s="30"/>
      <c r="I339" s="30"/>
      <c r="J339" s="65">
        <f>SUM('[2]ведомствен.'!G451)+'[2]ведомствен.'!G163</f>
        <v>46605.4</v>
      </c>
    </row>
    <row r="340" spans="1:10" ht="14.25" customHeight="1">
      <c r="A340" s="26" t="s">
        <v>947</v>
      </c>
      <c r="B340" s="62"/>
      <c r="C340" s="28" t="s">
        <v>31</v>
      </c>
      <c r="D340" s="28" t="s">
        <v>950</v>
      </c>
      <c r="E340" s="51" t="s">
        <v>201</v>
      </c>
      <c r="F340" s="56" t="s">
        <v>948</v>
      </c>
      <c r="G340" s="30">
        <f>36395.4-15065.3-2249.4-1932+1677.6</f>
        <v>18826.3</v>
      </c>
      <c r="H340" s="30">
        <v>6200.3</v>
      </c>
      <c r="I340" s="30">
        <f t="shared" si="7"/>
        <v>32.93424624063146</v>
      </c>
      <c r="J340" s="65">
        <f>SUM('[2]ведомствен.'!G452)+'[2]ведомствен.'!G164</f>
        <v>36395.4</v>
      </c>
    </row>
    <row r="341" spans="1:9" ht="15">
      <c r="A341" s="46" t="s">
        <v>20</v>
      </c>
      <c r="B341" s="62"/>
      <c r="C341" s="28" t="s">
        <v>31</v>
      </c>
      <c r="D341" s="28" t="s">
        <v>950</v>
      </c>
      <c r="E341" s="51" t="s">
        <v>21</v>
      </c>
      <c r="F341" s="56"/>
      <c r="G341" s="30">
        <f>SUM(G348)+G346+G342</f>
        <v>5462.5</v>
      </c>
      <c r="H341" s="30">
        <f>SUM(H342)</f>
        <v>395.4</v>
      </c>
      <c r="I341" s="30">
        <f t="shared" si="7"/>
        <v>7.238443935926774</v>
      </c>
    </row>
    <row r="342" spans="1:9" ht="42.75">
      <c r="A342" s="26" t="s">
        <v>573</v>
      </c>
      <c r="B342" s="62"/>
      <c r="C342" s="28" t="s">
        <v>31</v>
      </c>
      <c r="D342" s="28" t="s">
        <v>950</v>
      </c>
      <c r="E342" s="57" t="s">
        <v>572</v>
      </c>
      <c r="F342" s="56"/>
      <c r="G342" s="30">
        <f>SUM(G343:G345)</f>
        <v>5462.5</v>
      </c>
      <c r="H342" s="30">
        <f>SUM(H343:H345)</f>
        <v>395.4</v>
      </c>
      <c r="I342" s="30">
        <f t="shared" si="7"/>
        <v>7.238443935926774</v>
      </c>
    </row>
    <row r="343" spans="1:10" s="59" customFormat="1" ht="0.75" customHeight="1" hidden="1">
      <c r="A343" s="46" t="s">
        <v>203</v>
      </c>
      <c r="B343" s="66"/>
      <c r="C343" s="28" t="s">
        <v>31</v>
      </c>
      <c r="D343" s="28" t="s">
        <v>950</v>
      </c>
      <c r="E343" s="57" t="s">
        <v>204</v>
      </c>
      <c r="F343" s="49" t="s">
        <v>948</v>
      </c>
      <c r="G343" s="50"/>
      <c r="H343" s="50"/>
      <c r="I343" s="30" t="e">
        <f t="shared" si="7"/>
        <v>#DIV/0!</v>
      </c>
      <c r="J343" s="143"/>
    </row>
    <row r="344" spans="1:10" s="59" customFormat="1" ht="15">
      <c r="A344" s="131" t="s">
        <v>10</v>
      </c>
      <c r="B344" s="62"/>
      <c r="C344" s="28" t="s">
        <v>31</v>
      </c>
      <c r="D344" s="28" t="s">
        <v>950</v>
      </c>
      <c r="E344" s="57" t="s">
        <v>572</v>
      </c>
      <c r="F344" s="29" t="s">
        <v>11</v>
      </c>
      <c r="G344" s="50">
        <v>5462.5</v>
      </c>
      <c r="H344" s="50">
        <v>395.4</v>
      </c>
      <c r="I344" s="30">
        <f t="shared" si="7"/>
        <v>7.238443935926774</v>
      </c>
      <c r="J344" s="65">
        <f>SUM('[2]ведомствен.'!G456)+'[2]ведомствен.'!G168</f>
        <v>0</v>
      </c>
    </row>
    <row r="345" spans="1:10" s="59" customFormat="1" ht="42.75" hidden="1">
      <c r="A345" s="47" t="s">
        <v>205</v>
      </c>
      <c r="B345" s="66"/>
      <c r="C345" s="28" t="s">
        <v>31</v>
      </c>
      <c r="D345" s="28" t="s">
        <v>950</v>
      </c>
      <c r="E345" s="57" t="s">
        <v>206</v>
      </c>
      <c r="F345" s="49" t="s">
        <v>948</v>
      </c>
      <c r="G345" s="50"/>
      <c r="H345" s="50"/>
      <c r="I345" s="30" t="e">
        <f aca="true" t="shared" si="9" ref="I345:I387">SUM(H345/G345*100)</f>
        <v>#DIV/0!</v>
      </c>
      <c r="J345" s="143"/>
    </row>
    <row r="346" spans="1:10" ht="28.5" hidden="1">
      <c r="A346" s="131" t="s">
        <v>207</v>
      </c>
      <c r="B346" s="27"/>
      <c r="C346" s="67" t="s">
        <v>31</v>
      </c>
      <c r="D346" s="67" t="s">
        <v>950</v>
      </c>
      <c r="E346" s="67" t="s">
        <v>208</v>
      </c>
      <c r="F346" s="29"/>
      <c r="G346" s="50">
        <f>SUM(G347)</f>
        <v>0</v>
      </c>
      <c r="H346" s="50"/>
      <c r="I346" s="30"/>
      <c r="J346" s="3"/>
    </row>
    <row r="347" spans="1:10" ht="15" hidden="1">
      <c r="A347" s="131" t="s">
        <v>10</v>
      </c>
      <c r="B347" s="27"/>
      <c r="C347" s="67" t="s">
        <v>31</v>
      </c>
      <c r="D347" s="67" t="s">
        <v>950</v>
      </c>
      <c r="E347" s="67" t="s">
        <v>209</v>
      </c>
      <c r="F347" s="29" t="s">
        <v>11</v>
      </c>
      <c r="G347" s="50"/>
      <c r="H347" s="50"/>
      <c r="I347" s="30"/>
      <c r="J347" s="3">
        <f>SUM('[2]ведомствен.'!G459)+'[2]ведомствен.'!G171</f>
        <v>0</v>
      </c>
    </row>
    <row r="348" spans="1:10" ht="28.5" hidden="1">
      <c r="A348" s="26" t="s">
        <v>336</v>
      </c>
      <c r="B348" s="27"/>
      <c r="C348" s="67" t="s">
        <v>31</v>
      </c>
      <c r="D348" s="67" t="s">
        <v>950</v>
      </c>
      <c r="E348" s="57" t="s">
        <v>92</v>
      </c>
      <c r="F348" s="29"/>
      <c r="G348" s="50">
        <f>SUM(G349)</f>
        <v>0</v>
      </c>
      <c r="H348" s="50"/>
      <c r="I348" s="30"/>
      <c r="J348" s="3"/>
    </row>
    <row r="349" spans="1:10" ht="15" hidden="1">
      <c r="A349" s="26" t="s">
        <v>195</v>
      </c>
      <c r="B349" s="27"/>
      <c r="C349" s="67" t="s">
        <v>31</v>
      </c>
      <c r="D349" s="67" t="s">
        <v>950</v>
      </c>
      <c r="E349" s="57" t="s">
        <v>92</v>
      </c>
      <c r="F349" s="29" t="s">
        <v>42</v>
      </c>
      <c r="G349" s="50"/>
      <c r="H349" s="50"/>
      <c r="I349" s="30"/>
      <c r="J349" s="3">
        <f>SUM('[2]ведомствен.'!G461)</f>
        <v>0</v>
      </c>
    </row>
    <row r="350" spans="1:9" ht="32.25" customHeight="1">
      <c r="A350" s="139" t="s">
        <v>210</v>
      </c>
      <c r="B350" s="27"/>
      <c r="C350" s="28" t="s">
        <v>31</v>
      </c>
      <c r="D350" s="28" t="s">
        <v>31</v>
      </c>
      <c r="E350" s="28"/>
      <c r="F350" s="29"/>
      <c r="G350" s="30">
        <f>SUM(G351+G355+G370+G358)</f>
        <v>70912.20000000001</v>
      </c>
      <c r="H350" s="30">
        <f>SUM(H351+H355+H370+H358)+H366</f>
        <v>7261.6</v>
      </c>
      <c r="I350" s="30">
        <f t="shared" si="9"/>
        <v>10.24026895231004</v>
      </c>
    </row>
    <row r="351" spans="1:9" ht="45.75" customHeight="1">
      <c r="A351" s="26" t="s">
        <v>943</v>
      </c>
      <c r="B351" s="27"/>
      <c r="C351" s="28" t="s">
        <v>31</v>
      </c>
      <c r="D351" s="28" t="s">
        <v>31</v>
      </c>
      <c r="E351" s="28" t="s">
        <v>944</v>
      </c>
      <c r="F351" s="29"/>
      <c r="G351" s="30">
        <f>SUM(G352+G355)</f>
        <v>20236.4</v>
      </c>
      <c r="H351" s="30">
        <f>SUM(H352)</f>
        <v>0</v>
      </c>
      <c r="I351" s="30">
        <f t="shared" si="9"/>
        <v>0</v>
      </c>
    </row>
    <row r="352" spans="1:9" ht="24" customHeight="1">
      <c r="A352" s="26" t="s">
        <v>951</v>
      </c>
      <c r="B352" s="27"/>
      <c r="C352" s="28" t="s">
        <v>31</v>
      </c>
      <c r="D352" s="28" t="s">
        <v>31</v>
      </c>
      <c r="E352" s="28" t="s">
        <v>953</v>
      </c>
      <c r="F352" s="29"/>
      <c r="G352" s="30">
        <f>SUM(G353)</f>
        <v>20236.4</v>
      </c>
      <c r="H352" s="30">
        <f>SUM(H354)</f>
        <v>0</v>
      </c>
      <c r="I352" s="30">
        <f t="shared" si="9"/>
        <v>0</v>
      </c>
    </row>
    <row r="353" spans="1:10" ht="21" customHeight="1">
      <c r="A353" s="26" t="s">
        <v>947</v>
      </c>
      <c r="B353" s="27"/>
      <c r="C353" s="28" t="s">
        <v>31</v>
      </c>
      <c r="D353" s="28" t="s">
        <v>31</v>
      </c>
      <c r="E353" s="28" t="s">
        <v>953</v>
      </c>
      <c r="F353" s="29" t="s">
        <v>948</v>
      </c>
      <c r="G353" s="30">
        <f>20177.5+63.9-5</f>
        <v>20236.4</v>
      </c>
      <c r="H353" s="30">
        <f>SUM(H354)</f>
        <v>0</v>
      </c>
      <c r="I353" s="30">
        <f t="shared" si="9"/>
        <v>0</v>
      </c>
      <c r="J353" s="65">
        <f>SUM('[2]ведомствен.'!G175)</f>
        <v>20177.5</v>
      </c>
    </row>
    <row r="354" spans="1:10" ht="16.5" customHeight="1" hidden="1">
      <c r="A354" s="131" t="s">
        <v>195</v>
      </c>
      <c r="B354" s="27"/>
      <c r="C354" s="28" t="s">
        <v>31</v>
      </c>
      <c r="D354" s="28" t="s">
        <v>31</v>
      </c>
      <c r="E354" s="28" t="s">
        <v>216</v>
      </c>
      <c r="F354" s="29" t="s">
        <v>42</v>
      </c>
      <c r="G354" s="50"/>
      <c r="H354" s="50"/>
      <c r="I354" s="30" t="e">
        <f t="shared" si="9"/>
        <v>#DIV/0!</v>
      </c>
      <c r="J354" s="65">
        <f>SUM('[2]ведомствен.'!G469)+'[2]ведомствен.'!G179</f>
        <v>0</v>
      </c>
    </row>
    <row r="355" spans="1:9" ht="30" customHeight="1" hidden="1">
      <c r="A355" s="135" t="s">
        <v>211</v>
      </c>
      <c r="B355" s="27"/>
      <c r="C355" s="28" t="s">
        <v>31</v>
      </c>
      <c r="D355" s="28" t="s">
        <v>31</v>
      </c>
      <c r="E355" s="28" t="s">
        <v>212</v>
      </c>
      <c r="F355" s="29"/>
      <c r="G355" s="30">
        <f>SUM(G356)</f>
        <v>0</v>
      </c>
      <c r="H355" s="30">
        <f>SUM(H356)</f>
        <v>0</v>
      </c>
      <c r="I355" s="30" t="e">
        <f t="shared" si="9"/>
        <v>#DIV/0!</v>
      </c>
    </row>
    <row r="356" spans="1:9" ht="30.75" customHeight="1" hidden="1">
      <c r="A356" s="135" t="s">
        <v>110</v>
      </c>
      <c r="B356" s="27"/>
      <c r="C356" s="28" t="s">
        <v>31</v>
      </c>
      <c r="D356" s="28" t="s">
        <v>31</v>
      </c>
      <c r="E356" s="28" t="s">
        <v>878</v>
      </c>
      <c r="F356" s="29"/>
      <c r="G356" s="30">
        <f>SUM(G357)</f>
        <v>0</v>
      </c>
      <c r="H356" s="30">
        <f>SUM(H357)</f>
        <v>0</v>
      </c>
      <c r="I356" s="30" t="e">
        <f t="shared" si="9"/>
        <v>#DIV/0!</v>
      </c>
    </row>
    <row r="357" spans="1:9" ht="15.75" customHeight="1" hidden="1">
      <c r="A357" s="131" t="s">
        <v>195</v>
      </c>
      <c r="B357" s="27"/>
      <c r="C357" s="28" t="s">
        <v>31</v>
      </c>
      <c r="D357" s="28" t="s">
        <v>31</v>
      </c>
      <c r="E357" s="28" t="s">
        <v>878</v>
      </c>
      <c r="F357" s="29" t="s">
        <v>42</v>
      </c>
      <c r="G357" s="50">
        <f>SUM('[1]Ведомств.'!F241)</f>
        <v>0</v>
      </c>
      <c r="H357" s="50">
        <f>SUM('[1]Ведомств.'!G241)</f>
        <v>0</v>
      </c>
      <c r="I357" s="30" t="e">
        <f t="shared" si="9"/>
        <v>#DIV/0!</v>
      </c>
    </row>
    <row r="358" spans="1:9" ht="21.75" customHeight="1">
      <c r="A358" s="135" t="s">
        <v>67</v>
      </c>
      <c r="B358" s="51"/>
      <c r="C358" s="28" t="s">
        <v>31</v>
      </c>
      <c r="D358" s="28" t="s">
        <v>31</v>
      </c>
      <c r="E358" s="57" t="s">
        <v>68</v>
      </c>
      <c r="F358" s="29"/>
      <c r="G358" s="50">
        <f>SUM(G359+G364)+G366</f>
        <v>15782.1</v>
      </c>
      <c r="H358" s="50">
        <f>SUM(H359+H364)</f>
        <v>4731.200000000001</v>
      </c>
      <c r="I358" s="30">
        <f t="shared" si="9"/>
        <v>29.97826651713017</v>
      </c>
    </row>
    <row r="359" spans="1:9" ht="42.75" customHeight="1">
      <c r="A359" s="131" t="s">
        <v>71</v>
      </c>
      <c r="B359" s="51"/>
      <c r="C359" s="28" t="s">
        <v>31</v>
      </c>
      <c r="D359" s="28" t="s">
        <v>31</v>
      </c>
      <c r="E359" s="57" t="s">
        <v>72</v>
      </c>
      <c r="F359" s="29"/>
      <c r="G359" s="50">
        <f>SUM(G360+G362)</f>
        <v>13251.1</v>
      </c>
      <c r="H359" s="50">
        <f>SUM(H360+H362)</f>
        <v>4731.200000000001</v>
      </c>
      <c r="I359" s="30">
        <f t="shared" si="9"/>
        <v>35.70420568858435</v>
      </c>
    </row>
    <row r="360" spans="1:9" ht="32.25" customHeight="1">
      <c r="A360" s="135" t="s">
        <v>110</v>
      </c>
      <c r="B360" s="27"/>
      <c r="C360" s="28" t="s">
        <v>31</v>
      </c>
      <c r="D360" s="28" t="s">
        <v>31</v>
      </c>
      <c r="E360" s="57" t="s">
        <v>111</v>
      </c>
      <c r="F360" s="29"/>
      <c r="G360" s="50">
        <f>SUM(G361+G369)</f>
        <v>13251.1</v>
      </c>
      <c r="H360" s="50">
        <f>SUM(H361+H369)</f>
        <v>4731.200000000001</v>
      </c>
      <c r="I360" s="30">
        <f t="shared" si="9"/>
        <v>35.70420568858435</v>
      </c>
    </row>
    <row r="361" spans="1:10" ht="15.75" customHeight="1">
      <c r="A361" s="131" t="s">
        <v>195</v>
      </c>
      <c r="B361" s="27"/>
      <c r="C361" s="28" t="s">
        <v>31</v>
      </c>
      <c r="D361" s="28" t="s">
        <v>31</v>
      </c>
      <c r="E361" s="57" t="s">
        <v>111</v>
      </c>
      <c r="F361" s="29" t="s">
        <v>42</v>
      </c>
      <c r="G361" s="50">
        <f>13976-724.9</f>
        <v>13251.1</v>
      </c>
      <c r="H361" s="50">
        <v>2740.8</v>
      </c>
      <c r="I361" s="30">
        <f t="shared" si="9"/>
        <v>20.683565892642875</v>
      </c>
      <c r="J361" s="65">
        <f>SUM('[2]ведомствен.'!G473)+'[2]ведомствен.'!G183</f>
        <v>13976</v>
      </c>
    </row>
    <row r="362" spans="1:9" ht="28.5" customHeight="1" hidden="1">
      <c r="A362" s="131" t="s">
        <v>217</v>
      </c>
      <c r="B362" s="27"/>
      <c r="C362" s="28" t="s">
        <v>31</v>
      </c>
      <c r="D362" s="28" t="s">
        <v>31</v>
      </c>
      <c r="E362" s="57" t="s">
        <v>218</v>
      </c>
      <c r="F362" s="29"/>
      <c r="G362" s="50"/>
      <c r="H362" s="50">
        <f>SUM(H363)</f>
        <v>0</v>
      </c>
      <c r="I362" s="30" t="e">
        <f t="shared" si="9"/>
        <v>#DIV/0!</v>
      </c>
    </row>
    <row r="363" spans="1:9" ht="15" customHeight="1" hidden="1">
      <c r="A363" s="131" t="s">
        <v>195</v>
      </c>
      <c r="B363" s="27"/>
      <c r="C363" s="28" t="s">
        <v>31</v>
      </c>
      <c r="D363" s="28" t="s">
        <v>31</v>
      </c>
      <c r="E363" s="57" t="s">
        <v>218</v>
      </c>
      <c r="F363" s="29" t="s">
        <v>42</v>
      </c>
      <c r="G363" s="50"/>
      <c r="H363" s="50"/>
      <c r="I363" s="30" t="e">
        <f t="shared" si="9"/>
        <v>#DIV/0!</v>
      </c>
    </row>
    <row r="364" spans="1:9" ht="28.5" customHeight="1" hidden="1">
      <c r="A364" s="131" t="s">
        <v>219</v>
      </c>
      <c r="B364" s="27"/>
      <c r="C364" s="28" t="s">
        <v>31</v>
      </c>
      <c r="D364" s="28" t="s">
        <v>31</v>
      </c>
      <c r="E364" s="57" t="s">
        <v>220</v>
      </c>
      <c r="F364" s="29"/>
      <c r="G364" s="50"/>
      <c r="H364" s="50">
        <f>SUM(H365)</f>
        <v>0</v>
      </c>
      <c r="I364" s="30" t="e">
        <f t="shared" si="9"/>
        <v>#DIV/0!</v>
      </c>
    </row>
    <row r="365" spans="1:9" ht="15" customHeight="1" hidden="1">
      <c r="A365" s="131" t="s">
        <v>195</v>
      </c>
      <c r="B365" s="27"/>
      <c r="C365" s="28" t="s">
        <v>31</v>
      </c>
      <c r="D365" s="28" t="s">
        <v>31</v>
      </c>
      <c r="E365" s="57" t="s">
        <v>220</v>
      </c>
      <c r="F365" s="29" t="s">
        <v>42</v>
      </c>
      <c r="G365" s="50"/>
      <c r="H365" s="50"/>
      <c r="I365" s="30" t="e">
        <f t="shared" si="9"/>
        <v>#DIV/0!</v>
      </c>
    </row>
    <row r="366" spans="1:9" ht="60" customHeight="1">
      <c r="A366" s="26" t="s">
        <v>221</v>
      </c>
      <c r="B366" s="27"/>
      <c r="C366" s="28" t="s">
        <v>31</v>
      </c>
      <c r="D366" s="28" t="s">
        <v>31</v>
      </c>
      <c r="E366" s="57" t="s">
        <v>222</v>
      </c>
      <c r="F366" s="29"/>
      <c r="G366" s="50">
        <f>SUM(G367)</f>
        <v>2531</v>
      </c>
      <c r="H366" s="50">
        <f>SUM(H367)</f>
        <v>0</v>
      </c>
      <c r="I366" s="30">
        <f t="shared" si="9"/>
        <v>0</v>
      </c>
    </row>
    <row r="367" spans="1:10" ht="15" customHeight="1">
      <c r="A367" s="26" t="s">
        <v>195</v>
      </c>
      <c r="B367" s="27"/>
      <c r="C367" s="28" t="s">
        <v>31</v>
      </c>
      <c r="D367" s="28" t="s">
        <v>31</v>
      </c>
      <c r="E367" s="57" t="s">
        <v>222</v>
      </c>
      <c r="F367" s="29" t="s">
        <v>42</v>
      </c>
      <c r="G367" s="50">
        <f>4186-1655</f>
        <v>2531</v>
      </c>
      <c r="H367" s="50">
        <f>SUM(H368)</f>
        <v>0</v>
      </c>
      <c r="I367" s="30">
        <f t="shared" si="9"/>
        <v>0</v>
      </c>
      <c r="J367" s="65">
        <f>SUM('[2]ведомствен.'!G189)+'[2]ведомствен.'!G477</f>
        <v>4186</v>
      </c>
    </row>
    <row r="368" spans="1:9" ht="15" customHeight="1" hidden="1">
      <c r="A368" s="131" t="s">
        <v>195</v>
      </c>
      <c r="B368" s="27"/>
      <c r="C368" s="28" t="s">
        <v>31</v>
      </c>
      <c r="D368" s="28" t="s">
        <v>31</v>
      </c>
      <c r="E368" s="57" t="s">
        <v>226</v>
      </c>
      <c r="F368" s="29" t="s">
        <v>42</v>
      </c>
      <c r="G368" s="50"/>
      <c r="H368" s="50"/>
      <c r="I368" s="30" t="e">
        <f t="shared" si="9"/>
        <v>#DIV/0!</v>
      </c>
    </row>
    <row r="369" spans="1:10" ht="15" customHeight="1" hidden="1">
      <c r="A369" s="26" t="s">
        <v>947</v>
      </c>
      <c r="B369" s="27"/>
      <c r="C369" s="28" t="s">
        <v>31</v>
      </c>
      <c r="D369" s="28" t="s">
        <v>31</v>
      </c>
      <c r="E369" s="57" t="s">
        <v>111</v>
      </c>
      <c r="F369" s="29" t="s">
        <v>948</v>
      </c>
      <c r="G369" s="50"/>
      <c r="H369" s="50">
        <v>1990.4</v>
      </c>
      <c r="I369" s="30" t="e">
        <f t="shared" si="9"/>
        <v>#DIV/0!</v>
      </c>
      <c r="J369" s="65">
        <f>SUM('[2]ведомствен.'!G481)+'[2]ведомствен.'!G193</f>
        <v>0</v>
      </c>
    </row>
    <row r="370" spans="1:9" ht="15">
      <c r="A370" s="26" t="s">
        <v>20</v>
      </c>
      <c r="B370" s="27"/>
      <c r="C370" s="28" t="s">
        <v>31</v>
      </c>
      <c r="D370" s="28" t="s">
        <v>31</v>
      </c>
      <c r="E370" s="28" t="s">
        <v>21</v>
      </c>
      <c r="F370" s="29"/>
      <c r="G370" s="30">
        <f>SUM(G372+G380)+G386+G376+G378+G388</f>
        <v>34893.700000000004</v>
      </c>
      <c r="H370" s="30">
        <f>SUM(H372+H380)</f>
        <v>2530.4</v>
      </c>
      <c r="I370" s="30">
        <f t="shared" si="9"/>
        <v>7.25173885257224</v>
      </c>
    </row>
    <row r="371" spans="1:9" ht="15" customHeight="1" hidden="1">
      <c r="A371" s="131" t="s">
        <v>195</v>
      </c>
      <c r="B371" s="27"/>
      <c r="C371" s="28" t="s">
        <v>31</v>
      </c>
      <c r="D371" s="28" t="s">
        <v>31</v>
      </c>
      <c r="E371" s="28" t="s">
        <v>21</v>
      </c>
      <c r="F371" s="29" t="s">
        <v>42</v>
      </c>
      <c r="G371" s="30"/>
      <c r="H371" s="30">
        <f>SUM(H372:H380)</f>
        <v>3022.5</v>
      </c>
      <c r="I371" s="30" t="e">
        <f t="shared" si="9"/>
        <v>#DIV/0!</v>
      </c>
    </row>
    <row r="372" spans="1:10" s="61" customFormat="1" ht="20.25" customHeight="1">
      <c r="A372" s="142" t="s">
        <v>227</v>
      </c>
      <c r="B372" s="68"/>
      <c r="C372" s="69" t="s">
        <v>31</v>
      </c>
      <c r="D372" s="69" t="s">
        <v>31</v>
      </c>
      <c r="E372" s="69" t="s">
        <v>228</v>
      </c>
      <c r="F372" s="29"/>
      <c r="G372" s="58">
        <f>SUM(G373)</f>
        <v>9375.300000000001</v>
      </c>
      <c r="H372" s="58">
        <f>SUM(H373)</f>
        <v>492.1</v>
      </c>
      <c r="I372" s="30">
        <f t="shared" si="9"/>
        <v>5.248898701908205</v>
      </c>
      <c r="J372" s="147"/>
    </row>
    <row r="373" spans="1:10" s="61" customFormat="1" ht="18.75" customHeight="1">
      <c r="A373" s="131" t="s">
        <v>195</v>
      </c>
      <c r="B373" s="27"/>
      <c r="C373" s="28" t="s">
        <v>31</v>
      </c>
      <c r="D373" s="28" t="s">
        <v>31</v>
      </c>
      <c r="E373" s="69" t="s">
        <v>228</v>
      </c>
      <c r="F373" s="29" t="s">
        <v>42</v>
      </c>
      <c r="G373" s="58">
        <f>9810-421.4-13.3</f>
        <v>9375.300000000001</v>
      </c>
      <c r="H373" s="58">
        <v>492.1</v>
      </c>
      <c r="I373" s="30">
        <f t="shared" si="9"/>
        <v>5.248898701908205</v>
      </c>
      <c r="J373" s="65">
        <f>SUM('[2]ведомствен.'!G484)</f>
        <v>9810</v>
      </c>
    </row>
    <row r="374" spans="1:10" s="61" customFormat="1" ht="35.25" customHeight="1" hidden="1">
      <c r="A374" s="46" t="s">
        <v>116</v>
      </c>
      <c r="B374" s="62"/>
      <c r="C374" s="57" t="s">
        <v>31</v>
      </c>
      <c r="D374" s="57" t="s">
        <v>942</v>
      </c>
      <c r="E374" s="57" t="s">
        <v>117</v>
      </c>
      <c r="F374" s="29"/>
      <c r="G374" s="30">
        <f>SUM(G375)</f>
        <v>0</v>
      </c>
      <c r="H374" s="30">
        <f>SUM(H375)</f>
        <v>0</v>
      </c>
      <c r="I374" s="30" t="e">
        <f t="shared" si="9"/>
        <v>#DIV/0!</v>
      </c>
      <c r="J374" s="147"/>
    </row>
    <row r="375" spans="1:10" s="61" customFormat="1" ht="19.5" customHeight="1" hidden="1">
      <c r="A375" s="26" t="s">
        <v>947</v>
      </c>
      <c r="B375" s="62"/>
      <c r="C375" s="28" t="s">
        <v>31</v>
      </c>
      <c r="D375" s="28" t="s">
        <v>31</v>
      </c>
      <c r="E375" s="57" t="s">
        <v>117</v>
      </c>
      <c r="F375" s="49" t="s">
        <v>948</v>
      </c>
      <c r="G375" s="50"/>
      <c r="H375" s="50"/>
      <c r="I375" s="30" t="e">
        <f t="shared" si="9"/>
        <v>#DIV/0!</v>
      </c>
      <c r="J375" s="147"/>
    </row>
    <row r="376" spans="1:10" s="61" customFormat="1" ht="28.5" customHeight="1">
      <c r="A376" s="131" t="s">
        <v>339</v>
      </c>
      <c r="B376" s="27"/>
      <c r="C376" s="69" t="s">
        <v>31</v>
      </c>
      <c r="D376" s="69" t="s">
        <v>31</v>
      </c>
      <c r="E376" s="69" t="s">
        <v>340</v>
      </c>
      <c r="F376" s="29"/>
      <c r="G376" s="30">
        <f>SUM(G377)</f>
        <v>3849</v>
      </c>
      <c r="H376" s="50"/>
      <c r="I376" s="30"/>
      <c r="J376" s="147">
        <f>SUM('[2]ведомствен.'!G485)</f>
        <v>4549</v>
      </c>
    </row>
    <row r="377" spans="1:10" s="61" customFormat="1" ht="19.5" customHeight="1">
      <c r="A377" s="131" t="s">
        <v>195</v>
      </c>
      <c r="B377" s="27"/>
      <c r="C377" s="28" t="s">
        <v>31</v>
      </c>
      <c r="D377" s="28" t="s">
        <v>31</v>
      </c>
      <c r="E377" s="69" t="s">
        <v>340</v>
      </c>
      <c r="F377" s="29" t="s">
        <v>42</v>
      </c>
      <c r="G377" s="58">
        <f>4549-262.8-437.2</f>
        <v>3849</v>
      </c>
      <c r="H377" s="50"/>
      <c r="I377" s="30"/>
      <c r="J377" s="147"/>
    </row>
    <row r="378" spans="1:10" s="61" customFormat="1" ht="29.25" customHeight="1">
      <c r="A378" s="131" t="s">
        <v>341</v>
      </c>
      <c r="B378" s="27"/>
      <c r="C378" s="69" t="s">
        <v>31</v>
      </c>
      <c r="D378" s="69" t="s">
        <v>31</v>
      </c>
      <c r="E378" s="69" t="s">
        <v>316</v>
      </c>
      <c r="F378" s="29"/>
      <c r="G378" s="30">
        <f>SUM(G379)</f>
        <v>9535.300000000001</v>
      </c>
      <c r="H378" s="50"/>
      <c r="I378" s="30"/>
      <c r="J378" s="147">
        <f>SUM('[2]ведомствен.'!G486)</f>
        <v>13802.4</v>
      </c>
    </row>
    <row r="379" spans="1:10" s="61" customFormat="1" ht="21" customHeight="1">
      <c r="A379" s="131" t="s">
        <v>195</v>
      </c>
      <c r="B379" s="27"/>
      <c r="C379" s="28" t="s">
        <v>31</v>
      </c>
      <c r="D379" s="28" t="s">
        <v>31</v>
      </c>
      <c r="E379" s="69" t="s">
        <v>316</v>
      </c>
      <c r="F379" s="29" t="s">
        <v>42</v>
      </c>
      <c r="G379" s="58">
        <f>13802.4-4947.2+680.1</f>
        <v>9535.300000000001</v>
      </c>
      <c r="H379" s="50"/>
      <c r="I379" s="30"/>
      <c r="J379" s="147"/>
    </row>
    <row r="380" spans="1:9" ht="31.5" customHeight="1">
      <c r="A380" s="131" t="s">
        <v>342</v>
      </c>
      <c r="B380" s="27"/>
      <c r="C380" s="28" t="s">
        <v>31</v>
      </c>
      <c r="D380" s="28" t="s">
        <v>31</v>
      </c>
      <c r="E380" s="28" t="s">
        <v>119</v>
      </c>
      <c r="F380" s="29"/>
      <c r="G380" s="30">
        <f>SUM(G381+G384)</f>
        <v>10334.1</v>
      </c>
      <c r="H380" s="30">
        <f>SUM(H381+H384)</f>
        <v>2038.3</v>
      </c>
      <c r="I380" s="30">
        <f t="shared" si="9"/>
        <v>19.724020475900176</v>
      </c>
    </row>
    <row r="381" spans="1:10" s="61" customFormat="1" ht="28.5">
      <c r="A381" s="142" t="s">
        <v>110</v>
      </c>
      <c r="B381" s="68"/>
      <c r="C381" s="28" t="s">
        <v>31</v>
      </c>
      <c r="D381" s="28" t="s">
        <v>31</v>
      </c>
      <c r="E381" s="28" t="s">
        <v>120</v>
      </c>
      <c r="F381" s="29"/>
      <c r="G381" s="58">
        <f>SUM(G382:G383)</f>
        <v>4740.200000000001</v>
      </c>
      <c r="H381" s="58">
        <f>SUM(H382:H383)</f>
        <v>1157.5</v>
      </c>
      <c r="I381" s="30">
        <f t="shared" si="9"/>
        <v>24.418800894477023</v>
      </c>
      <c r="J381" s="147"/>
    </row>
    <row r="382" spans="1:10" s="61" customFormat="1" ht="18" customHeight="1">
      <c r="A382" s="131" t="s">
        <v>195</v>
      </c>
      <c r="B382" s="27"/>
      <c r="C382" s="28" t="s">
        <v>31</v>
      </c>
      <c r="D382" s="28" t="s">
        <v>31</v>
      </c>
      <c r="E382" s="28" t="s">
        <v>120</v>
      </c>
      <c r="F382" s="29" t="s">
        <v>42</v>
      </c>
      <c r="G382" s="50">
        <f>4154-7.4+593.6</f>
        <v>4740.200000000001</v>
      </c>
      <c r="H382" s="50">
        <v>1157.5</v>
      </c>
      <c r="I382" s="30">
        <f t="shared" si="9"/>
        <v>24.418800894477023</v>
      </c>
      <c r="J382" s="65">
        <f>SUM('[2]ведомствен.'!G491)+'[2]ведомствен.'!G201</f>
        <v>4154</v>
      </c>
    </row>
    <row r="383" spans="1:10" s="61" customFormat="1" ht="0.75" customHeight="1" hidden="1">
      <c r="A383" s="26" t="s">
        <v>947</v>
      </c>
      <c r="B383" s="62"/>
      <c r="C383" s="28" t="s">
        <v>31</v>
      </c>
      <c r="D383" s="28" t="s">
        <v>31</v>
      </c>
      <c r="E383" s="28" t="s">
        <v>120</v>
      </c>
      <c r="F383" s="56" t="s">
        <v>948</v>
      </c>
      <c r="G383" s="58"/>
      <c r="H383" s="58"/>
      <c r="I383" s="30" t="e">
        <f t="shared" si="9"/>
        <v>#DIV/0!</v>
      </c>
      <c r="J383" s="147"/>
    </row>
    <row r="384" spans="1:9" ht="28.5">
      <c r="A384" s="46" t="s">
        <v>229</v>
      </c>
      <c r="B384" s="27"/>
      <c r="C384" s="28" t="s">
        <v>31</v>
      </c>
      <c r="D384" s="28" t="s">
        <v>31</v>
      </c>
      <c r="E384" s="28" t="s">
        <v>230</v>
      </c>
      <c r="F384" s="29"/>
      <c r="G384" s="30">
        <f>SUM(G385)</f>
        <v>5593.9</v>
      </c>
      <c r="H384" s="30">
        <f>SUM(H385)</f>
        <v>880.8</v>
      </c>
      <c r="I384" s="30">
        <f t="shared" si="9"/>
        <v>15.745723019717909</v>
      </c>
    </row>
    <row r="385" spans="1:10" ht="14.25" customHeight="1">
      <c r="A385" s="131" t="s">
        <v>195</v>
      </c>
      <c r="B385" s="27"/>
      <c r="C385" s="28" t="s">
        <v>31</v>
      </c>
      <c r="D385" s="28" t="s">
        <v>31</v>
      </c>
      <c r="E385" s="28" t="s">
        <v>230</v>
      </c>
      <c r="F385" s="29" t="s">
        <v>42</v>
      </c>
      <c r="G385" s="30">
        <f>5674.5-80.6</f>
        <v>5593.9</v>
      </c>
      <c r="H385" s="30">
        <v>880.8</v>
      </c>
      <c r="I385" s="30">
        <f t="shared" si="9"/>
        <v>15.745723019717909</v>
      </c>
      <c r="J385" s="65">
        <f>SUM('[2]ведомствен.'!G494+'[2]ведомствен.'!G204)</f>
        <v>5674.5</v>
      </c>
    </row>
    <row r="386" spans="1:9" ht="25.5" customHeight="1" hidden="1">
      <c r="A386" s="131" t="s">
        <v>343</v>
      </c>
      <c r="B386" s="27"/>
      <c r="C386" s="28" t="s">
        <v>31</v>
      </c>
      <c r="D386" s="28" t="s">
        <v>31</v>
      </c>
      <c r="E386" s="57" t="s">
        <v>92</v>
      </c>
      <c r="F386" s="29"/>
      <c r="G386" s="50">
        <f>SUM(G387)</f>
        <v>0</v>
      </c>
      <c r="H386" s="50">
        <f>SUM(H387)</f>
        <v>0</v>
      </c>
      <c r="I386" s="30" t="e">
        <f t="shared" si="9"/>
        <v>#DIV/0!</v>
      </c>
    </row>
    <row r="387" spans="1:10" ht="15" customHeight="1" hidden="1">
      <c r="A387" s="131" t="s">
        <v>195</v>
      </c>
      <c r="B387" s="27"/>
      <c r="C387" s="28" t="s">
        <v>31</v>
      </c>
      <c r="D387" s="28" t="s">
        <v>31</v>
      </c>
      <c r="E387" s="57" t="s">
        <v>92</v>
      </c>
      <c r="F387" s="29" t="s">
        <v>42</v>
      </c>
      <c r="G387" s="50"/>
      <c r="H387" s="50"/>
      <c r="I387" s="30" t="e">
        <f t="shared" si="9"/>
        <v>#DIV/0!</v>
      </c>
      <c r="J387" s="65">
        <f>SUM('[2]ведомствен.'!G497)</f>
        <v>0</v>
      </c>
    </row>
    <row r="388" spans="1:9" ht="32.25" customHeight="1">
      <c r="A388" s="26" t="s">
        <v>344</v>
      </c>
      <c r="B388" s="27"/>
      <c r="C388" s="28" t="s">
        <v>31</v>
      </c>
      <c r="D388" s="28" t="s">
        <v>31</v>
      </c>
      <c r="E388" s="57" t="s">
        <v>345</v>
      </c>
      <c r="F388" s="29"/>
      <c r="G388" s="50">
        <f>SUM(G389)</f>
        <v>1800</v>
      </c>
      <c r="H388" s="50"/>
      <c r="I388" s="30"/>
    </row>
    <row r="389" spans="1:10" ht="23.25" customHeight="1">
      <c r="A389" s="26" t="s">
        <v>195</v>
      </c>
      <c r="B389" s="27"/>
      <c r="C389" s="28" t="s">
        <v>31</v>
      </c>
      <c r="D389" s="28" t="s">
        <v>31</v>
      </c>
      <c r="E389" s="57" t="s">
        <v>345</v>
      </c>
      <c r="F389" s="29" t="s">
        <v>42</v>
      </c>
      <c r="G389" s="50">
        <v>1800</v>
      </c>
      <c r="H389" s="50"/>
      <c r="I389" s="30"/>
      <c r="J389" s="65">
        <f>SUM('[2]ведомствен.'!G499)</f>
        <v>1800</v>
      </c>
    </row>
    <row r="390" spans="1:11" s="130" customFormat="1" ht="15.75">
      <c r="A390" s="136" t="s">
        <v>346</v>
      </c>
      <c r="B390" s="84"/>
      <c r="C390" s="137" t="s">
        <v>983</v>
      </c>
      <c r="D390" s="137"/>
      <c r="E390" s="137"/>
      <c r="F390" s="138"/>
      <c r="G390" s="38">
        <f>SUM(G391)+G395</f>
        <v>15790.4</v>
      </c>
      <c r="H390" s="38">
        <f>SUM(H391)+H395</f>
        <v>2547</v>
      </c>
      <c r="I390" s="38">
        <f aca="true" t="shared" si="10" ref="I390:I453">SUM(H390/G390*100)</f>
        <v>16.13005370351606</v>
      </c>
      <c r="J390" s="129"/>
      <c r="K390" s="130">
        <f>SUM('[2]ведомствен.'!G500)</f>
        <v>19990.399999999998</v>
      </c>
    </row>
    <row r="391" spans="1:11" ht="27.75" customHeight="1">
      <c r="A391" s="131" t="s">
        <v>347</v>
      </c>
      <c r="B391" s="27"/>
      <c r="C391" s="28" t="s">
        <v>983</v>
      </c>
      <c r="D391" s="28" t="s">
        <v>950</v>
      </c>
      <c r="E391" s="28"/>
      <c r="F391" s="29"/>
      <c r="G391" s="30">
        <f>SUM(G394)</f>
        <v>3861.6</v>
      </c>
      <c r="H391" s="30">
        <f>SUM(H394)</f>
        <v>2199.7</v>
      </c>
      <c r="I391" s="30">
        <f t="shared" si="10"/>
        <v>56.96343484565982</v>
      </c>
      <c r="K391" s="65">
        <f>SUM(J391:J410)</f>
        <v>19990.4</v>
      </c>
    </row>
    <row r="392" spans="1:9" ht="15">
      <c r="A392" s="131" t="s">
        <v>348</v>
      </c>
      <c r="B392" s="27"/>
      <c r="C392" s="28" t="s">
        <v>983</v>
      </c>
      <c r="D392" s="28" t="s">
        <v>950</v>
      </c>
      <c r="E392" s="28" t="s">
        <v>349</v>
      </c>
      <c r="F392" s="29"/>
      <c r="G392" s="30">
        <f>SUM(G393)</f>
        <v>3861.6</v>
      </c>
      <c r="H392" s="30">
        <f>SUM(H393)</f>
        <v>2199.7</v>
      </c>
      <c r="I392" s="30">
        <f t="shared" si="10"/>
        <v>56.96343484565982</v>
      </c>
    </row>
    <row r="393" spans="1:9" ht="17.25" customHeight="1">
      <c r="A393" s="131" t="s">
        <v>234</v>
      </c>
      <c r="B393" s="27"/>
      <c r="C393" s="28" t="s">
        <v>983</v>
      </c>
      <c r="D393" s="28" t="s">
        <v>950</v>
      </c>
      <c r="E393" s="28" t="s">
        <v>350</v>
      </c>
      <c r="F393" s="29"/>
      <c r="G393" s="30">
        <f>SUM(G394)</f>
        <v>3861.6</v>
      </c>
      <c r="H393" s="30">
        <f>SUM(H394)</f>
        <v>2199.7</v>
      </c>
      <c r="I393" s="30">
        <f t="shared" si="10"/>
        <v>56.96343484565982</v>
      </c>
    </row>
    <row r="394" spans="1:10" ht="15.75" customHeight="1">
      <c r="A394" s="26" t="s">
        <v>969</v>
      </c>
      <c r="B394" s="27"/>
      <c r="C394" s="28" t="s">
        <v>983</v>
      </c>
      <c r="D394" s="28" t="s">
        <v>950</v>
      </c>
      <c r="E394" s="28" t="s">
        <v>350</v>
      </c>
      <c r="F394" s="29" t="s">
        <v>970</v>
      </c>
      <c r="G394" s="30">
        <v>3861.6</v>
      </c>
      <c r="H394" s="30">
        <v>2199.7</v>
      </c>
      <c r="I394" s="30">
        <f t="shared" si="10"/>
        <v>56.96343484565982</v>
      </c>
      <c r="J394" s="65">
        <f>SUM('[2]ведомствен.'!G503)</f>
        <v>3861.6</v>
      </c>
    </row>
    <row r="395" spans="1:9" ht="17.25" customHeight="1">
      <c r="A395" s="132" t="s">
        <v>240</v>
      </c>
      <c r="B395" s="27"/>
      <c r="C395" s="67" t="s">
        <v>983</v>
      </c>
      <c r="D395" s="67" t="s">
        <v>31</v>
      </c>
      <c r="E395" s="67"/>
      <c r="F395" s="34"/>
      <c r="G395" s="50">
        <f>SUM(G399)+G396</f>
        <v>11928.8</v>
      </c>
      <c r="H395" s="50">
        <f>SUM(H399)+H396</f>
        <v>347.3</v>
      </c>
      <c r="I395" s="30">
        <f t="shared" si="10"/>
        <v>2.9114412178928313</v>
      </c>
    </row>
    <row r="396" spans="1:10" ht="19.5" customHeight="1">
      <c r="A396" s="31" t="s">
        <v>67</v>
      </c>
      <c r="B396" s="27"/>
      <c r="C396" s="67" t="s">
        <v>983</v>
      </c>
      <c r="D396" s="67" t="s">
        <v>31</v>
      </c>
      <c r="E396" s="28" t="s">
        <v>68</v>
      </c>
      <c r="F396" s="34"/>
      <c r="G396" s="50">
        <f>SUM(G397)</f>
        <v>9800</v>
      </c>
      <c r="H396" s="50">
        <f>SUM(H397)</f>
        <v>0</v>
      </c>
      <c r="I396" s="30">
        <f>SUM(H396/G396*100)</f>
        <v>0</v>
      </c>
      <c r="J396" s="3"/>
    </row>
    <row r="397" spans="1:10" ht="42.75" customHeight="1">
      <c r="A397" s="31" t="s">
        <v>241</v>
      </c>
      <c r="B397" s="27"/>
      <c r="C397" s="67" t="s">
        <v>983</v>
      </c>
      <c r="D397" s="67" t="s">
        <v>31</v>
      </c>
      <c r="E397" s="28" t="s">
        <v>242</v>
      </c>
      <c r="F397" s="29"/>
      <c r="G397" s="50">
        <f>SUM(G398)</f>
        <v>9800</v>
      </c>
      <c r="H397" s="50">
        <f>SUM(H398)</f>
        <v>0</v>
      </c>
      <c r="I397" s="30">
        <f>SUM(H397/G397*100)</f>
        <v>0</v>
      </c>
      <c r="J397" s="3"/>
    </row>
    <row r="398" spans="1:10" ht="19.5" customHeight="1">
      <c r="A398" s="26" t="s">
        <v>195</v>
      </c>
      <c r="B398" s="27"/>
      <c r="C398" s="67" t="s">
        <v>983</v>
      </c>
      <c r="D398" s="67" t="s">
        <v>31</v>
      </c>
      <c r="E398" s="28" t="s">
        <v>242</v>
      </c>
      <c r="F398" s="29" t="s">
        <v>42</v>
      </c>
      <c r="G398" s="50">
        <v>9800</v>
      </c>
      <c r="H398" s="50"/>
      <c r="I398" s="30">
        <f>SUM(H398/G398*100)</f>
        <v>0</v>
      </c>
      <c r="J398" s="3">
        <f>SUM('[2]ведомствен.'!G508)</f>
        <v>9800</v>
      </c>
    </row>
    <row r="399" spans="1:9" ht="14.25" customHeight="1">
      <c r="A399" s="26" t="s">
        <v>20</v>
      </c>
      <c r="B399" s="27"/>
      <c r="C399" s="67" t="s">
        <v>983</v>
      </c>
      <c r="D399" s="67" t="s">
        <v>31</v>
      </c>
      <c r="E399" s="28" t="s">
        <v>21</v>
      </c>
      <c r="F399" s="34"/>
      <c r="G399" s="50">
        <f>SUM(G402+G403+G407)</f>
        <v>2128.8</v>
      </c>
      <c r="H399" s="50">
        <f>SUM(H402+H403+H407)</f>
        <v>347.3</v>
      </c>
      <c r="I399" s="30">
        <f t="shared" si="10"/>
        <v>16.31435550544908</v>
      </c>
    </row>
    <row r="400" spans="1:9" ht="15" customHeight="1" hidden="1">
      <c r="A400" s="135" t="s">
        <v>243</v>
      </c>
      <c r="B400" s="27"/>
      <c r="C400" s="67" t="s">
        <v>983</v>
      </c>
      <c r="D400" s="67" t="s">
        <v>31</v>
      </c>
      <c r="E400" s="28" t="s">
        <v>21</v>
      </c>
      <c r="F400" s="34" t="s">
        <v>244</v>
      </c>
      <c r="G400" s="50"/>
      <c r="H400" s="50"/>
      <c r="I400" s="30" t="e">
        <f t="shared" si="10"/>
        <v>#DIV/0!</v>
      </c>
    </row>
    <row r="401" spans="1:9" ht="26.25" customHeight="1" hidden="1">
      <c r="A401" s="148" t="s">
        <v>245</v>
      </c>
      <c r="B401" s="27"/>
      <c r="C401" s="67" t="s">
        <v>983</v>
      </c>
      <c r="D401" s="67" t="s">
        <v>31</v>
      </c>
      <c r="E401" s="72" t="s">
        <v>21</v>
      </c>
      <c r="F401" s="73" t="s">
        <v>244</v>
      </c>
      <c r="G401" s="74">
        <v>300</v>
      </c>
      <c r="H401" s="74">
        <v>300</v>
      </c>
      <c r="I401" s="30">
        <f t="shared" si="10"/>
        <v>100</v>
      </c>
    </row>
    <row r="402" spans="1:9" ht="15" customHeight="1" hidden="1">
      <c r="A402" s="26" t="s">
        <v>969</v>
      </c>
      <c r="B402" s="27"/>
      <c r="C402" s="67" t="s">
        <v>983</v>
      </c>
      <c r="D402" s="67" t="s">
        <v>31</v>
      </c>
      <c r="E402" s="67" t="s">
        <v>21</v>
      </c>
      <c r="F402" s="34" t="s">
        <v>970</v>
      </c>
      <c r="G402" s="50"/>
      <c r="H402" s="50"/>
      <c r="I402" s="30" t="e">
        <f t="shared" si="10"/>
        <v>#DIV/0!</v>
      </c>
    </row>
    <row r="403" spans="1:9" ht="27.75" customHeight="1">
      <c r="A403" s="132" t="s">
        <v>207</v>
      </c>
      <c r="B403" s="27"/>
      <c r="C403" s="67" t="s">
        <v>983</v>
      </c>
      <c r="D403" s="67" t="s">
        <v>31</v>
      </c>
      <c r="E403" s="67" t="s">
        <v>209</v>
      </c>
      <c r="F403" s="34"/>
      <c r="G403" s="50">
        <f>SUM(G404:G410)</f>
        <v>2128.8</v>
      </c>
      <c r="H403" s="50">
        <f>SUM(H404:H406)</f>
        <v>347.3</v>
      </c>
      <c r="I403" s="30">
        <f t="shared" si="10"/>
        <v>16.31435550544908</v>
      </c>
    </row>
    <row r="404" spans="1:9" ht="18" customHeight="1" hidden="1">
      <c r="A404" s="131" t="s">
        <v>195</v>
      </c>
      <c r="B404" s="27"/>
      <c r="C404" s="67" t="s">
        <v>983</v>
      </c>
      <c r="D404" s="67" t="s">
        <v>31</v>
      </c>
      <c r="E404" s="67" t="s">
        <v>209</v>
      </c>
      <c r="F404" s="29" t="s">
        <v>42</v>
      </c>
      <c r="G404" s="50"/>
      <c r="H404" s="50"/>
      <c r="I404" s="30" t="e">
        <f t="shared" si="10"/>
        <v>#DIV/0!</v>
      </c>
    </row>
    <row r="405" spans="1:10" ht="15.75" customHeight="1" hidden="1">
      <c r="A405" s="131" t="s">
        <v>10</v>
      </c>
      <c r="B405" s="27"/>
      <c r="C405" s="67" t="s">
        <v>983</v>
      </c>
      <c r="D405" s="67" t="s">
        <v>31</v>
      </c>
      <c r="E405" s="67" t="s">
        <v>208</v>
      </c>
      <c r="F405" s="29" t="s">
        <v>11</v>
      </c>
      <c r="G405" s="50">
        <f>1300-1300</f>
        <v>0</v>
      </c>
      <c r="H405" s="50"/>
      <c r="I405" s="30"/>
      <c r="J405" s="65">
        <f>SUM('[2]ведомствен.'!G515)</f>
        <v>0</v>
      </c>
    </row>
    <row r="406" spans="1:10" ht="18.75" customHeight="1">
      <c r="A406" s="26" t="s">
        <v>246</v>
      </c>
      <c r="B406" s="27"/>
      <c r="C406" s="67" t="s">
        <v>983</v>
      </c>
      <c r="D406" s="67" t="s">
        <v>31</v>
      </c>
      <c r="E406" s="67" t="s">
        <v>209</v>
      </c>
      <c r="F406" s="34" t="s">
        <v>247</v>
      </c>
      <c r="G406" s="50">
        <v>2128.8</v>
      </c>
      <c r="H406" s="50">
        <v>347.3</v>
      </c>
      <c r="I406" s="30">
        <f t="shared" si="10"/>
        <v>16.31435550544908</v>
      </c>
      <c r="J406" s="65">
        <f>SUM('[2]ведомствен.'!G516)</f>
        <v>2128.8</v>
      </c>
    </row>
    <row r="407" spans="1:9" ht="25.5" customHeight="1" hidden="1">
      <c r="A407" s="44" t="s">
        <v>352</v>
      </c>
      <c r="B407" s="27"/>
      <c r="C407" s="67" t="s">
        <v>983</v>
      </c>
      <c r="D407" s="67" t="s">
        <v>31</v>
      </c>
      <c r="E407" s="67" t="s">
        <v>353</v>
      </c>
      <c r="F407" s="34"/>
      <c r="G407" s="50">
        <f>SUM(G408+G409)</f>
        <v>0</v>
      </c>
      <c r="H407" s="50">
        <f>SUM(H408+H409)</f>
        <v>0</v>
      </c>
      <c r="I407" s="30" t="e">
        <f t="shared" si="10"/>
        <v>#DIV/0!</v>
      </c>
    </row>
    <row r="408" spans="1:9" ht="18" customHeight="1" hidden="1">
      <c r="A408" s="131" t="s">
        <v>195</v>
      </c>
      <c r="B408" s="27"/>
      <c r="C408" s="67" t="s">
        <v>983</v>
      </c>
      <c r="D408" s="67" t="s">
        <v>31</v>
      </c>
      <c r="E408" s="67" t="s">
        <v>353</v>
      </c>
      <c r="F408" s="29" t="s">
        <v>42</v>
      </c>
      <c r="G408" s="50"/>
      <c r="H408" s="50"/>
      <c r="I408" s="30" t="e">
        <f t="shared" si="10"/>
        <v>#DIV/0!</v>
      </c>
    </row>
    <row r="409" spans="1:9" ht="21.75" customHeight="1" hidden="1">
      <c r="A409" s="26" t="s">
        <v>246</v>
      </c>
      <c r="B409" s="27"/>
      <c r="C409" s="67" t="s">
        <v>983</v>
      </c>
      <c r="D409" s="67" t="s">
        <v>31</v>
      </c>
      <c r="E409" s="67" t="s">
        <v>353</v>
      </c>
      <c r="F409" s="34" t="s">
        <v>354</v>
      </c>
      <c r="G409" s="50"/>
      <c r="H409" s="50"/>
      <c r="I409" s="30" t="e">
        <f t="shared" si="10"/>
        <v>#DIV/0!</v>
      </c>
    </row>
    <row r="410" spans="1:10" ht="17.25" customHeight="1">
      <c r="A410" s="26" t="s">
        <v>195</v>
      </c>
      <c r="B410" s="27"/>
      <c r="C410" s="67" t="s">
        <v>983</v>
      </c>
      <c r="D410" s="67" t="s">
        <v>31</v>
      </c>
      <c r="E410" s="67" t="s">
        <v>209</v>
      </c>
      <c r="F410" s="29" t="s">
        <v>42</v>
      </c>
      <c r="G410" s="50">
        <f>4200-4200</f>
        <v>0</v>
      </c>
      <c r="H410" s="50"/>
      <c r="I410" s="30" t="e">
        <f>SUM(H410/G410*100)</f>
        <v>#DIV/0!</v>
      </c>
      <c r="J410" s="3">
        <f>SUM('[2]ведомствен.'!G517)</f>
        <v>4200</v>
      </c>
    </row>
    <row r="411" spans="1:9" ht="15" customHeight="1" hidden="1">
      <c r="A411" s="131" t="s">
        <v>669</v>
      </c>
      <c r="B411" s="27"/>
      <c r="C411" s="28" t="s">
        <v>5</v>
      </c>
      <c r="D411" s="28" t="s">
        <v>940</v>
      </c>
      <c r="E411" s="75" t="s">
        <v>668</v>
      </c>
      <c r="F411" s="86">
        <v>273</v>
      </c>
      <c r="G411" s="30"/>
      <c r="H411" s="30"/>
      <c r="I411" s="30" t="e">
        <f t="shared" si="10"/>
        <v>#DIV/0!</v>
      </c>
    </row>
    <row r="412" spans="1:12" s="130" customFormat="1" ht="15.75">
      <c r="A412" s="136" t="s">
        <v>962</v>
      </c>
      <c r="B412" s="84"/>
      <c r="C412" s="137" t="s">
        <v>963</v>
      </c>
      <c r="D412" s="137"/>
      <c r="E412" s="137"/>
      <c r="F412" s="138"/>
      <c r="G412" s="38">
        <f>SUM(G413+G437+G507+G539)</f>
        <v>1209961</v>
      </c>
      <c r="H412" s="38">
        <f>SUM(H413+H437+H507+H539)</f>
        <v>859779.4</v>
      </c>
      <c r="I412" s="38">
        <f t="shared" si="10"/>
        <v>71.0584390736561</v>
      </c>
      <c r="J412" s="129"/>
      <c r="K412" s="130">
        <f>SUM('[2]ведомствен.'!G521+'[2]ведомствен.'!G694+'[2]ведомствен.'!G954+'[2]ведомствен.'!G1043+'[2]ведомствен.'!G1203)</f>
        <v>1205426.8</v>
      </c>
      <c r="L412" s="149"/>
    </row>
    <row r="413" spans="1:11" s="64" customFormat="1" ht="15.75">
      <c r="A413" s="26" t="s">
        <v>355</v>
      </c>
      <c r="B413" s="36"/>
      <c r="C413" s="28" t="s">
        <v>963</v>
      </c>
      <c r="D413" s="28" t="s">
        <v>940</v>
      </c>
      <c r="E413" s="28"/>
      <c r="F413" s="29"/>
      <c r="G413" s="30">
        <f>SUM(G414+G430)+G433</f>
        <v>434183.8999999999</v>
      </c>
      <c r="H413" s="30">
        <f>SUM(H414+H430)</f>
        <v>222557.3</v>
      </c>
      <c r="I413" s="30">
        <f t="shared" si="10"/>
        <v>51.25876385559207</v>
      </c>
      <c r="J413" s="150"/>
      <c r="K413" s="151">
        <f>SUM(J417:J579)</f>
        <v>1214232.2</v>
      </c>
    </row>
    <row r="414" spans="1:10" s="64" customFormat="1" ht="15.75">
      <c r="A414" s="26" t="s">
        <v>670</v>
      </c>
      <c r="B414" s="36"/>
      <c r="C414" s="28" t="s">
        <v>963</v>
      </c>
      <c r="D414" s="28" t="s">
        <v>940</v>
      </c>
      <c r="E414" s="28" t="s">
        <v>671</v>
      </c>
      <c r="F414" s="29"/>
      <c r="G414" s="30">
        <f>SUM(G417,G415)</f>
        <v>386158.79999999993</v>
      </c>
      <c r="H414" s="30">
        <f>SUM(H417)</f>
        <v>213007.5</v>
      </c>
      <c r="I414" s="30">
        <f t="shared" si="10"/>
        <v>55.160597142937064</v>
      </c>
      <c r="J414" s="150"/>
    </row>
    <row r="415" spans="1:10" ht="76.5" customHeight="1">
      <c r="A415" s="26" t="s">
        <v>603</v>
      </c>
      <c r="B415" s="36"/>
      <c r="C415" s="28" t="s">
        <v>963</v>
      </c>
      <c r="D415" s="28" t="s">
        <v>940</v>
      </c>
      <c r="E415" s="28" t="s">
        <v>916</v>
      </c>
      <c r="F415" s="29"/>
      <c r="G415" s="30">
        <f>SUM(G416)</f>
        <v>1785.1</v>
      </c>
      <c r="H415" s="30">
        <f>SUM(H416)</f>
        <v>120.3</v>
      </c>
      <c r="I415" s="30">
        <f>SUM(H415/G415*100)</f>
        <v>6.739118256680299</v>
      </c>
      <c r="J415" s="3"/>
    </row>
    <row r="416" spans="1:10" ht="29.25" customHeight="1">
      <c r="A416" s="26" t="s">
        <v>605</v>
      </c>
      <c r="B416" s="36"/>
      <c r="C416" s="28" t="s">
        <v>963</v>
      </c>
      <c r="D416" s="28" t="s">
        <v>940</v>
      </c>
      <c r="E416" s="28" t="s">
        <v>916</v>
      </c>
      <c r="F416" s="29" t="s">
        <v>970</v>
      </c>
      <c r="G416" s="30">
        <v>1785.1</v>
      </c>
      <c r="H416" s="30">
        <v>120.3</v>
      </c>
      <c r="I416" s="30">
        <f>SUM(H416/G416*100)</f>
        <v>6.739118256680299</v>
      </c>
      <c r="J416" s="3"/>
    </row>
    <row r="417" spans="1:10" s="64" customFormat="1" ht="18.75" customHeight="1">
      <c r="A417" s="26" t="s">
        <v>234</v>
      </c>
      <c r="B417" s="36"/>
      <c r="C417" s="28" t="s">
        <v>963</v>
      </c>
      <c r="D417" s="28" t="s">
        <v>940</v>
      </c>
      <c r="E417" s="28" t="s">
        <v>672</v>
      </c>
      <c r="F417" s="29"/>
      <c r="G417" s="30">
        <f>SUM(G418+G422+G426+G428+G420)+G424</f>
        <v>384373.69999999995</v>
      </c>
      <c r="H417" s="30">
        <f>SUM(H418+H422+H426+H428+H420)</f>
        <v>213007.5</v>
      </c>
      <c r="I417" s="30">
        <f t="shared" si="10"/>
        <v>55.41677279168684</v>
      </c>
      <c r="J417" s="150"/>
    </row>
    <row r="418" spans="1:10" s="64" customFormat="1" ht="14.25" customHeight="1">
      <c r="A418" s="26" t="s">
        <v>969</v>
      </c>
      <c r="B418" s="36"/>
      <c r="C418" s="28" t="s">
        <v>963</v>
      </c>
      <c r="D418" s="28" t="s">
        <v>940</v>
      </c>
      <c r="E418" s="28" t="s">
        <v>672</v>
      </c>
      <c r="F418" s="29" t="s">
        <v>970</v>
      </c>
      <c r="G418" s="30">
        <f>357056-214.4+365.5+85.8</f>
        <v>357292.89999999997</v>
      </c>
      <c r="H418" s="30">
        <v>187516.5</v>
      </c>
      <c r="I418" s="30">
        <f t="shared" si="10"/>
        <v>52.482571022262135</v>
      </c>
      <c r="J418" s="150">
        <f>SUM('[2]ведомствен.'!G1047)</f>
        <v>356841.6</v>
      </c>
    </row>
    <row r="419" spans="1:10" s="64" customFormat="1" ht="47.25" customHeight="1" hidden="1">
      <c r="A419" s="26" t="s">
        <v>674</v>
      </c>
      <c r="B419" s="36"/>
      <c r="C419" s="28" t="s">
        <v>963</v>
      </c>
      <c r="D419" s="28" t="s">
        <v>940</v>
      </c>
      <c r="E419" s="28" t="s">
        <v>672</v>
      </c>
      <c r="F419" s="29" t="s">
        <v>675</v>
      </c>
      <c r="G419" s="30"/>
      <c r="H419" s="30"/>
      <c r="I419" s="30" t="e">
        <f t="shared" si="10"/>
        <v>#DIV/0!</v>
      </c>
      <c r="J419" s="150"/>
    </row>
    <row r="420" spans="1:9" ht="60.75" customHeight="1">
      <c r="A420" s="26" t="s">
        <v>603</v>
      </c>
      <c r="B420" s="36"/>
      <c r="C420" s="28" t="s">
        <v>963</v>
      </c>
      <c r="D420" s="28" t="s">
        <v>940</v>
      </c>
      <c r="E420" s="28" t="s">
        <v>673</v>
      </c>
      <c r="F420" s="29"/>
      <c r="G420" s="30">
        <f>SUM(G421)</f>
        <v>556.5</v>
      </c>
      <c r="H420" s="30">
        <f>SUM(H421)</f>
        <v>120.3</v>
      </c>
      <c r="I420" s="30">
        <f t="shared" si="10"/>
        <v>21.617250673854446</v>
      </c>
    </row>
    <row r="421" spans="1:10" ht="30.75" customHeight="1">
      <c r="A421" s="26" t="s">
        <v>605</v>
      </c>
      <c r="B421" s="36"/>
      <c r="C421" s="28" t="s">
        <v>963</v>
      </c>
      <c r="D421" s="28" t="s">
        <v>940</v>
      </c>
      <c r="E421" s="28" t="s">
        <v>673</v>
      </c>
      <c r="F421" s="29" t="s">
        <v>606</v>
      </c>
      <c r="G421" s="30">
        <f>410.7+145.8</f>
        <v>556.5</v>
      </c>
      <c r="H421" s="30">
        <v>120.3</v>
      </c>
      <c r="I421" s="30">
        <f t="shared" si="10"/>
        <v>21.617250673854446</v>
      </c>
      <c r="J421" s="150">
        <f>SUM('[2]ведомствен.'!G1049)</f>
        <v>410.7</v>
      </c>
    </row>
    <row r="422" spans="1:10" s="64" customFormat="1" ht="32.25" customHeight="1">
      <c r="A422" s="26" t="s">
        <v>676</v>
      </c>
      <c r="B422" s="27"/>
      <c r="C422" s="28" t="s">
        <v>963</v>
      </c>
      <c r="D422" s="28" t="s">
        <v>940</v>
      </c>
      <c r="E422" s="28" t="s">
        <v>677</v>
      </c>
      <c r="F422" s="29"/>
      <c r="G422" s="30">
        <f>SUM(G423)</f>
        <v>23046</v>
      </c>
      <c r="H422" s="30">
        <f>SUM(H423)</f>
        <v>24134</v>
      </c>
      <c r="I422" s="30">
        <f t="shared" si="10"/>
        <v>104.72099279701466</v>
      </c>
      <c r="J422" s="150"/>
    </row>
    <row r="423" spans="1:10" s="64" customFormat="1" ht="17.25" customHeight="1">
      <c r="A423" s="26" t="s">
        <v>969</v>
      </c>
      <c r="B423" s="36"/>
      <c r="C423" s="28" t="s">
        <v>963</v>
      </c>
      <c r="D423" s="28" t="s">
        <v>940</v>
      </c>
      <c r="E423" s="28" t="s">
        <v>677</v>
      </c>
      <c r="F423" s="29" t="s">
        <v>970</v>
      </c>
      <c r="G423" s="30">
        <v>23046</v>
      </c>
      <c r="H423" s="30">
        <v>24134</v>
      </c>
      <c r="I423" s="30">
        <f t="shared" si="10"/>
        <v>104.72099279701466</v>
      </c>
      <c r="J423" s="150">
        <f>SUM('[2]ведомствен.'!G1052)</f>
        <v>23046</v>
      </c>
    </row>
    <row r="424" spans="1:10" ht="44.25" customHeight="1">
      <c r="A424" s="26" t="s">
        <v>678</v>
      </c>
      <c r="B424" s="27"/>
      <c r="C424" s="28" t="s">
        <v>963</v>
      </c>
      <c r="D424" s="28" t="s">
        <v>940</v>
      </c>
      <c r="E424" s="28" t="s">
        <v>679</v>
      </c>
      <c r="F424" s="29"/>
      <c r="G424" s="30">
        <f>SUM(G425)</f>
        <v>285</v>
      </c>
      <c r="H424" s="30"/>
      <c r="I424" s="30"/>
      <c r="J424" s="3"/>
    </row>
    <row r="425" spans="1:10" ht="20.25" customHeight="1">
      <c r="A425" s="26" t="s">
        <v>969</v>
      </c>
      <c r="B425" s="27"/>
      <c r="C425" s="28" t="s">
        <v>963</v>
      </c>
      <c r="D425" s="28" t="s">
        <v>940</v>
      </c>
      <c r="E425" s="28" t="s">
        <v>679</v>
      </c>
      <c r="F425" s="29" t="s">
        <v>970</v>
      </c>
      <c r="G425" s="30">
        <v>285</v>
      </c>
      <c r="H425" s="30"/>
      <c r="I425" s="30"/>
      <c r="J425" s="3">
        <f>SUM('[2]ведомствен.'!G1054)</f>
        <v>285</v>
      </c>
    </row>
    <row r="426" spans="1:10" s="64" customFormat="1" ht="33" customHeight="1">
      <c r="A426" s="26" t="s">
        <v>680</v>
      </c>
      <c r="B426" s="36"/>
      <c r="C426" s="28" t="s">
        <v>963</v>
      </c>
      <c r="D426" s="28" t="s">
        <v>940</v>
      </c>
      <c r="E426" s="28" t="s">
        <v>681</v>
      </c>
      <c r="F426" s="29"/>
      <c r="G426" s="30">
        <f>SUM(G427)</f>
        <v>1941.8</v>
      </c>
      <c r="H426" s="30">
        <f>SUM(H427)</f>
        <v>1236.7</v>
      </c>
      <c r="I426" s="30">
        <f t="shared" si="10"/>
        <v>63.688330415078795</v>
      </c>
      <c r="J426" s="150"/>
    </row>
    <row r="427" spans="1:10" s="64" customFormat="1" ht="15" customHeight="1">
      <c r="A427" s="26" t="s">
        <v>969</v>
      </c>
      <c r="B427" s="36"/>
      <c r="C427" s="28" t="s">
        <v>963</v>
      </c>
      <c r="D427" s="28" t="s">
        <v>940</v>
      </c>
      <c r="E427" s="28" t="s">
        <v>681</v>
      </c>
      <c r="F427" s="29" t="s">
        <v>970</v>
      </c>
      <c r="G427" s="30">
        <f>2077.5-135.7</f>
        <v>1941.8</v>
      </c>
      <c r="H427" s="30">
        <v>1236.7</v>
      </c>
      <c r="I427" s="30">
        <f t="shared" si="10"/>
        <v>63.688330415078795</v>
      </c>
      <c r="J427" s="150">
        <f>SUM('[2]ведомствен.'!G1056)</f>
        <v>2077.5</v>
      </c>
    </row>
    <row r="428" spans="1:10" s="64" customFormat="1" ht="26.25" customHeight="1">
      <c r="A428" s="26" t="s">
        <v>879</v>
      </c>
      <c r="B428" s="32"/>
      <c r="C428" s="28" t="s">
        <v>963</v>
      </c>
      <c r="D428" s="28" t="s">
        <v>940</v>
      </c>
      <c r="E428" s="28" t="s">
        <v>683</v>
      </c>
      <c r="F428" s="29"/>
      <c r="G428" s="30">
        <f>SUM(G429)</f>
        <v>1251.5</v>
      </c>
      <c r="H428" s="30">
        <f>SUM(H429)</f>
        <v>0</v>
      </c>
      <c r="I428" s="30">
        <f t="shared" si="10"/>
        <v>0</v>
      </c>
      <c r="J428" s="150"/>
    </row>
    <row r="429" spans="1:10" s="64" customFormat="1" ht="21" customHeight="1">
      <c r="A429" s="26" t="s">
        <v>969</v>
      </c>
      <c r="B429" s="32"/>
      <c r="C429" s="28" t="s">
        <v>963</v>
      </c>
      <c r="D429" s="28" t="s">
        <v>940</v>
      </c>
      <c r="E429" s="28" t="s">
        <v>683</v>
      </c>
      <c r="F429" s="29" t="s">
        <v>970</v>
      </c>
      <c r="G429" s="30">
        <v>1251.5</v>
      </c>
      <c r="H429" s="30"/>
      <c r="I429" s="30">
        <f t="shared" si="10"/>
        <v>0</v>
      </c>
      <c r="J429" s="150">
        <f>SUM('[2]ведомствен.'!G1059)</f>
        <v>1251.5</v>
      </c>
    </row>
    <row r="430" spans="1:10" s="64" customFormat="1" ht="15.75" customHeight="1">
      <c r="A430" s="26" t="s">
        <v>67</v>
      </c>
      <c r="B430" s="36"/>
      <c r="C430" s="28" t="s">
        <v>963</v>
      </c>
      <c r="D430" s="28" t="s">
        <v>940</v>
      </c>
      <c r="E430" s="28" t="s">
        <v>68</v>
      </c>
      <c r="F430" s="29"/>
      <c r="G430" s="30">
        <f>SUM(G431)</f>
        <v>35303.1</v>
      </c>
      <c r="H430" s="30">
        <f>SUM(H431)</f>
        <v>9549.8</v>
      </c>
      <c r="I430" s="30">
        <f t="shared" si="10"/>
        <v>27.0508822171424</v>
      </c>
      <c r="J430" s="150"/>
    </row>
    <row r="431" spans="1:10" s="64" customFormat="1" ht="45" customHeight="1">
      <c r="A431" s="26" t="s">
        <v>356</v>
      </c>
      <c r="B431" s="36"/>
      <c r="C431" s="28" t="s">
        <v>963</v>
      </c>
      <c r="D431" s="28" t="s">
        <v>940</v>
      </c>
      <c r="E431" s="28" t="s">
        <v>357</v>
      </c>
      <c r="F431" s="29"/>
      <c r="G431" s="30">
        <f>SUM(G432)</f>
        <v>35303.1</v>
      </c>
      <c r="H431" s="30">
        <f>SUM(H432)</f>
        <v>9549.8</v>
      </c>
      <c r="I431" s="30">
        <f t="shared" si="10"/>
        <v>27.0508822171424</v>
      </c>
      <c r="J431" s="150"/>
    </row>
    <row r="432" spans="1:10" s="64" customFormat="1" ht="27.75" customHeight="1">
      <c r="A432" s="26" t="s">
        <v>969</v>
      </c>
      <c r="B432" s="36"/>
      <c r="C432" s="28" t="s">
        <v>963</v>
      </c>
      <c r="D432" s="28" t="s">
        <v>940</v>
      </c>
      <c r="E432" s="28" t="s">
        <v>357</v>
      </c>
      <c r="F432" s="29" t="s">
        <v>970</v>
      </c>
      <c r="G432" s="30">
        <v>35303.1</v>
      </c>
      <c r="H432" s="30">
        <v>9549.8</v>
      </c>
      <c r="I432" s="30">
        <f t="shared" si="10"/>
        <v>27.0508822171424</v>
      </c>
      <c r="J432" s="81">
        <f>SUM('[2]ведомствен.'!G1062)+'[2]ведомствен.'!G525</f>
        <v>35303.1</v>
      </c>
    </row>
    <row r="433" spans="1:10" s="82" customFormat="1" ht="15">
      <c r="A433" s="26" t="s">
        <v>20</v>
      </c>
      <c r="B433" s="80"/>
      <c r="C433" s="28" t="s">
        <v>963</v>
      </c>
      <c r="D433" s="28" t="s">
        <v>940</v>
      </c>
      <c r="E433" s="28" t="s">
        <v>21</v>
      </c>
      <c r="F433" s="29"/>
      <c r="G433" s="30">
        <f>SUM(G434)</f>
        <v>12722</v>
      </c>
      <c r="H433" s="30" t="e">
        <f>SUM(#REF!)</f>
        <v>#REF!</v>
      </c>
      <c r="I433" s="30" t="e">
        <f>SUM(H433/G433*100)</f>
        <v>#REF!</v>
      </c>
      <c r="J433" s="81"/>
    </row>
    <row r="434" spans="1:10" s="82" customFormat="1" ht="28.5">
      <c r="A434" s="26" t="s">
        <v>358</v>
      </c>
      <c r="B434" s="27"/>
      <c r="C434" s="28" t="s">
        <v>963</v>
      </c>
      <c r="D434" s="28" t="s">
        <v>940</v>
      </c>
      <c r="E434" s="28" t="s">
        <v>359</v>
      </c>
      <c r="F434" s="34"/>
      <c r="G434" s="50">
        <f>SUM(G435,G436)</f>
        <v>12722</v>
      </c>
      <c r="H434" s="30"/>
      <c r="I434" s="30"/>
      <c r="J434" s="81"/>
    </row>
    <row r="435" spans="1:10" s="82" customFormat="1" ht="15">
      <c r="A435" s="26" t="s">
        <v>459</v>
      </c>
      <c r="B435" s="27"/>
      <c r="C435" s="28" t="s">
        <v>963</v>
      </c>
      <c r="D435" s="28" t="s">
        <v>940</v>
      </c>
      <c r="E435" s="28" t="s">
        <v>359</v>
      </c>
      <c r="F435" s="34" t="s">
        <v>460</v>
      </c>
      <c r="G435" s="50">
        <f>16643.3-590-5200</f>
        <v>10853.3</v>
      </c>
      <c r="H435" s="30"/>
      <c r="I435" s="30"/>
      <c r="J435" s="81">
        <f>SUM('[2]ведомствен.'!G1065)+'[2]ведомствен.'!G528</f>
        <v>16643.3</v>
      </c>
    </row>
    <row r="436" spans="1:10" s="82" customFormat="1" ht="15">
      <c r="A436" s="26"/>
      <c r="B436" s="27"/>
      <c r="C436" s="28" t="s">
        <v>963</v>
      </c>
      <c r="D436" s="28" t="s">
        <v>940</v>
      </c>
      <c r="E436" s="28" t="s">
        <v>359</v>
      </c>
      <c r="F436" s="34" t="s">
        <v>42</v>
      </c>
      <c r="G436" s="50">
        <f>5200-2560-0.6-0.1-770.6</f>
        <v>1868.7000000000003</v>
      </c>
      <c r="H436" s="30"/>
      <c r="I436" s="30"/>
      <c r="J436" s="81"/>
    </row>
    <row r="437" spans="1:10" s="64" customFormat="1" ht="15.75" customHeight="1">
      <c r="A437" s="26" t="s">
        <v>231</v>
      </c>
      <c r="B437" s="36"/>
      <c r="C437" s="28" t="s">
        <v>963</v>
      </c>
      <c r="D437" s="28" t="s">
        <v>942</v>
      </c>
      <c r="E437" s="28"/>
      <c r="F437" s="29"/>
      <c r="G437" s="30">
        <f>SUM(G443+G463+G482+G498)+G503+G475+G494+G491+G438+G505</f>
        <v>685209.9000000001</v>
      </c>
      <c r="H437" s="30">
        <f>SUM(H443+H463+H482+H498)+H503+H475+H494+H491+H438+H505</f>
        <v>567158.7000000001</v>
      </c>
      <c r="I437" s="30">
        <f t="shared" si="10"/>
        <v>82.77152738160963</v>
      </c>
      <c r="J437" s="150"/>
    </row>
    <row r="438" spans="1:10" s="64" customFormat="1" ht="16.5" customHeight="1">
      <c r="A438" s="26" t="s">
        <v>94</v>
      </c>
      <c r="B438" s="36"/>
      <c r="C438" s="28" t="s">
        <v>963</v>
      </c>
      <c r="D438" s="28" t="s">
        <v>942</v>
      </c>
      <c r="E438" s="28" t="s">
        <v>95</v>
      </c>
      <c r="F438" s="29"/>
      <c r="G438" s="30">
        <f>SUM(G439+G441)</f>
        <v>317.1</v>
      </c>
      <c r="H438" s="30">
        <f>SUM(H439+H441)</f>
        <v>0</v>
      </c>
      <c r="I438" s="30">
        <f t="shared" si="10"/>
        <v>0</v>
      </c>
      <c r="J438" s="150"/>
    </row>
    <row r="439" spans="1:9" ht="20.25" customHeight="1" hidden="1">
      <c r="A439" s="26" t="s">
        <v>686</v>
      </c>
      <c r="B439" s="36"/>
      <c r="C439" s="28" t="s">
        <v>963</v>
      </c>
      <c r="D439" s="28" t="s">
        <v>942</v>
      </c>
      <c r="E439" s="28" t="s">
        <v>687</v>
      </c>
      <c r="F439" s="29"/>
      <c r="G439" s="30">
        <f>SUM(G440)</f>
        <v>0</v>
      </c>
      <c r="H439" s="30">
        <f>SUM(H440)</f>
        <v>0</v>
      </c>
      <c r="I439" s="30" t="e">
        <f t="shared" si="10"/>
        <v>#DIV/0!</v>
      </c>
    </row>
    <row r="440" spans="1:9" ht="23.25" customHeight="1" hidden="1">
      <c r="A440" s="26" t="s">
        <v>969</v>
      </c>
      <c r="B440" s="36"/>
      <c r="C440" s="28" t="s">
        <v>963</v>
      </c>
      <c r="D440" s="28" t="s">
        <v>942</v>
      </c>
      <c r="E440" s="28" t="s">
        <v>687</v>
      </c>
      <c r="F440" s="29" t="s">
        <v>970</v>
      </c>
      <c r="G440" s="30"/>
      <c r="H440" s="30"/>
      <c r="I440" s="30" t="e">
        <f t="shared" si="10"/>
        <v>#DIV/0!</v>
      </c>
    </row>
    <row r="441" spans="1:9" ht="21.75" customHeight="1">
      <c r="A441" s="131" t="s">
        <v>96</v>
      </c>
      <c r="B441" s="27"/>
      <c r="C441" s="28" t="s">
        <v>963</v>
      </c>
      <c r="D441" s="28" t="s">
        <v>942</v>
      </c>
      <c r="E441" s="28" t="s">
        <v>97</v>
      </c>
      <c r="F441" s="29"/>
      <c r="G441" s="30">
        <f>SUM(G442)</f>
        <v>317.1</v>
      </c>
      <c r="H441" s="30">
        <f>SUM(H442)</f>
        <v>0</v>
      </c>
      <c r="I441" s="30">
        <f t="shared" si="10"/>
        <v>0</v>
      </c>
    </row>
    <row r="442" spans="1:10" ht="19.5" customHeight="1">
      <c r="A442" s="26" t="s">
        <v>969</v>
      </c>
      <c r="B442" s="36"/>
      <c r="C442" s="28" t="s">
        <v>963</v>
      </c>
      <c r="D442" s="28" t="s">
        <v>942</v>
      </c>
      <c r="E442" s="28" t="s">
        <v>97</v>
      </c>
      <c r="F442" s="29" t="s">
        <v>970</v>
      </c>
      <c r="G442" s="30">
        <v>317.1</v>
      </c>
      <c r="H442" s="30"/>
      <c r="I442" s="30">
        <f t="shared" si="10"/>
        <v>0</v>
      </c>
      <c r="J442" s="65">
        <f>SUM('[2]ведомствен.'!G958)</f>
        <v>317.1</v>
      </c>
    </row>
    <row r="443" spans="1:10" s="64" customFormat="1" ht="28.5" customHeight="1">
      <c r="A443" s="26" t="s">
        <v>232</v>
      </c>
      <c r="B443" s="36"/>
      <c r="C443" s="28" t="s">
        <v>963</v>
      </c>
      <c r="D443" s="28" t="s">
        <v>942</v>
      </c>
      <c r="E443" s="28" t="s">
        <v>233</v>
      </c>
      <c r="F443" s="29"/>
      <c r="G443" s="30">
        <f>SUM(G444)</f>
        <v>463953.5</v>
      </c>
      <c r="H443" s="30">
        <f>SUM(H444)</f>
        <v>462570.80000000005</v>
      </c>
      <c r="I443" s="30">
        <f t="shared" si="10"/>
        <v>99.70197444355955</v>
      </c>
      <c r="J443" s="150"/>
    </row>
    <row r="444" spans="1:10" s="64" customFormat="1" ht="18.75" customHeight="1">
      <c r="A444" s="26" t="s">
        <v>234</v>
      </c>
      <c r="B444" s="36"/>
      <c r="C444" s="28" t="s">
        <v>963</v>
      </c>
      <c r="D444" s="28" t="s">
        <v>942</v>
      </c>
      <c r="E444" s="28" t="s">
        <v>235</v>
      </c>
      <c r="F444" s="29"/>
      <c r="G444" s="30">
        <f>SUM(G445+G452+G454+G456+G461+G448+G450)+G459</f>
        <v>463953.5</v>
      </c>
      <c r="H444" s="30">
        <f>SUM(H445+H452+H454+H456+H461+H448+H450)+H459</f>
        <v>462570.80000000005</v>
      </c>
      <c r="I444" s="30">
        <f t="shared" si="10"/>
        <v>99.70197444355955</v>
      </c>
      <c r="J444" s="150"/>
    </row>
    <row r="445" spans="1:10" s="64" customFormat="1" ht="20.25" customHeight="1">
      <c r="A445" s="26" t="s">
        <v>969</v>
      </c>
      <c r="B445" s="36"/>
      <c r="C445" s="28" t="s">
        <v>963</v>
      </c>
      <c r="D445" s="28" t="s">
        <v>942</v>
      </c>
      <c r="E445" s="28" t="s">
        <v>235</v>
      </c>
      <c r="F445" s="29" t="s">
        <v>970</v>
      </c>
      <c r="G445" s="30">
        <f>105312-552+1014.5-430.1+50</f>
        <v>105394.4</v>
      </c>
      <c r="H445" s="30">
        <v>53118.9</v>
      </c>
      <c r="I445" s="30">
        <f t="shared" si="10"/>
        <v>50.40011613520263</v>
      </c>
      <c r="J445" s="150">
        <f>SUM('[2]ведомствен.'!G1074)+'[2]ведомствен.'!G209</f>
        <v>104760</v>
      </c>
    </row>
    <row r="446" spans="1:10" s="64" customFormat="1" ht="42.75" customHeight="1" hidden="1">
      <c r="A446" s="26" t="s">
        <v>674</v>
      </c>
      <c r="B446" s="36"/>
      <c r="C446" s="28" t="s">
        <v>963</v>
      </c>
      <c r="D446" s="28" t="s">
        <v>942</v>
      </c>
      <c r="E446" s="28" t="s">
        <v>235</v>
      </c>
      <c r="F446" s="29" t="s">
        <v>675</v>
      </c>
      <c r="G446" s="30"/>
      <c r="H446" s="30"/>
      <c r="I446" s="30" t="e">
        <f t="shared" si="10"/>
        <v>#DIV/0!</v>
      </c>
      <c r="J446" s="150"/>
    </row>
    <row r="447" spans="1:10" s="64" customFormat="1" ht="42.75" customHeight="1" hidden="1">
      <c r="A447" s="26" t="s">
        <v>690</v>
      </c>
      <c r="B447" s="36"/>
      <c r="C447" s="28" t="s">
        <v>963</v>
      </c>
      <c r="D447" s="28" t="s">
        <v>942</v>
      </c>
      <c r="E447" s="28" t="s">
        <v>235</v>
      </c>
      <c r="F447" s="29" t="s">
        <v>691</v>
      </c>
      <c r="G447" s="30"/>
      <c r="H447" s="30"/>
      <c r="I447" s="30" t="e">
        <f t="shared" si="10"/>
        <v>#DIV/0!</v>
      </c>
      <c r="J447" s="150"/>
    </row>
    <row r="448" spans="1:10" s="64" customFormat="1" ht="67.5" customHeight="1">
      <c r="A448" s="26" t="s">
        <v>603</v>
      </c>
      <c r="B448" s="36"/>
      <c r="C448" s="28" t="s">
        <v>963</v>
      </c>
      <c r="D448" s="28" t="s">
        <v>942</v>
      </c>
      <c r="E448" s="28" t="s">
        <v>688</v>
      </c>
      <c r="F448" s="29"/>
      <c r="G448" s="30">
        <f>SUM(G449)</f>
        <v>1074</v>
      </c>
      <c r="H448" s="30">
        <f>SUM(H449)</f>
        <v>392.5</v>
      </c>
      <c r="I448" s="30">
        <f t="shared" si="10"/>
        <v>36.54562383612663</v>
      </c>
      <c r="J448" s="150"/>
    </row>
    <row r="449" spans="1:10" s="64" customFormat="1" ht="32.25" customHeight="1">
      <c r="A449" s="26" t="s">
        <v>605</v>
      </c>
      <c r="B449" s="36"/>
      <c r="C449" s="28" t="s">
        <v>963</v>
      </c>
      <c r="D449" s="28" t="s">
        <v>942</v>
      </c>
      <c r="E449" s="28" t="s">
        <v>688</v>
      </c>
      <c r="F449" s="29" t="s">
        <v>606</v>
      </c>
      <c r="G449" s="30">
        <f>954.5+119.5</f>
        <v>1074</v>
      </c>
      <c r="H449" s="30">
        <v>392.5</v>
      </c>
      <c r="I449" s="30">
        <f t="shared" si="10"/>
        <v>36.54562383612663</v>
      </c>
      <c r="J449" s="150">
        <f>SUM('[2]ведомствен.'!G1075)</f>
        <v>954.5</v>
      </c>
    </row>
    <row r="450" spans="1:10" s="64" customFormat="1" ht="32.25" customHeight="1" hidden="1">
      <c r="A450" s="26" t="s">
        <v>393</v>
      </c>
      <c r="B450" s="36"/>
      <c r="C450" s="28" t="s">
        <v>963</v>
      </c>
      <c r="D450" s="28" t="s">
        <v>942</v>
      </c>
      <c r="E450" s="28" t="s">
        <v>689</v>
      </c>
      <c r="F450" s="29"/>
      <c r="G450" s="30">
        <f>SUM(G451)</f>
        <v>0</v>
      </c>
      <c r="H450" s="30">
        <f>SUM(H451)</f>
        <v>0</v>
      </c>
      <c r="I450" s="30" t="e">
        <f t="shared" si="10"/>
        <v>#DIV/0!</v>
      </c>
      <c r="J450" s="150"/>
    </row>
    <row r="451" spans="1:10" s="64" customFormat="1" ht="26.25" customHeight="1" hidden="1">
      <c r="A451" s="26" t="s">
        <v>969</v>
      </c>
      <c r="B451" s="36"/>
      <c r="C451" s="28" t="s">
        <v>963</v>
      </c>
      <c r="D451" s="28" t="s">
        <v>942</v>
      </c>
      <c r="E451" s="28" t="s">
        <v>689</v>
      </c>
      <c r="F451" s="29" t="s">
        <v>970</v>
      </c>
      <c r="G451" s="30"/>
      <c r="H451" s="30"/>
      <c r="I451" s="30" t="e">
        <f t="shared" si="10"/>
        <v>#DIV/0!</v>
      </c>
      <c r="J451" s="150"/>
    </row>
    <row r="452" spans="1:10" s="64" customFormat="1" ht="60.75" customHeight="1">
      <c r="A452" s="26" t="s">
        <v>692</v>
      </c>
      <c r="B452" s="36"/>
      <c r="C452" s="28" t="s">
        <v>963</v>
      </c>
      <c r="D452" s="28" t="s">
        <v>942</v>
      </c>
      <c r="E452" s="28" t="s">
        <v>693</v>
      </c>
      <c r="F452" s="29"/>
      <c r="G452" s="30">
        <f>SUM(G453)</f>
        <v>10154.7</v>
      </c>
      <c r="H452" s="30">
        <f>SUM(H453)</f>
        <v>5014</v>
      </c>
      <c r="I452" s="30">
        <f t="shared" si="10"/>
        <v>49.37615094488266</v>
      </c>
      <c r="J452" s="150"/>
    </row>
    <row r="453" spans="1:10" s="64" customFormat="1" ht="22.5" customHeight="1">
      <c r="A453" s="26" t="s">
        <v>969</v>
      </c>
      <c r="B453" s="36"/>
      <c r="C453" s="28" t="s">
        <v>963</v>
      </c>
      <c r="D453" s="28" t="s">
        <v>942</v>
      </c>
      <c r="E453" s="28" t="s">
        <v>693</v>
      </c>
      <c r="F453" s="29" t="s">
        <v>970</v>
      </c>
      <c r="G453" s="30">
        <f>10266.1-111.4</f>
        <v>10154.7</v>
      </c>
      <c r="H453" s="30">
        <v>5014</v>
      </c>
      <c r="I453" s="30">
        <f t="shared" si="10"/>
        <v>49.37615094488266</v>
      </c>
      <c r="J453" s="150">
        <f>SUM('[2]ведомствен.'!G1083)</f>
        <v>10266.1</v>
      </c>
    </row>
    <row r="454" spans="1:10" ht="44.25" customHeight="1">
      <c r="A454" s="26" t="s">
        <v>678</v>
      </c>
      <c r="B454" s="27"/>
      <c r="C454" s="28" t="s">
        <v>963</v>
      </c>
      <c r="D454" s="28" t="s">
        <v>942</v>
      </c>
      <c r="E454" s="28" t="s">
        <v>694</v>
      </c>
      <c r="F454" s="29"/>
      <c r="G454" s="30">
        <f>SUM(G455)</f>
        <v>256.5</v>
      </c>
      <c r="H454" s="30"/>
      <c r="I454" s="30"/>
      <c r="J454" s="3"/>
    </row>
    <row r="455" spans="1:10" ht="20.25" customHeight="1">
      <c r="A455" s="26" t="s">
        <v>969</v>
      </c>
      <c r="B455" s="27"/>
      <c r="C455" s="28" t="s">
        <v>963</v>
      </c>
      <c r="D455" s="28" t="s">
        <v>942</v>
      </c>
      <c r="E455" s="28" t="s">
        <v>694</v>
      </c>
      <c r="F455" s="29" t="s">
        <v>970</v>
      </c>
      <c r="G455" s="30">
        <v>256.5</v>
      </c>
      <c r="H455" s="30"/>
      <c r="I455" s="30"/>
      <c r="J455" s="3">
        <f>SUM('[2]ведомствен.'!G1085)</f>
        <v>256.5</v>
      </c>
    </row>
    <row r="456" spans="1:9" ht="45" customHeight="1">
      <c r="A456" s="26" t="s">
        <v>455</v>
      </c>
      <c r="B456" s="36"/>
      <c r="C456" s="28" t="s">
        <v>963</v>
      </c>
      <c r="D456" s="28" t="s">
        <v>942</v>
      </c>
      <c r="E456" s="28" t="s">
        <v>695</v>
      </c>
      <c r="F456" s="29"/>
      <c r="G456" s="30">
        <f>SUM(G457)</f>
        <v>867.1</v>
      </c>
      <c r="H456" s="30">
        <f>SUM(H457)</f>
        <v>454</v>
      </c>
      <c r="I456" s="30">
        <f aca="true" t="shared" si="11" ref="I456:I519">SUM(H456/G456*100)</f>
        <v>52.358436166532115</v>
      </c>
    </row>
    <row r="457" spans="1:10" s="64" customFormat="1" ht="18.75" customHeight="1">
      <c r="A457" s="26" t="s">
        <v>969</v>
      </c>
      <c r="B457" s="36"/>
      <c r="C457" s="28" t="s">
        <v>963</v>
      </c>
      <c r="D457" s="28" t="s">
        <v>942</v>
      </c>
      <c r="E457" s="28" t="s">
        <v>695</v>
      </c>
      <c r="F457" s="29" t="s">
        <v>970</v>
      </c>
      <c r="G457" s="30">
        <f>929.4-62.3</f>
        <v>867.1</v>
      </c>
      <c r="H457" s="30">
        <v>454</v>
      </c>
      <c r="I457" s="30">
        <f t="shared" si="11"/>
        <v>52.358436166532115</v>
      </c>
      <c r="J457" s="150">
        <f>SUM('[2]ведомствен.'!G1086)</f>
        <v>929.4</v>
      </c>
    </row>
    <row r="458" spans="1:9" ht="27" customHeight="1" hidden="1">
      <c r="A458" s="26" t="s">
        <v>684</v>
      </c>
      <c r="B458" s="36"/>
      <c r="C458" s="28" t="s">
        <v>963</v>
      </c>
      <c r="D458" s="28" t="s">
        <v>942</v>
      </c>
      <c r="E458" s="28" t="s">
        <v>235</v>
      </c>
      <c r="F458" s="29" t="s">
        <v>685</v>
      </c>
      <c r="G458" s="30"/>
      <c r="H458" s="30"/>
      <c r="I458" s="30" t="e">
        <f t="shared" si="11"/>
        <v>#DIV/0!</v>
      </c>
    </row>
    <row r="459" spans="1:10" ht="69" customHeight="1">
      <c r="A459" s="26" t="s">
        <v>682</v>
      </c>
      <c r="B459" s="32"/>
      <c r="C459" s="28" t="s">
        <v>963</v>
      </c>
      <c r="D459" s="28" t="s">
        <v>942</v>
      </c>
      <c r="E459" s="28" t="s">
        <v>696</v>
      </c>
      <c r="F459" s="29"/>
      <c r="G459" s="30">
        <f>SUM(G460)</f>
        <v>498.5</v>
      </c>
      <c r="H459" s="30">
        <f>SUM(H461)</f>
        <v>201795.7</v>
      </c>
      <c r="I459" s="30">
        <f>SUM(H459/G459*100)</f>
        <v>40480.58174523571</v>
      </c>
      <c r="J459" s="3"/>
    </row>
    <row r="460" spans="1:10" ht="18.75" customHeight="1">
      <c r="A460" s="26" t="s">
        <v>969</v>
      </c>
      <c r="B460" s="32"/>
      <c r="C460" s="28" t="s">
        <v>963</v>
      </c>
      <c r="D460" s="28" t="s">
        <v>942</v>
      </c>
      <c r="E460" s="28" t="s">
        <v>696</v>
      </c>
      <c r="F460" s="29" t="s">
        <v>970</v>
      </c>
      <c r="G460" s="30">
        <v>498.5</v>
      </c>
      <c r="H460" s="30"/>
      <c r="I460" s="30">
        <f>SUM(H460/G460*100)</f>
        <v>0</v>
      </c>
      <c r="J460" s="3">
        <f>SUM('[2]ведомствен.'!G1090)</f>
        <v>498.5</v>
      </c>
    </row>
    <row r="461" spans="1:9" ht="62.25" customHeight="1">
      <c r="A461" s="26" t="s">
        <v>701</v>
      </c>
      <c r="B461" s="36"/>
      <c r="C461" s="28" t="s">
        <v>963</v>
      </c>
      <c r="D461" s="28" t="s">
        <v>942</v>
      </c>
      <c r="E461" s="28" t="s">
        <v>702</v>
      </c>
      <c r="F461" s="29"/>
      <c r="G461" s="30">
        <f>SUM(G462)</f>
        <v>345708.3</v>
      </c>
      <c r="H461" s="30">
        <f>SUM(H462)</f>
        <v>201795.7</v>
      </c>
      <c r="I461" s="30">
        <f t="shared" si="11"/>
        <v>58.37166767474198</v>
      </c>
    </row>
    <row r="462" spans="1:10" ht="20.25" customHeight="1">
      <c r="A462" s="26" t="s">
        <v>969</v>
      </c>
      <c r="B462" s="36"/>
      <c r="C462" s="28" t="s">
        <v>963</v>
      </c>
      <c r="D462" s="28" t="s">
        <v>942</v>
      </c>
      <c r="E462" s="28" t="s">
        <v>702</v>
      </c>
      <c r="F462" s="29" t="s">
        <v>970</v>
      </c>
      <c r="G462" s="30">
        <f>349189.2-3480.9</f>
        <v>345708.3</v>
      </c>
      <c r="H462" s="30">
        <v>201795.7</v>
      </c>
      <c r="I462" s="30">
        <f t="shared" si="11"/>
        <v>58.37166767474198</v>
      </c>
      <c r="J462" s="150">
        <f>SUM('[2]ведомствен.'!G1093)</f>
        <v>349189.2</v>
      </c>
    </row>
    <row r="463" spans="1:9" ht="18" customHeight="1">
      <c r="A463" s="131" t="s">
        <v>360</v>
      </c>
      <c r="B463" s="27"/>
      <c r="C463" s="28" t="s">
        <v>963</v>
      </c>
      <c r="D463" s="28" t="s">
        <v>942</v>
      </c>
      <c r="E463" s="28" t="s">
        <v>602</v>
      </c>
      <c r="F463" s="29"/>
      <c r="G463" s="30">
        <f>SUM(G464)</f>
        <v>117695.40000000001</v>
      </c>
      <c r="H463" s="30">
        <f>SUM(H464)</f>
        <v>56800.6</v>
      </c>
      <c r="I463" s="30">
        <f t="shared" si="11"/>
        <v>48.26067968671672</v>
      </c>
    </row>
    <row r="464" spans="1:9" ht="18" customHeight="1">
      <c r="A464" s="26" t="s">
        <v>234</v>
      </c>
      <c r="B464" s="36"/>
      <c r="C464" s="28" t="s">
        <v>963</v>
      </c>
      <c r="D464" s="28" t="s">
        <v>942</v>
      </c>
      <c r="E464" s="28" t="s">
        <v>362</v>
      </c>
      <c r="F464" s="29"/>
      <c r="G464" s="30">
        <f>SUM(G465+G472+G470)+G468+G466</f>
        <v>117695.40000000001</v>
      </c>
      <c r="H464" s="30">
        <f>SUM(H465+H472+H470)</f>
        <v>56800.6</v>
      </c>
      <c r="I464" s="30">
        <f t="shared" si="11"/>
        <v>48.26067968671672</v>
      </c>
    </row>
    <row r="465" spans="1:10" ht="15.75" customHeight="1">
      <c r="A465" s="26" t="s">
        <v>969</v>
      </c>
      <c r="B465" s="36"/>
      <c r="C465" s="28" t="s">
        <v>963</v>
      </c>
      <c r="D465" s="28" t="s">
        <v>942</v>
      </c>
      <c r="E465" s="28" t="s">
        <v>362</v>
      </c>
      <c r="F465" s="29" t="s">
        <v>970</v>
      </c>
      <c r="G465" s="30">
        <f>117516.1-539.4+924.1-191+76.4-62.1-268.5</f>
        <v>117455.6</v>
      </c>
      <c r="H465" s="30">
        <v>56722</v>
      </c>
      <c r="I465" s="30">
        <f t="shared" si="11"/>
        <v>48.29229087416862</v>
      </c>
      <c r="J465" s="65">
        <f>SUM('[2]ведомствен.'!G961+'[2]ведомствен.'!G1097+'[2]ведомствен.'!G1207)+'[2]ведомствен.'!G532</f>
        <v>117516.1</v>
      </c>
    </row>
    <row r="466" spans="1:10" ht="78" customHeight="1">
      <c r="A466" s="26" t="s">
        <v>603</v>
      </c>
      <c r="B466" s="36"/>
      <c r="C466" s="28" t="s">
        <v>963</v>
      </c>
      <c r="D466" s="28" t="s">
        <v>942</v>
      </c>
      <c r="E466" s="28" t="s">
        <v>604</v>
      </c>
      <c r="F466" s="29"/>
      <c r="G466" s="30">
        <f>SUM(G467)</f>
        <v>211.5</v>
      </c>
      <c r="H466" s="30">
        <f>SUM(H467)</f>
        <v>40.9</v>
      </c>
      <c r="I466" s="30">
        <f>SUM(H466/G466*100)</f>
        <v>19.33806146572104</v>
      </c>
      <c r="J466" s="3"/>
    </row>
    <row r="467" spans="1:10" ht="37.5" customHeight="1">
      <c r="A467" s="26" t="s">
        <v>605</v>
      </c>
      <c r="B467" s="36"/>
      <c r="C467" s="28" t="s">
        <v>963</v>
      </c>
      <c r="D467" s="28" t="s">
        <v>942</v>
      </c>
      <c r="E467" s="28" t="s">
        <v>604</v>
      </c>
      <c r="F467" s="29" t="s">
        <v>606</v>
      </c>
      <c r="G467" s="30">
        <f>198.2+13.3</f>
        <v>211.5</v>
      </c>
      <c r="H467" s="30">
        <v>40.9</v>
      </c>
      <c r="I467" s="30">
        <f>SUM(H467/G467*100)</f>
        <v>19.33806146572104</v>
      </c>
      <c r="J467" s="3">
        <f>SUM('[2]ведомствен.'!G1099)</f>
        <v>198.2</v>
      </c>
    </row>
    <row r="468" spans="1:10" ht="57">
      <c r="A468" s="26" t="s">
        <v>771</v>
      </c>
      <c r="B468" s="36"/>
      <c r="C468" s="28" t="s">
        <v>963</v>
      </c>
      <c r="D468" s="28" t="s">
        <v>942</v>
      </c>
      <c r="E468" s="28" t="s">
        <v>772</v>
      </c>
      <c r="F468" s="29"/>
      <c r="G468" s="30">
        <f>SUM(G469)</f>
        <v>28.3</v>
      </c>
      <c r="H468" s="30">
        <f>SUM(H469)</f>
        <v>1305.1</v>
      </c>
      <c r="I468" s="30">
        <f>SUM(H468/G468*100)</f>
        <v>4611.660777385158</v>
      </c>
      <c r="J468" s="3"/>
    </row>
    <row r="469" spans="1:10" ht="15" customHeight="1">
      <c r="A469" s="26" t="s">
        <v>969</v>
      </c>
      <c r="B469" s="36"/>
      <c r="C469" s="28" t="s">
        <v>963</v>
      </c>
      <c r="D469" s="28" t="s">
        <v>942</v>
      </c>
      <c r="E469" s="28" t="s">
        <v>772</v>
      </c>
      <c r="F469" s="29" t="s">
        <v>970</v>
      </c>
      <c r="G469" s="30">
        <v>28.3</v>
      </c>
      <c r="H469" s="30">
        <v>1305.1</v>
      </c>
      <c r="I469" s="30">
        <f>SUM(H469/G469*100)</f>
        <v>4611.660777385158</v>
      </c>
      <c r="J469" s="3">
        <f>SUM('[2]ведомствен.'!G1209)</f>
        <v>28.3</v>
      </c>
    </row>
    <row r="470" spans="1:10" s="64" customFormat="1" ht="66.75" customHeight="1" hidden="1">
      <c r="A470" s="26" t="s">
        <v>603</v>
      </c>
      <c r="B470" s="36"/>
      <c r="C470" s="28" t="s">
        <v>963</v>
      </c>
      <c r="D470" s="28" t="s">
        <v>942</v>
      </c>
      <c r="E470" s="28" t="s">
        <v>604</v>
      </c>
      <c r="F470" s="29"/>
      <c r="G470" s="30">
        <f>SUM(G471)</f>
        <v>0</v>
      </c>
      <c r="H470" s="30">
        <f>SUM(H471)</f>
        <v>78.6</v>
      </c>
      <c r="I470" s="30" t="e">
        <f t="shared" si="11"/>
        <v>#DIV/0!</v>
      </c>
      <c r="J470" s="150"/>
    </row>
    <row r="471" spans="1:10" s="64" customFormat="1" ht="34.5" customHeight="1">
      <c r="A471" s="26" t="s">
        <v>605</v>
      </c>
      <c r="B471" s="36"/>
      <c r="C471" s="28" t="s">
        <v>963</v>
      </c>
      <c r="D471" s="28" t="s">
        <v>942</v>
      </c>
      <c r="E471" s="28" t="s">
        <v>604</v>
      </c>
      <c r="F471" s="29" t="s">
        <v>606</v>
      </c>
      <c r="G471" s="30"/>
      <c r="H471" s="30">
        <v>78.6</v>
      </c>
      <c r="I471" s="30" t="e">
        <f t="shared" si="11"/>
        <v>#DIV/0!</v>
      </c>
      <c r="J471" s="65"/>
    </row>
    <row r="472" spans="1:10" s="64" customFormat="1" ht="65.25" customHeight="1" hidden="1">
      <c r="A472" s="26" t="s">
        <v>705</v>
      </c>
      <c r="B472" s="36"/>
      <c r="C472" s="28" t="s">
        <v>963</v>
      </c>
      <c r="D472" s="28" t="s">
        <v>942</v>
      </c>
      <c r="E472" s="28" t="s">
        <v>706</v>
      </c>
      <c r="F472" s="29"/>
      <c r="G472" s="30">
        <f>SUM(G473)</f>
        <v>0</v>
      </c>
      <c r="H472" s="30">
        <f>SUM(H473)</f>
        <v>0</v>
      </c>
      <c r="I472" s="30" t="e">
        <f t="shared" si="11"/>
        <v>#DIV/0!</v>
      </c>
      <c r="J472" s="150"/>
    </row>
    <row r="473" spans="1:9" ht="15.75" customHeight="1" hidden="1">
      <c r="A473" s="26" t="s">
        <v>969</v>
      </c>
      <c r="B473" s="36"/>
      <c r="C473" s="28" t="s">
        <v>963</v>
      </c>
      <c r="D473" s="28" t="s">
        <v>942</v>
      </c>
      <c r="E473" s="28" t="s">
        <v>706</v>
      </c>
      <c r="F473" s="29" t="s">
        <v>970</v>
      </c>
      <c r="G473" s="30"/>
      <c r="H473" s="30"/>
      <c r="I473" s="30" t="e">
        <f t="shared" si="11"/>
        <v>#DIV/0!</v>
      </c>
    </row>
    <row r="474" spans="1:9" ht="18.75" customHeight="1" hidden="1">
      <c r="A474" s="26" t="s">
        <v>684</v>
      </c>
      <c r="B474" s="36"/>
      <c r="C474" s="28" t="s">
        <v>963</v>
      </c>
      <c r="D474" s="28" t="s">
        <v>942</v>
      </c>
      <c r="E474" s="28" t="s">
        <v>362</v>
      </c>
      <c r="F474" s="29" t="s">
        <v>685</v>
      </c>
      <c r="G474" s="30"/>
      <c r="H474" s="30"/>
      <c r="I474" s="30" t="e">
        <f t="shared" si="11"/>
        <v>#DIV/0!</v>
      </c>
    </row>
    <row r="475" spans="1:10" s="4" customFormat="1" ht="15">
      <c r="A475" s="131" t="s">
        <v>452</v>
      </c>
      <c r="B475" s="27"/>
      <c r="C475" s="28" t="s">
        <v>963</v>
      </c>
      <c r="D475" s="28" t="s">
        <v>942</v>
      </c>
      <c r="E475" s="28" t="s">
        <v>453</v>
      </c>
      <c r="F475" s="34"/>
      <c r="G475" s="30">
        <f>SUM(G476)</f>
        <v>45425.299999999996</v>
      </c>
      <c r="H475" s="30">
        <f>SUM(H476)</f>
        <v>25662.5</v>
      </c>
      <c r="I475" s="30">
        <f t="shared" si="11"/>
        <v>56.493848141894496</v>
      </c>
      <c r="J475" s="152"/>
    </row>
    <row r="476" spans="1:10" s="4" customFormat="1" ht="17.25" customHeight="1">
      <c r="A476" s="26" t="s">
        <v>234</v>
      </c>
      <c r="B476" s="27"/>
      <c r="C476" s="28" t="s">
        <v>963</v>
      </c>
      <c r="D476" s="28" t="s">
        <v>942</v>
      </c>
      <c r="E476" s="28" t="s">
        <v>454</v>
      </c>
      <c r="F476" s="34"/>
      <c r="G476" s="30">
        <f>SUM(G480+G478+G477)</f>
        <v>45425.299999999996</v>
      </c>
      <c r="H476" s="30">
        <f>SUM(H480+H478+H477)</f>
        <v>25662.5</v>
      </c>
      <c r="I476" s="30">
        <f t="shared" si="11"/>
        <v>56.493848141894496</v>
      </c>
      <c r="J476" s="152"/>
    </row>
    <row r="477" spans="1:10" s="4" customFormat="1" ht="18.75" customHeight="1" hidden="1">
      <c r="A477" s="26" t="s">
        <v>969</v>
      </c>
      <c r="B477" s="27"/>
      <c r="C477" s="28" t="s">
        <v>963</v>
      </c>
      <c r="D477" s="28" t="s">
        <v>942</v>
      </c>
      <c r="E477" s="28" t="s">
        <v>880</v>
      </c>
      <c r="F477" s="29" t="s">
        <v>970</v>
      </c>
      <c r="G477" s="30"/>
      <c r="H477" s="30"/>
      <c r="I477" s="30" t="e">
        <f t="shared" si="11"/>
        <v>#DIV/0!</v>
      </c>
      <c r="J477" s="152"/>
    </row>
    <row r="478" spans="1:10" s="4" customFormat="1" ht="47.25" customHeight="1">
      <c r="A478" s="26" t="s">
        <v>455</v>
      </c>
      <c r="B478" s="36"/>
      <c r="C478" s="28" t="s">
        <v>963</v>
      </c>
      <c r="D478" s="28" t="s">
        <v>942</v>
      </c>
      <c r="E478" s="28" t="s">
        <v>456</v>
      </c>
      <c r="F478" s="29"/>
      <c r="G478" s="30">
        <f>SUM(G479)</f>
        <v>53.6</v>
      </c>
      <c r="H478" s="30">
        <f>SUM(H479)</f>
        <v>27.5</v>
      </c>
      <c r="I478" s="30">
        <f t="shared" si="11"/>
        <v>51.30597014925373</v>
      </c>
      <c r="J478" s="152"/>
    </row>
    <row r="479" spans="1:10" s="4" customFormat="1" ht="18.75" customHeight="1">
      <c r="A479" s="26" t="s">
        <v>969</v>
      </c>
      <c r="B479" s="27"/>
      <c r="C479" s="28" t="s">
        <v>963</v>
      </c>
      <c r="D479" s="28" t="s">
        <v>942</v>
      </c>
      <c r="E479" s="28" t="s">
        <v>456</v>
      </c>
      <c r="F479" s="29" t="s">
        <v>970</v>
      </c>
      <c r="G479" s="30">
        <v>53.6</v>
      </c>
      <c r="H479" s="30">
        <v>27.5</v>
      </c>
      <c r="I479" s="30">
        <f t="shared" si="11"/>
        <v>51.30597014925373</v>
      </c>
      <c r="J479" s="152">
        <f>SUM('[2]ведомствен.'!G700)</f>
        <v>53.6</v>
      </c>
    </row>
    <row r="480" spans="1:10" s="4" customFormat="1" ht="32.25" customHeight="1">
      <c r="A480" s="26" t="s">
        <v>457</v>
      </c>
      <c r="B480" s="27"/>
      <c r="C480" s="28" t="s">
        <v>963</v>
      </c>
      <c r="D480" s="28" t="s">
        <v>942</v>
      </c>
      <c r="E480" s="28" t="s">
        <v>458</v>
      </c>
      <c r="F480" s="34"/>
      <c r="G480" s="30">
        <f>SUM(G481)</f>
        <v>45371.7</v>
      </c>
      <c r="H480" s="30">
        <f>SUM(H481)</f>
        <v>25635</v>
      </c>
      <c r="I480" s="30">
        <f t="shared" si="11"/>
        <v>56.49997685782107</v>
      </c>
      <c r="J480" s="152"/>
    </row>
    <row r="481" spans="1:10" s="4" customFormat="1" ht="15">
      <c r="A481" s="135" t="s">
        <v>969</v>
      </c>
      <c r="B481" s="27"/>
      <c r="C481" s="28" t="s">
        <v>963</v>
      </c>
      <c r="D481" s="28" t="s">
        <v>942</v>
      </c>
      <c r="E481" s="28" t="s">
        <v>458</v>
      </c>
      <c r="F481" s="34" t="s">
        <v>970</v>
      </c>
      <c r="G481" s="30">
        <v>45371.7</v>
      </c>
      <c r="H481" s="30">
        <v>25635</v>
      </c>
      <c r="I481" s="30">
        <f t="shared" si="11"/>
        <v>56.49997685782107</v>
      </c>
      <c r="J481" s="152">
        <f>SUM('[2]ведомствен.'!G702)</f>
        <v>45371.7</v>
      </c>
    </row>
    <row r="482" spans="1:9" ht="18" customHeight="1">
      <c r="A482" s="26" t="s">
        <v>707</v>
      </c>
      <c r="B482" s="28"/>
      <c r="C482" s="28" t="s">
        <v>963</v>
      </c>
      <c r="D482" s="28" t="s">
        <v>942</v>
      </c>
      <c r="E482" s="28" t="s">
        <v>708</v>
      </c>
      <c r="F482" s="29"/>
      <c r="G482" s="30">
        <f>SUM(G483)</f>
        <v>25904.8</v>
      </c>
      <c r="H482" s="30">
        <f>SUM(H483)</f>
        <v>13916.300000000001</v>
      </c>
      <c r="I482" s="30">
        <f t="shared" si="11"/>
        <v>53.72093202804115</v>
      </c>
    </row>
    <row r="483" spans="1:9" ht="15.75" customHeight="1">
      <c r="A483" s="26" t="s">
        <v>234</v>
      </c>
      <c r="B483" s="36"/>
      <c r="C483" s="28" t="s">
        <v>963</v>
      </c>
      <c r="D483" s="28" t="s">
        <v>942</v>
      </c>
      <c r="E483" s="28" t="s">
        <v>709</v>
      </c>
      <c r="F483" s="29"/>
      <c r="G483" s="30">
        <f>SUM(G485+G487+G489)</f>
        <v>25904.8</v>
      </c>
      <c r="H483" s="30">
        <f>SUM(H485+H487+H489)</f>
        <v>13916.300000000001</v>
      </c>
      <c r="I483" s="30">
        <f t="shared" si="11"/>
        <v>53.72093202804115</v>
      </c>
    </row>
    <row r="484" spans="1:9" ht="18" customHeight="1" hidden="1">
      <c r="A484" s="26" t="s">
        <v>969</v>
      </c>
      <c r="B484" s="36"/>
      <c r="C484" s="28" t="s">
        <v>963</v>
      </c>
      <c r="D484" s="28" t="s">
        <v>942</v>
      </c>
      <c r="E484" s="28" t="s">
        <v>709</v>
      </c>
      <c r="F484" s="29" t="s">
        <v>970</v>
      </c>
      <c r="G484" s="30"/>
      <c r="H484" s="30"/>
      <c r="I484" s="30" t="e">
        <f t="shared" si="11"/>
        <v>#DIV/0!</v>
      </c>
    </row>
    <row r="485" spans="1:10" s="64" customFormat="1" ht="66.75" customHeight="1">
      <c r="A485" s="26" t="s">
        <v>603</v>
      </c>
      <c r="B485" s="36"/>
      <c r="C485" s="28" t="s">
        <v>963</v>
      </c>
      <c r="D485" s="28" t="s">
        <v>942</v>
      </c>
      <c r="E485" s="28" t="s">
        <v>710</v>
      </c>
      <c r="F485" s="29"/>
      <c r="G485" s="30">
        <f>SUM(G486)</f>
        <v>71.9</v>
      </c>
      <c r="H485" s="30">
        <f>SUM(H486)</f>
        <v>40.9</v>
      </c>
      <c r="I485" s="30">
        <f t="shared" si="11"/>
        <v>56.884561891515986</v>
      </c>
      <c r="J485" s="150"/>
    </row>
    <row r="486" spans="1:10" s="64" customFormat="1" ht="34.5" customHeight="1">
      <c r="A486" s="26" t="s">
        <v>605</v>
      </c>
      <c r="B486" s="36"/>
      <c r="C486" s="28" t="s">
        <v>963</v>
      </c>
      <c r="D486" s="28" t="s">
        <v>942</v>
      </c>
      <c r="E486" s="28" t="s">
        <v>710</v>
      </c>
      <c r="F486" s="29" t="s">
        <v>606</v>
      </c>
      <c r="G486" s="30">
        <v>71.9</v>
      </c>
      <c r="H486" s="30">
        <v>40.9</v>
      </c>
      <c r="I486" s="30">
        <f t="shared" si="11"/>
        <v>56.884561891515986</v>
      </c>
      <c r="J486" s="150">
        <f>SUM('[2]ведомствен.'!G1109)</f>
        <v>71.9</v>
      </c>
    </row>
    <row r="487" spans="1:9" ht="43.5" customHeight="1">
      <c r="A487" s="26" t="s">
        <v>455</v>
      </c>
      <c r="B487" s="36"/>
      <c r="C487" s="28" t="s">
        <v>963</v>
      </c>
      <c r="D487" s="28" t="s">
        <v>942</v>
      </c>
      <c r="E487" s="28" t="s">
        <v>711</v>
      </c>
      <c r="F487" s="29"/>
      <c r="G487" s="30">
        <f>SUM(G488)</f>
        <v>35.8</v>
      </c>
      <c r="H487" s="30">
        <f>SUM(H488)</f>
        <v>12.8</v>
      </c>
      <c r="I487" s="30">
        <f t="shared" si="11"/>
        <v>35.75418994413408</v>
      </c>
    </row>
    <row r="488" spans="1:10" ht="16.5" customHeight="1">
      <c r="A488" s="26" t="s">
        <v>969</v>
      </c>
      <c r="B488" s="36"/>
      <c r="C488" s="28" t="s">
        <v>963</v>
      </c>
      <c r="D488" s="28" t="s">
        <v>942</v>
      </c>
      <c r="E488" s="28" t="s">
        <v>711</v>
      </c>
      <c r="F488" s="29" t="s">
        <v>970</v>
      </c>
      <c r="G488" s="30">
        <f>39.3-3.5</f>
        <v>35.8</v>
      </c>
      <c r="H488" s="30">
        <v>12.8</v>
      </c>
      <c r="I488" s="30">
        <f t="shared" si="11"/>
        <v>35.75418994413408</v>
      </c>
      <c r="J488" s="150">
        <f>SUM('[2]ведомствен.'!G1111)</f>
        <v>39.3</v>
      </c>
    </row>
    <row r="489" spans="1:9" ht="89.25" customHeight="1">
      <c r="A489" s="26" t="s">
        <v>712</v>
      </c>
      <c r="B489" s="36"/>
      <c r="C489" s="28" t="s">
        <v>963</v>
      </c>
      <c r="D489" s="28" t="s">
        <v>942</v>
      </c>
      <c r="E489" s="28" t="s">
        <v>713</v>
      </c>
      <c r="F489" s="29"/>
      <c r="G489" s="30">
        <f>SUM(G490)</f>
        <v>25797.1</v>
      </c>
      <c r="H489" s="30">
        <f>SUM(H490)</f>
        <v>13862.6</v>
      </c>
      <c r="I489" s="30">
        <f t="shared" si="11"/>
        <v>53.73704796275551</v>
      </c>
    </row>
    <row r="490" spans="1:10" ht="16.5" customHeight="1">
      <c r="A490" s="26" t="s">
        <v>969</v>
      </c>
      <c r="B490" s="36"/>
      <c r="C490" s="28" t="s">
        <v>963</v>
      </c>
      <c r="D490" s="28" t="s">
        <v>942</v>
      </c>
      <c r="E490" s="28" t="s">
        <v>713</v>
      </c>
      <c r="F490" s="29" t="s">
        <v>970</v>
      </c>
      <c r="G490" s="30">
        <v>25797.1</v>
      </c>
      <c r="H490" s="30">
        <v>13862.6</v>
      </c>
      <c r="I490" s="30">
        <f t="shared" si="11"/>
        <v>53.73704796275551</v>
      </c>
      <c r="J490" s="150">
        <f>SUM('[2]ведомствен.'!G1113)</f>
        <v>25797.1</v>
      </c>
    </row>
    <row r="491" spans="1:9" ht="16.5" customHeight="1">
      <c r="A491" s="26" t="s">
        <v>236</v>
      </c>
      <c r="B491" s="36"/>
      <c r="C491" s="28" t="s">
        <v>963</v>
      </c>
      <c r="D491" s="28" t="s">
        <v>942</v>
      </c>
      <c r="E491" s="28" t="s">
        <v>237</v>
      </c>
      <c r="F491" s="29"/>
      <c r="G491" s="83">
        <f>SUM(G492)</f>
        <v>19160.9</v>
      </c>
      <c r="H491" s="83">
        <f>SUM(H492)</f>
        <v>0</v>
      </c>
      <c r="I491" s="30">
        <f t="shared" si="11"/>
        <v>0</v>
      </c>
    </row>
    <row r="492" spans="1:10" ht="32.25" customHeight="1">
      <c r="A492" s="26" t="s">
        <v>714</v>
      </c>
      <c r="B492" s="45"/>
      <c r="C492" s="28" t="s">
        <v>963</v>
      </c>
      <c r="D492" s="28" t="s">
        <v>942</v>
      </c>
      <c r="E492" s="28" t="s">
        <v>239</v>
      </c>
      <c r="F492" s="29"/>
      <c r="G492" s="30">
        <f>SUM(G493)</f>
        <v>19160.9</v>
      </c>
      <c r="H492" s="30">
        <f>SUM(H493)</f>
        <v>0</v>
      </c>
      <c r="I492" s="30">
        <f>SUM(H492/G492*100)</f>
        <v>0</v>
      </c>
      <c r="J492" s="3"/>
    </row>
    <row r="493" spans="1:10" ht="20.25" customHeight="1">
      <c r="A493" s="26" t="s">
        <v>459</v>
      </c>
      <c r="B493" s="45"/>
      <c r="C493" s="28" t="s">
        <v>963</v>
      </c>
      <c r="D493" s="28" t="s">
        <v>942</v>
      </c>
      <c r="E493" s="28" t="s">
        <v>239</v>
      </c>
      <c r="F493" s="29" t="s">
        <v>460</v>
      </c>
      <c r="G493" s="30">
        <v>19160.9</v>
      </c>
      <c r="H493" s="30">
        <f>SUM(H494)</f>
        <v>0</v>
      </c>
      <c r="I493" s="30">
        <f>SUM(H493/G493*100)</f>
        <v>0</v>
      </c>
      <c r="J493" s="3">
        <f>SUM('[2]ведомствен.'!G1116)+'[2]ведомствен.'!G212</f>
        <v>19160.9</v>
      </c>
    </row>
    <row r="494" spans="1:9" ht="32.25" customHeight="1" hidden="1">
      <c r="A494" s="26" t="s">
        <v>881</v>
      </c>
      <c r="B494" s="36"/>
      <c r="C494" s="28" t="s">
        <v>963</v>
      </c>
      <c r="D494" s="28" t="s">
        <v>942</v>
      </c>
      <c r="E494" s="28" t="s">
        <v>392</v>
      </c>
      <c r="F494" s="29"/>
      <c r="G494" s="30">
        <f aca="true" t="shared" si="12" ref="G494:H496">SUM(G495)</f>
        <v>0</v>
      </c>
      <c r="H494" s="30">
        <f t="shared" si="12"/>
        <v>0</v>
      </c>
      <c r="I494" s="30" t="e">
        <f t="shared" si="11"/>
        <v>#DIV/0!</v>
      </c>
    </row>
    <row r="495" spans="1:9" ht="36" customHeight="1" hidden="1">
      <c r="A495" s="26" t="s">
        <v>393</v>
      </c>
      <c r="B495" s="36"/>
      <c r="C495" s="28" t="s">
        <v>963</v>
      </c>
      <c r="D495" s="28" t="s">
        <v>942</v>
      </c>
      <c r="E495" s="28" t="s">
        <v>394</v>
      </c>
      <c r="F495" s="29"/>
      <c r="G495" s="30">
        <f t="shared" si="12"/>
        <v>0</v>
      </c>
      <c r="H495" s="30">
        <f t="shared" si="12"/>
        <v>0</v>
      </c>
      <c r="I495" s="30" t="e">
        <f t="shared" si="11"/>
        <v>#DIV/0!</v>
      </c>
    </row>
    <row r="496" spans="1:9" ht="40.5" customHeight="1" hidden="1">
      <c r="A496" s="26" t="s">
        <v>882</v>
      </c>
      <c r="B496" s="36"/>
      <c r="C496" s="28" t="s">
        <v>963</v>
      </c>
      <c r="D496" s="28" t="s">
        <v>942</v>
      </c>
      <c r="E496" s="28" t="s">
        <v>715</v>
      </c>
      <c r="F496" s="29"/>
      <c r="G496" s="30">
        <f t="shared" si="12"/>
        <v>0</v>
      </c>
      <c r="H496" s="30">
        <f t="shared" si="12"/>
        <v>0</v>
      </c>
      <c r="I496" s="30" t="e">
        <f t="shared" si="11"/>
        <v>#DIV/0!</v>
      </c>
    </row>
    <row r="497" spans="1:9" ht="16.5" customHeight="1" hidden="1">
      <c r="A497" s="26" t="s">
        <v>969</v>
      </c>
      <c r="B497" s="36"/>
      <c r="C497" s="28" t="s">
        <v>963</v>
      </c>
      <c r="D497" s="28" t="s">
        <v>942</v>
      </c>
      <c r="E497" s="28" t="s">
        <v>715</v>
      </c>
      <c r="F497" s="29" t="s">
        <v>970</v>
      </c>
      <c r="G497" s="30"/>
      <c r="H497" s="30"/>
      <c r="I497" s="30" t="e">
        <f t="shared" si="11"/>
        <v>#DIV/0!</v>
      </c>
    </row>
    <row r="498" spans="1:9" ht="19.5" customHeight="1">
      <c r="A498" s="26" t="s">
        <v>667</v>
      </c>
      <c r="B498" s="28"/>
      <c r="C498" s="28" t="s">
        <v>963</v>
      </c>
      <c r="D498" s="28" t="s">
        <v>942</v>
      </c>
      <c r="E498" s="28" t="s">
        <v>544</v>
      </c>
      <c r="F498" s="29"/>
      <c r="G498" s="30">
        <f>SUM(G499+G501)</f>
        <v>12752.9</v>
      </c>
      <c r="H498" s="30">
        <f>SUM(H499+H501)</f>
        <v>8208.5</v>
      </c>
      <c r="I498" s="30">
        <f t="shared" si="11"/>
        <v>64.36575210344314</v>
      </c>
    </row>
    <row r="499" spans="1:9" ht="28.5" customHeight="1">
      <c r="A499" s="135" t="s">
        <v>716</v>
      </c>
      <c r="B499" s="28"/>
      <c r="C499" s="28" t="s">
        <v>963</v>
      </c>
      <c r="D499" s="28" t="s">
        <v>942</v>
      </c>
      <c r="E499" s="28" t="s">
        <v>717</v>
      </c>
      <c r="F499" s="29"/>
      <c r="G499" s="30">
        <f>SUM(G500)</f>
        <v>11955.8</v>
      </c>
      <c r="H499" s="30">
        <f>SUM(H500)</f>
        <v>7214.3</v>
      </c>
      <c r="I499" s="30">
        <f t="shared" si="11"/>
        <v>60.341424245972675</v>
      </c>
    </row>
    <row r="500" spans="1:10" ht="17.25" customHeight="1">
      <c r="A500" s="26" t="s">
        <v>969</v>
      </c>
      <c r="B500" s="28"/>
      <c r="C500" s="28" t="s">
        <v>963</v>
      </c>
      <c r="D500" s="28" t="s">
        <v>942</v>
      </c>
      <c r="E500" s="28" t="s">
        <v>717</v>
      </c>
      <c r="F500" s="29" t="s">
        <v>970</v>
      </c>
      <c r="G500" s="30">
        <f>10627.5+1328.3</f>
        <v>11955.8</v>
      </c>
      <c r="H500" s="30">
        <v>7214.3</v>
      </c>
      <c r="I500" s="30">
        <f t="shared" si="11"/>
        <v>60.341424245972675</v>
      </c>
      <c r="J500" s="150">
        <f>SUM('[2]ведомствен.'!G1120)</f>
        <v>11955.8</v>
      </c>
    </row>
    <row r="501" spans="1:9" ht="42" customHeight="1">
      <c r="A501" s="135" t="s">
        <v>718</v>
      </c>
      <c r="B501" s="28"/>
      <c r="C501" s="28" t="s">
        <v>963</v>
      </c>
      <c r="D501" s="28" t="s">
        <v>942</v>
      </c>
      <c r="E501" s="28" t="s">
        <v>719</v>
      </c>
      <c r="F501" s="29"/>
      <c r="G501" s="30">
        <f>SUM(G502)</f>
        <v>797.1000000000001</v>
      </c>
      <c r="H501" s="30">
        <f>SUM(H502)</f>
        <v>994.2</v>
      </c>
      <c r="I501" s="30">
        <f t="shared" si="11"/>
        <v>124.72713586751973</v>
      </c>
    </row>
    <row r="502" spans="1:10" ht="17.25" customHeight="1">
      <c r="A502" s="26" t="s">
        <v>969</v>
      </c>
      <c r="B502" s="28"/>
      <c r="C502" s="28" t="s">
        <v>963</v>
      </c>
      <c r="D502" s="28" t="s">
        <v>942</v>
      </c>
      <c r="E502" s="28" t="s">
        <v>719</v>
      </c>
      <c r="F502" s="29" t="s">
        <v>970</v>
      </c>
      <c r="G502" s="30">
        <f>2125.4-1328.3</f>
        <v>797.1000000000001</v>
      </c>
      <c r="H502" s="30">
        <v>994.2</v>
      </c>
      <c r="I502" s="30">
        <f t="shared" si="11"/>
        <v>124.72713586751973</v>
      </c>
      <c r="J502" s="150">
        <f>SUM('[2]ведомствен.'!G1122)</f>
        <v>797.1000000000001</v>
      </c>
    </row>
    <row r="503" spans="1:9" ht="14.25" customHeight="1" hidden="1">
      <c r="A503" s="132" t="s">
        <v>667</v>
      </c>
      <c r="B503" s="28"/>
      <c r="C503" s="28" t="s">
        <v>963</v>
      </c>
      <c r="D503" s="28" t="s">
        <v>942</v>
      </c>
      <c r="E503" s="28" t="s">
        <v>544</v>
      </c>
      <c r="F503" s="29"/>
      <c r="G503" s="30">
        <f>SUM(G504)</f>
        <v>0</v>
      </c>
      <c r="H503" s="30">
        <f>SUM(H504)</f>
        <v>0</v>
      </c>
      <c r="I503" s="30" t="e">
        <f t="shared" si="11"/>
        <v>#DIV/0!</v>
      </c>
    </row>
    <row r="504" spans="1:9" ht="17.25" customHeight="1" hidden="1">
      <c r="A504" s="131" t="s">
        <v>883</v>
      </c>
      <c r="B504" s="28"/>
      <c r="C504" s="28" t="s">
        <v>963</v>
      </c>
      <c r="D504" s="28" t="s">
        <v>942</v>
      </c>
      <c r="E504" s="28" t="s">
        <v>544</v>
      </c>
      <c r="F504" s="29" t="s">
        <v>884</v>
      </c>
      <c r="G504" s="30"/>
      <c r="H504" s="30"/>
      <c r="I504" s="30" t="e">
        <f t="shared" si="11"/>
        <v>#DIV/0!</v>
      </c>
    </row>
    <row r="505" spans="1:9" ht="17.25" customHeight="1" hidden="1">
      <c r="A505" s="26" t="s">
        <v>96</v>
      </c>
      <c r="B505" s="28"/>
      <c r="C505" s="28" t="s">
        <v>963</v>
      </c>
      <c r="D505" s="28" t="s">
        <v>942</v>
      </c>
      <c r="E505" s="28" t="s">
        <v>97</v>
      </c>
      <c r="F505" s="29"/>
      <c r="G505" s="30">
        <f>SUM(G506)</f>
        <v>0</v>
      </c>
      <c r="H505" s="30">
        <f>SUM(H506)</f>
        <v>0</v>
      </c>
      <c r="I505" s="30" t="e">
        <f t="shared" si="11"/>
        <v>#DIV/0!</v>
      </c>
    </row>
    <row r="506" spans="1:9" ht="17.25" customHeight="1" hidden="1">
      <c r="A506" s="26" t="s">
        <v>459</v>
      </c>
      <c r="B506" s="28"/>
      <c r="C506" s="28" t="s">
        <v>963</v>
      </c>
      <c r="D506" s="28" t="s">
        <v>942</v>
      </c>
      <c r="E506" s="28" t="s">
        <v>97</v>
      </c>
      <c r="F506" s="29" t="s">
        <v>460</v>
      </c>
      <c r="G506" s="30"/>
      <c r="H506" s="30"/>
      <c r="I506" s="30" t="e">
        <f t="shared" si="11"/>
        <v>#DIV/0!</v>
      </c>
    </row>
    <row r="507" spans="1:9" ht="15">
      <c r="A507" s="26" t="s">
        <v>964</v>
      </c>
      <c r="B507" s="32"/>
      <c r="C507" s="28" t="s">
        <v>963</v>
      </c>
      <c r="D507" s="28" t="s">
        <v>963</v>
      </c>
      <c r="E507" s="28"/>
      <c r="F507" s="29"/>
      <c r="G507" s="30">
        <f>SUM(G512+G521+G535+G508)</f>
        <v>32876</v>
      </c>
      <c r="H507" s="30">
        <f>SUM(H512+H521+H535+H508)</f>
        <v>31018</v>
      </c>
      <c r="I507" s="30">
        <f t="shared" si="11"/>
        <v>94.34846088331913</v>
      </c>
    </row>
    <row r="508" spans="1:9" ht="15" hidden="1">
      <c r="A508" s="131" t="s">
        <v>94</v>
      </c>
      <c r="B508" s="27"/>
      <c r="C508" s="28" t="s">
        <v>963</v>
      </c>
      <c r="D508" s="28" t="s">
        <v>963</v>
      </c>
      <c r="E508" s="28" t="s">
        <v>95</v>
      </c>
      <c r="F508" s="29"/>
      <c r="G508" s="30">
        <f>SUM(G509)</f>
        <v>0</v>
      </c>
      <c r="H508" s="30">
        <f>SUM(H509)</f>
        <v>1563.8</v>
      </c>
      <c r="I508" s="30" t="e">
        <f t="shared" si="11"/>
        <v>#DIV/0!</v>
      </c>
    </row>
    <row r="509" spans="1:9" ht="15" hidden="1">
      <c r="A509" s="131" t="s">
        <v>96</v>
      </c>
      <c r="B509" s="27"/>
      <c r="C509" s="28" t="s">
        <v>963</v>
      </c>
      <c r="D509" s="28" t="s">
        <v>963</v>
      </c>
      <c r="E509" s="28" t="s">
        <v>97</v>
      </c>
      <c r="F509" s="29"/>
      <c r="G509" s="30">
        <f>SUM(G510+G511)</f>
        <v>0</v>
      </c>
      <c r="H509" s="30">
        <f>SUM(H510+H511)</f>
        <v>1563.8</v>
      </c>
      <c r="I509" s="30" t="e">
        <f t="shared" si="11"/>
        <v>#DIV/0!</v>
      </c>
    </row>
    <row r="510" spans="1:10" ht="15" hidden="1">
      <c r="A510" s="26" t="s">
        <v>969</v>
      </c>
      <c r="B510" s="27"/>
      <c r="C510" s="28" t="s">
        <v>963</v>
      </c>
      <c r="D510" s="28" t="s">
        <v>963</v>
      </c>
      <c r="E510" s="28" t="s">
        <v>97</v>
      </c>
      <c r="F510" s="29" t="s">
        <v>970</v>
      </c>
      <c r="G510" s="30"/>
      <c r="H510" s="30">
        <v>964</v>
      </c>
      <c r="I510" s="30" t="e">
        <f t="shared" si="11"/>
        <v>#DIV/0!</v>
      </c>
      <c r="J510" s="65">
        <f>SUM('[2]ведомствен.'!G1126)</f>
        <v>0</v>
      </c>
    </row>
    <row r="511" spans="1:10" ht="15" hidden="1">
      <c r="A511" s="26" t="s">
        <v>459</v>
      </c>
      <c r="B511" s="27"/>
      <c r="C511" s="28" t="s">
        <v>963</v>
      </c>
      <c r="D511" s="28" t="s">
        <v>963</v>
      </c>
      <c r="E511" s="28" t="s">
        <v>97</v>
      </c>
      <c r="F511" s="29" t="s">
        <v>460</v>
      </c>
      <c r="G511" s="30"/>
      <c r="H511" s="30">
        <v>599.8</v>
      </c>
      <c r="I511" s="30" t="e">
        <f t="shared" si="11"/>
        <v>#DIV/0!</v>
      </c>
      <c r="J511" s="65">
        <f>SUM('[2]ведомствен.'!G1127+'[2]ведомствен.'!G1215+'[2]ведомствен.'!G712)</f>
        <v>0</v>
      </c>
    </row>
    <row r="512" spans="1:9" ht="15">
      <c r="A512" s="131" t="s">
        <v>365</v>
      </c>
      <c r="B512" s="27"/>
      <c r="C512" s="28" t="s">
        <v>963</v>
      </c>
      <c r="D512" s="28" t="s">
        <v>963</v>
      </c>
      <c r="E512" s="28" t="s">
        <v>366</v>
      </c>
      <c r="F512" s="29"/>
      <c r="G512" s="30">
        <f>SUM(G513+G519)</f>
        <v>3797.6000000000004</v>
      </c>
      <c r="H512" s="30">
        <f>SUM(H513+H519+H517)</f>
        <v>1812.7999999999997</v>
      </c>
      <c r="I512" s="30">
        <f t="shared" si="11"/>
        <v>47.73541183905623</v>
      </c>
    </row>
    <row r="513" spans="1:9" ht="18" customHeight="1">
      <c r="A513" s="131" t="s">
        <v>367</v>
      </c>
      <c r="B513" s="28"/>
      <c r="C513" s="28" t="s">
        <v>963</v>
      </c>
      <c r="D513" s="28" t="s">
        <v>963</v>
      </c>
      <c r="E513" s="28" t="s">
        <v>368</v>
      </c>
      <c r="F513" s="29"/>
      <c r="G513" s="30">
        <f>SUM(G514+G515+G517)</f>
        <v>1842.6000000000001</v>
      </c>
      <c r="H513" s="30">
        <f>SUM(H514:H515)</f>
        <v>341.9</v>
      </c>
      <c r="I513" s="30">
        <f t="shared" si="11"/>
        <v>18.555302290242047</v>
      </c>
    </row>
    <row r="514" spans="1:10" ht="15" customHeight="1">
      <c r="A514" s="26" t="s">
        <v>969</v>
      </c>
      <c r="B514" s="27"/>
      <c r="C514" s="28" t="s">
        <v>963</v>
      </c>
      <c r="D514" s="28" t="s">
        <v>963</v>
      </c>
      <c r="E514" s="28" t="s">
        <v>368</v>
      </c>
      <c r="F514" s="29" t="s">
        <v>970</v>
      </c>
      <c r="G514" s="30">
        <v>1039.4</v>
      </c>
      <c r="H514" s="30">
        <v>341.9</v>
      </c>
      <c r="I514" s="30">
        <f t="shared" si="11"/>
        <v>32.89397729459303</v>
      </c>
      <c r="J514" s="65">
        <f>SUM('[2]ведомствен.'!G1130+'[2]ведомствен.'!G971)</f>
        <v>1039.4</v>
      </c>
    </row>
    <row r="515" spans="1:10" ht="30" customHeight="1">
      <c r="A515" s="26" t="s">
        <v>607</v>
      </c>
      <c r="B515" s="27"/>
      <c r="C515" s="28" t="s">
        <v>963</v>
      </c>
      <c r="D515" s="28" t="s">
        <v>963</v>
      </c>
      <c r="E515" s="28" t="s">
        <v>608</v>
      </c>
      <c r="F515" s="29"/>
      <c r="G515" s="30">
        <f>SUM(G516)</f>
        <v>378.2</v>
      </c>
      <c r="H515" s="30"/>
      <c r="I515" s="30"/>
      <c r="J515" s="3"/>
    </row>
    <row r="516" spans="1:10" ht="18.75" customHeight="1">
      <c r="A516" s="26" t="s">
        <v>969</v>
      </c>
      <c r="B516" s="27"/>
      <c r="C516" s="28" t="s">
        <v>963</v>
      </c>
      <c r="D516" s="28" t="s">
        <v>963</v>
      </c>
      <c r="E516" s="28" t="s">
        <v>608</v>
      </c>
      <c r="F516" s="29" t="s">
        <v>970</v>
      </c>
      <c r="G516" s="30">
        <v>378.2</v>
      </c>
      <c r="H516" s="30"/>
      <c r="I516" s="30"/>
      <c r="J516" s="3">
        <f>SUM('[2]ведомствен.'!G973)</f>
        <v>378.2</v>
      </c>
    </row>
    <row r="517" spans="1:9" ht="54.75" customHeight="1">
      <c r="A517" s="26" t="s">
        <v>609</v>
      </c>
      <c r="B517" s="27"/>
      <c r="C517" s="28" t="s">
        <v>963</v>
      </c>
      <c r="D517" s="28" t="s">
        <v>963</v>
      </c>
      <c r="E517" s="28" t="s">
        <v>610</v>
      </c>
      <c r="F517" s="29"/>
      <c r="G517" s="30">
        <f>SUM(G518)</f>
        <v>425</v>
      </c>
      <c r="H517" s="30">
        <f>SUM(H518)</f>
        <v>444.6</v>
      </c>
      <c r="I517" s="30">
        <f t="shared" si="11"/>
        <v>104.61176470588236</v>
      </c>
    </row>
    <row r="518" spans="1:10" ht="17.25" customHeight="1">
      <c r="A518" s="26" t="s">
        <v>969</v>
      </c>
      <c r="B518" s="27"/>
      <c r="C518" s="28" t="s">
        <v>963</v>
      </c>
      <c r="D518" s="28" t="s">
        <v>963</v>
      </c>
      <c r="E518" s="28" t="s">
        <v>610</v>
      </c>
      <c r="F518" s="29" t="s">
        <v>970</v>
      </c>
      <c r="G518" s="30">
        <v>425</v>
      </c>
      <c r="H518" s="30">
        <v>444.6</v>
      </c>
      <c r="I518" s="30">
        <f t="shared" si="11"/>
        <v>104.61176470588236</v>
      </c>
      <c r="J518" s="65">
        <f>SUM('[2]ведомствен.'!G1133+'[2]ведомствен.'!G975)</f>
        <v>425</v>
      </c>
    </row>
    <row r="519" spans="1:9" ht="17.25" customHeight="1">
      <c r="A519" s="131" t="s">
        <v>234</v>
      </c>
      <c r="B519" s="27"/>
      <c r="C519" s="28" t="s">
        <v>963</v>
      </c>
      <c r="D519" s="28" t="s">
        <v>963</v>
      </c>
      <c r="E519" s="28" t="s">
        <v>611</v>
      </c>
      <c r="F519" s="29"/>
      <c r="G519" s="30">
        <f>SUM(G520)</f>
        <v>1955</v>
      </c>
      <c r="H519" s="30">
        <f>SUM(H520)</f>
        <v>1026.3</v>
      </c>
      <c r="I519" s="30">
        <f t="shared" si="11"/>
        <v>52.49616368286445</v>
      </c>
    </row>
    <row r="520" spans="1:10" ht="18.75" customHeight="1">
      <c r="A520" s="26" t="s">
        <v>969</v>
      </c>
      <c r="B520" s="27"/>
      <c r="C520" s="28" t="s">
        <v>963</v>
      </c>
      <c r="D520" s="28" t="s">
        <v>963</v>
      </c>
      <c r="E520" s="28" t="s">
        <v>611</v>
      </c>
      <c r="F520" s="29" t="s">
        <v>970</v>
      </c>
      <c r="G520" s="30">
        <f>1963.9-8.9</f>
        <v>1955</v>
      </c>
      <c r="H520" s="30">
        <v>1026.3</v>
      </c>
      <c r="I520" s="30">
        <f aca="true" t="shared" si="13" ref="I520:I583">SUM(H520/G520*100)</f>
        <v>52.49616368286445</v>
      </c>
      <c r="J520" s="65">
        <f>SUM('[2]ведомствен.'!G1136+'[2]ведомствен.'!G977)</f>
        <v>1963.9</v>
      </c>
    </row>
    <row r="521" spans="1:9" ht="28.5">
      <c r="A521" s="135" t="s">
        <v>965</v>
      </c>
      <c r="B521" s="32"/>
      <c r="C521" s="28" t="s">
        <v>963</v>
      </c>
      <c r="D521" s="28" t="s">
        <v>963</v>
      </c>
      <c r="E521" s="28" t="s">
        <v>966</v>
      </c>
      <c r="F521" s="29"/>
      <c r="G521" s="30">
        <f>SUM(G522)</f>
        <v>29078.4</v>
      </c>
      <c r="H521" s="30">
        <f>SUM(H529)</f>
        <v>27641.4</v>
      </c>
      <c r="I521" s="30">
        <f t="shared" si="13"/>
        <v>95.05818752063388</v>
      </c>
    </row>
    <row r="522" spans="1:10" ht="42.75">
      <c r="A522" s="31" t="s">
        <v>612</v>
      </c>
      <c r="B522" s="32"/>
      <c r="C522" s="28" t="s">
        <v>963</v>
      </c>
      <c r="D522" s="28" t="s">
        <v>963</v>
      </c>
      <c r="E522" s="28" t="s">
        <v>613</v>
      </c>
      <c r="F522" s="29"/>
      <c r="G522" s="30">
        <f>SUM(G523+G525+G527)</f>
        <v>29078.4</v>
      </c>
      <c r="H522" s="30"/>
      <c r="I522" s="30"/>
      <c r="J522" s="3"/>
    </row>
    <row r="523" spans="1:10" ht="57">
      <c r="A523" s="31" t="s">
        <v>614</v>
      </c>
      <c r="B523" s="32"/>
      <c r="C523" s="28" t="s">
        <v>963</v>
      </c>
      <c r="D523" s="28" t="s">
        <v>963</v>
      </c>
      <c r="E523" s="28" t="s">
        <v>615</v>
      </c>
      <c r="F523" s="29"/>
      <c r="G523" s="30">
        <f>SUM(G524)</f>
        <v>3800</v>
      </c>
      <c r="H523" s="30"/>
      <c r="I523" s="30"/>
      <c r="J523" s="3"/>
    </row>
    <row r="524" spans="1:10" ht="15">
      <c r="A524" s="26" t="s">
        <v>969</v>
      </c>
      <c r="B524" s="32"/>
      <c r="C524" s="28" t="s">
        <v>963</v>
      </c>
      <c r="D524" s="28" t="s">
        <v>963</v>
      </c>
      <c r="E524" s="28" t="s">
        <v>615</v>
      </c>
      <c r="F524" s="29" t="s">
        <v>970</v>
      </c>
      <c r="G524" s="30">
        <v>3800</v>
      </c>
      <c r="H524" s="30"/>
      <c r="I524" s="30"/>
      <c r="J524" s="3">
        <f>SUM('[2]ведомствен.'!G981+'[2]ведомствен.'!G1140+'[2]ведомствен.'!G1219)</f>
        <v>3800</v>
      </c>
    </row>
    <row r="525" spans="1:9" ht="75" customHeight="1">
      <c r="A525" s="26" t="s">
        <v>697</v>
      </c>
      <c r="B525" s="36"/>
      <c r="C525" s="28" t="s">
        <v>963</v>
      </c>
      <c r="D525" s="28" t="s">
        <v>963</v>
      </c>
      <c r="E525" s="28" t="s">
        <v>722</v>
      </c>
      <c r="F525" s="29"/>
      <c r="G525" s="30">
        <f>SUM(G526)</f>
        <v>6962.4</v>
      </c>
      <c r="H525" s="30">
        <f>SUM(H526)</f>
        <v>6986.3</v>
      </c>
      <c r="I525" s="30">
        <f>SUM(H525/G525*100)</f>
        <v>100.34327243479262</v>
      </c>
    </row>
    <row r="526" spans="1:10" ht="17.25" customHeight="1">
      <c r="A526" s="26" t="s">
        <v>699</v>
      </c>
      <c r="B526" s="36"/>
      <c r="C526" s="28" t="s">
        <v>963</v>
      </c>
      <c r="D526" s="28" t="s">
        <v>963</v>
      </c>
      <c r="E526" s="28" t="s">
        <v>722</v>
      </c>
      <c r="F526" s="29" t="s">
        <v>700</v>
      </c>
      <c r="G526" s="30">
        <v>6962.4</v>
      </c>
      <c r="H526" s="30">
        <v>6986.3</v>
      </c>
      <c r="I526" s="30">
        <f>SUM(H526/G526*100)</f>
        <v>100.34327243479262</v>
      </c>
      <c r="J526" s="65">
        <f>SUM('[2]ведомствен.'!G1141)</f>
        <v>6962.4</v>
      </c>
    </row>
    <row r="527" spans="1:9" ht="58.5" customHeight="1">
      <c r="A527" s="26" t="s">
        <v>727</v>
      </c>
      <c r="B527" s="32"/>
      <c r="C527" s="28" t="s">
        <v>963</v>
      </c>
      <c r="D527" s="28" t="s">
        <v>963</v>
      </c>
      <c r="E527" s="28" t="s">
        <v>725</v>
      </c>
      <c r="F527" s="29"/>
      <c r="G527" s="30">
        <f>SUM(G528)</f>
        <v>18316</v>
      </c>
      <c r="H527" s="30">
        <f>SUM(H528)</f>
        <v>17698.5</v>
      </c>
      <c r="I527" s="30">
        <f>SUM(H527/G527*100)</f>
        <v>96.62863070539419</v>
      </c>
    </row>
    <row r="528" spans="1:10" ht="16.5" customHeight="1">
      <c r="A528" s="26" t="s">
        <v>10</v>
      </c>
      <c r="B528" s="32"/>
      <c r="C528" s="28" t="s">
        <v>963</v>
      </c>
      <c r="D528" s="28" t="s">
        <v>963</v>
      </c>
      <c r="E528" s="28" t="s">
        <v>725</v>
      </c>
      <c r="F528" s="29" t="s">
        <v>11</v>
      </c>
      <c r="G528" s="30">
        <v>18316</v>
      </c>
      <c r="H528" s="30">
        <v>17698.5</v>
      </c>
      <c r="I528" s="30">
        <f>SUM(H528/G528*100)</f>
        <v>96.62863070539419</v>
      </c>
      <c r="J528" s="65">
        <f>SUM('[2]ведомствен.'!G1143)</f>
        <v>18316</v>
      </c>
    </row>
    <row r="529" spans="1:9" ht="15" hidden="1">
      <c r="A529" s="135" t="s">
        <v>967</v>
      </c>
      <c r="B529" s="32"/>
      <c r="C529" s="28" t="s">
        <v>963</v>
      </c>
      <c r="D529" s="28" t="s">
        <v>963</v>
      </c>
      <c r="E529" s="28" t="s">
        <v>968</v>
      </c>
      <c r="F529" s="29"/>
      <c r="G529" s="30">
        <f>SUM(G530+G531+G533)</f>
        <v>0</v>
      </c>
      <c r="H529" s="30">
        <f>SUM(H530+H531+H533)</f>
        <v>27641.4</v>
      </c>
      <c r="I529" s="30" t="e">
        <f t="shared" si="13"/>
        <v>#DIV/0!</v>
      </c>
    </row>
    <row r="530" spans="1:9" ht="17.25" customHeight="1" hidden="1">
      <c r="A530" s="26" t="s">
        <v>969</v>
      </c>
      <c r="B530" s="32"/>
      <c r="C530" s="28" t="s">
        <v>963</v>
      </c>
      <c r="D530" s="28" t="s">
        <v>963</v>
      </c>
      <c r="E530" s="28" t="s">
        <v>968</v>
      </c>
      <c r="F530" s="29" t="s">
        <v>970</v>
      </c>
      <c r="G530" s="30"/>
      <c r="H530" s="30">
        <v>2956.6</v>
      </c>
      <c r="I530" s="30" t="e">
        <f t="shared" si="13"/>
        <v>#DIV/0!</v>
      </c>
    </row>
    <row r="531" spans="1:9" ht="75" customHeight="1" hidden="1">
      <c r="A531" s="26" t="s">
        <v>697</v>
      </c>
      <c r="B531" s="36"/>
      <c r="C531" s="28" t="s">
        <v>963</v>
      </c>
      <c r="D531" s="28" t="s">
        <v>963</v>
      </c>
      <c r="E531" s="28" t="s">
        <v>726</v>
      </c>
      <c r="F531" s="29"/>
      <c r="G531" s="30">
        <f>SUM(G532)</f>
        <v>0</v>
      </c>
      <c r="H531" s="30">
        <f>SUM(H532)</f>
        <v>6986.3</v>
      </c>
      <c r="I531" s="30" t="e">
        <f t="shared" si="13"/>
        <v>#DIV/0!</v>
      </c>
    </row>
    <row r="532" spans="1:10" ht="17.25" customHeight="1" hidden="1">
      <c r="A532" s="26" t="s">
        <v>699</v>
      </c>
      <c r="B532" s="36"/>
      <c r="C532" s="28" t="s">
        <v>963</v>
      </c>
      <c r="D532" s="28" t="s">
        <v>963</v>
      </c>
      <c r="E532" s="28" t="s">
        <v>726</v>
      </c>
      <c r="F532" s="29" t="s">
        <v>700</v>
      </c>
      <c r="G532" s="30"/>
      <c r="H532" s="30">
        <v>6986.3</v>
      </c>
      <c r="I532" s="30" t="e">
        <f t="shared" si="13"/>
        <v>#DIV/0!</v>
      </c>
      <c r="J532" s="65">
        <f>SUM('[2]ведомствен.'!G1148)</f>
        <v>0</v>
      </c>
    </row>
    <row r="533" spans="1:9" ht="58.5" customHeight="1" hidden="1">
      <c r="A533" s="26" t="s">
        <v>727</v>
      </c>
      <c r="B533" s="32"/>
      <c r="C533" s="28" t="s">
        <v>963</v>
      </c>
      <c r="D533" s="28" t="s">
        <v>963</v>
      </c>
      <c r="E533" s="28" t="s">
        <v>728</v>
      </c>
      <c r="F533" s="29"/>
      <c r="G533" s="30">
        <f>SUM(G534)</f>
        <v>0</v>
      </c>
      <c r="H533" s="30">
        <f>SUM(H534)</f>
        <v>17698.5</v>
      </c>
      <c r="I533" s="30" t="e">
        <f t="shared" si="13"/>
        <v>#DIV/0!</v>
      </c>
    </row>
    <row r="534" spans="1:10" ht="17.25" customHeight="1" hidden="1">
      <c r="A534" s="26" t="s">
        <v>10</v>
      </c>
      <c r="B534" s="32"/>
      <c r="C534" s="28" t="s">
        <v>963</v>
      </c>
      <c r="D534" s="28" t="s">
        <v>963</v>
      </c>
      <c r="E534" s="28" t="s">
        <v>728</v>
      </c>
      <c r="F534" s="29" t="s">
        <v>11</v>
      </c>
      <c r="G534" s="30"/>
      <c r="H534" s="30">
        <v>17698.5</v>
      </c>
      <c r="I534" s="30" t="e">
        <f t="shared" si="13"/>
        <v>#DIV/0!</v>
      </c>
      <c r="J534" s="65">
        <f>SUM('[2]ведомствен.'!G1150)</f>
        <v>0</v>
      </c>
    </row>
    <row r="535" spans="1:9" ht="20.25" customHeight="1" hidden="1">
      <c r="A535" s="89" t="s">
        <v>885</v>
      </c>
      <c r="B535" s="28"/>
      <c r="C535" s="28" t="s">
        <v>963</v>
      </c>
      <c r="D535" s="28" t="s">
        <v>963</v>
      </c>
      <c r="E535" s="28" t="s">
        <v>535</v>
      </c>
      <c r="F535" s="29"/>
      <c r="G535" s="30">
        <f aca="true" t="shared" si="14" ref="G535:H537">SUM(G536)</f>
        <v>0</v>
      </c>
      <c r="H535" s="30">
        <f t="shared" si="14"/>
        <v>0</v>
      </c>
      <c r="I535" s="30" t="e">
        <f t="shared" si="13"/>
        <v>#DIV/0!</v>
      </c>
    </row>
    <row r="536" spans="1:9" ht="15.75" customHeight="1" hidden="1">
      <c r="A536" s="26" t="s">
        <v>886</v>
      </c>
      <c r="B536" s="32"/>
      <c r="C536" s="28" t="s">
        <v>963</v>
      </c>
      <c r="D536" s="28" t="s">
        <v>963</v>
      </c>
      <c r="E536" s="28" t="s">
        <v>887</v>
      </c>
      <c r="F536" s="29"/>
      <c r="G536" s="30">
        <f t="shared" si="14"/>
        <v>0</v>
      </c>
      <c r="H536" s="30">
        <f t="shared" si="14"/>
        <v>0</v>
      </c>
      <c r="I536" s="30" t="e">
        <f t="shared" si="13"/>
        <v>#DIV/0!</v>
      </c>
    </row>
    <row r="537" spans="1:9" ht="16.5" customHeight="1" hidden="1">
      <c r="A537" s="26" t="s">
        <v>888</v>
      </c>
      <c r="B537" s="32"/>
      <c r="C537" s="28" t="s">
        <v>963</v>
      </c>
      <c r="D537" s="28" t="s">
        <v>963</v>
      </c>
      <c r="E537" s="28" t="s">
        <v>730</v>
      </c>
      <c r="F537" s="29"/>
      <c r="G537" s="30">
        <f t="shared" si="14"/>
        <v>0</v>
      </c>
      <c r="H537" s="30">
        <f t="shared" si="14"/>
        <v>0</v>
      </c>
      <c r="I537" s="30" t="e">
        <f t="shared" si="13"/>
        <v>#DIV/0!</v>
      </c>
    </row>
    <row r="538" spans="1:9" ht="17.25" customHeight="1" hidden="1">
      <c r="A538" s="26" t="s">
        <v>729</v>
      </c>
      <c r="B538" s="32"/>
      <c r="C538" s="28" t="s">
        <v>963</v>
      </c>
      <c r="D538" s="28" t="s">
        <v>963</v>
      </c>
      <c r="E538" s="28" t="s">
        <v>730</v>
      </c>
      <c r="F538" s="29" t="s">
        <v>731</v>
      </c>
      <c r="G538" s="30"/>
      <c r="H538" s="30"/>
      <c r="I538" s="30" t="e">
        <f t="shared" si="13"/>
        <v>#DIV/0!</v>
      </c>
    </row>
    <row r="539" spans="1:9" ht="15">
      <c r="A539" s="131" t="s">
        <v>369</v>
      </c>
      <c r="B539" s="27"/>
      <c r="C539" s="28" t="s">
        <v>963</v>
      </c>
      <c r="D539" s="28" t="s">
        <v>25</v>
      </c>
      <c r="E539" s="28"/>
      <c r="F539" s="29"/>
      <c r="G539" s="30">
        <f>SUM(G543+G547+G554+G569+G540)</f>
        <v>57691.2</v>
      </c>
      <c r="H539" s="30">
        <f>SUM(H543+H547+H554+H569+H540)</f>
        <v>39045.399999999994</v>
      </c>
      <c r="I539" s="30">
        <f t="shared" si="13"/>
        <v>67.67999278919487</v>
      </c>
    </row>
    <row r="540" spans="1:9" ht="28.5" customHeight="1" hidden="1">
      <c r="A540" s="131" t="s">
        <v>51</v>
      </c>
      <c r="B540" s="27"/>
      <c r="C540" s="28" t="s">
        <v>963</v>
      </c>
      <c r="D540" s="28" t="s">
        <v>25</v>
      </c>
      <c r="E540" s="28" t="s">
        <v>52</v>
      </c>
      <c r="F540" s="29"/>
      <c r="G540" s="30">
        <f>SUM(G541)</f>
        <v>0</v>
      </c>
      <c r="H540" s="30">
        <f>SUM(H541)</f>
        <v>0</v>
      </c>
      <c r="I540" s="30" t="e">
        <f t="shared" si="13"/>
        <v>#DIV/0!</v>
      </c>
    </row>
    <row r="541" spans="1:9" ht="27.75" customHeight="1" hidden="1">
      <c r="A541" s="131" t="s">
        <v>337</v>
      </c>
      <c r="B541" s="27"/>
      <c r="C541" s="28" t="s">
        <v>963</v>
      </c>
      <c r="D541" s="28" t="s">
        <v>25</v>
      </c>
      <c r="E541" s="28" t="s">
        <v>54</v>
      </c>
      <c r="F541" s="29"/>
      <c r="G541" s="30">
        <f>SUM(G542)</f>
        <v>0</v>
      </c>
      <c r="H541" s="30">
        <f>SUM(H542)</f>
        <v>0</v>
      </c>
      <c r="I541" s="30" t="e">
        <f t="shared" si="13"/>
        <v>#DIV/0!</v>
      </c>
    </row>
    <row r="542" spans="1:9" ht="18" customHeight="1" hidden="1">
      <c r="A542" s="131" t="s">
        <v>195</v>
      </c>
      <c r="B542" s="27"/>
      <c r="C542" s="28" t="s">
        <v>963</v>
      </c>
      <c r="D542" s="28" t="s">
        <v>25</v>
      </c>
      <c r="E542" s="28" t="s">
        <v>54</v>
      </c>
      <c r="F542" s="29" t="s">
        <v>42</v>
      </c>
      <c r="G542" s="30"/>
      <c r="H542" s="30"/>
      <c r="I542" s="30" t="e">
        <f t="shared" si="13"/>
        <v>#DIV/0!</v>
      </c>
    </row>
    <row r="543" spans="1:9" ht="15">
      <c r="A543" s="142" t="s">
        <v>236</v>
      </c>
      <c r="B543" s="45"/>
      <c r="C543" s="28" t="s">
        <v>963</v>
      </c>
      <c r="D543" s="28" t="s">
        <v>25</v>
      </c>
      <c r="E543" s="28" t="s">
        <v>237</v>
      </c>
      <c r="F543" s="29"/>
      <c r="G543" s="30">
        <f aca="true" t="shared" si="15" ref="G543:H545">SUM(G544)</f>
        <v>3780.3</v>
      </c>
      <c r="H543" s="30">
        <f t="shared" si="15"/>
        <v>1869.7</v>
      </c>
      <c r="I543" s="30">
        <f t="shared" si="13"/>
        <v>49.45903764251514</v>
      </c>
    </row>
    <row r="544" spans="1:9" ht="19.5" customHeight="1">
      <c r="A544" s="26" t="s">
        <v>732</v>
      </c>
      <c r="B544" s="45"/>
      <c r="C544" s="28" t="s">
        <v>963</v>
      </c>
      <c r="D544" s="28" t="s">
        <v>25</v>
      </c>
      <c r="E544" s="28" t="s">
        <v>733</v>
      </c>
      <c r="F544" s="29"/>
      <c r="G544" s="30">
        <f t="shared" si="15"/>
        <v>3780.3</v>
      </c>
      <c r="H544" s="30">
        <f t="shared" si="15"/>
        <v>1869.7</v>
      </c>
      <c r="I544" s="30">
        <f t="shared" si="13"/>
        <v>49.45903764251514</v>
      </c>
    </row>
    <row r="545" spans="1:9" ht="30" customHeight="1">
      <c r="A545" s="26" t="s">
        <v>734</v>
      </c>
      <c r="B545" s="45"/>
      <c r="C545" s="28" t="s">
        <v>963</v>
      </c>
      <c r="D545" s="28" t="s">
        <v>25</v>
      </c>
      <c r="E545" s="28" t="s">
        <v>735</v>
      </c>
      <c r="F545" s="29"/>
      <c r="G545" s="30">
        <f t="shared" si="15"/>
        <v>3780.3</v>
      </c>
      <c r="H545" s="30">
        <f t="shared" si="15"/>
        <v>1869.7</v>
      </c>
      <c r="I545" s="30">
        <f t="shared" si="13"/>
        <v>49.45903764251514</v>
      </c>
    </row>
    <row r="546" spans="1:10" ht="18" customHeight="1">
      <c r="A546" s="26" t="s">
        <v>947</v>
      </c>
      <c r="B546" s="45"/>
      <c r="C546" s="28" t="s">
        <v>963</v>
      </c>
      <c r="D546" s="28" t="s">
        <v>25</v>
      </c>
      <c r="E546" s="28" t="s">
        <v>735</v>
      </c>
      <c r="F546" s="29" t="s">
        <v>948</v>
      </c>
      <c r="G546" s="30">
        <v>3780.3</v>
      </c>
      <c r="H546" s="30">
        <v>1869.7</v>
      </c>
      <c r="I546" s="30">
        <f t="shared" si="13"/>
        <v>49.45903764251514</v>
      </c>
      <c r="J546" s="65">
        <f>SUM('[2]ведомствен.'!G1156)</f>
        <v>3780.3</v>
      </c>
    </row>
    <row r="547" spans="1:9" ht="62.25" customHeight="1">
      <c r="A547" s="135" t="s">
        <v>736</v>
      </c>
      <c r="B547" s="27"/>
      <c r="C547" s="28" t="s">
        <v>963</v>
      </c>
      <c r="D547" s="28" t="s">
        <v>25</v>
      </c>
      <c r="E547" s="28" t="s">
        <v>737</v>
      </c>
      <c r="F547" s="29"/>
      <c r="G547" s="30">
        <f>SUM(G548)</f>
        <v>31681.6</v>
      </c>
      <c r="H547" s="30">
        <f>SUM(H548)</f>
        <v>17823.6</v>
      </c>
      <c r="I547" s="30">
        <f t="shared" si="13"/>
        <v>56.2585222968537</v>
      </c>
    </row>
    <row r="548" spans="1:9" ht="23.25" customHeight="1">
      <c r="A548" s="26" t="s">
        <v>234</v>
      </c>
      <c r="B548" s="45"/>
      <c r="C548" s="28" t="s">
        <v>963</v>
      </c>
      <c r="D548" s="28" t="s">
        <v>25</v>
      </c>
      <c r="E548" s="28" t="s">
        <v>738</v>
      </c>
      <c r="F548" s="29"/>
      <c r="G548" s="30">
        <f>SUM(G549+G550+G552)</f>
        <v>31681.6</v>
      </c>
      <c r="H548" s="30">
        <f>SUM(H549+H550+H552)</f>
        <v>17823.6</v>
      </c>
      <c r="I548" s="30">
        <f t="shared" si="13"/>
        <v>56.2585222968537</v>
      </c>
    </row>
    <row r="549" spans="1:10" ht="18" customHeight="1">
      <c r="A549" s="26" t="s">
        <v>969</v>
      </c>
      <c r="B549" s="45"/>
      <c r="C549" s="28" t="s">
        <v>963</v>
      </c>
      <c r="D549" s="28" t="s">
        <v>25</v>
      </c>
      <c r="E549" s="28" t="s">
        <v>738</v>
      </c>
      <c r="F549" s="29" t="s">
        <v>970</v>
      </c>
      <c r="G549" s="30">
        <f>31096+214.2+169.6+82.7</f>
        <v>31562.5</v>
      </c>
      <c r="H549" s="30">
        <v>17823.6</v>
      </c>
      <c r="I549" s="30">
        <f t="shared" si="13"/>
        <v>56.47081188118811</v>
      </c>
      <c r="J549" s="65">
        <f>SUM('[2]ведомствен.'!G1159)</f>
        <v>31310.2</v>
      </c>
    </row>
    <row r="550" spans="1:9" ht="59.25" customHeight="1">
      <c r="A550" s="135" t="s">
        <v>736</v>
      </c>
      <c r="B550" s="45"/>
      <c r="C550" s="28" t="s">
        <v>963</v>
      </c>
      <c r="D550" s="28" t="s">
        <v>25</v>
      </c>
      <c r="E550" s="28" t="s">
        <v>740</v>
      </c>
      <c r="F550" s="29"/>
      <c r="G550" s="30">
        <f>SUM(G551)</f>
        <v>119.1</v>
      </c>
      <c r="H550" s="30">
        <f>SUM(H551)</f>
        <v>0</v>
      </c>
      <c r="I550" s="30">
        <f t="shared" si="13"/>
        <v>0</v>
      </c>
    </row>
    <row r="551" spans="1:10" ht="20.25" customHeight="1">
      <c r="A551" s="26" t="s">
        <v>969</v>
      </c>
      <c r="B551" s="45"/>
      <c r="C551" s="28" t="s">
        <v>963</v>
      </c>
      <c r="D551" s="28" t="s">
        <v>25</v>
      </c>
      <c r="E551" s="28" t="s">
        <v>740</v>
      </c>
      <c r="F551" s="29" t="s">
        <v>970</v>
      </c>
      <c r="G551" s="30">
        <v>119.1</v>
      </c>
      <c r="H551" s="30"/>
      <c r="I551" s="30">
        <f t="shared" si="13"/>
        <v>0</v>
      </c>
      <c r="J551" s="65">
        <f>SUM('[2]ведомствен.'!G1161)</f>
        <v>119.1</v>
      </c>
    </row>
    <row r="552" spans="1:9" ht="0.75" customHeight="1" hidden="1">
      <c r="A552" s="26" t="s">
        <v>705</v>
      </c>
      <c r="B552" s="36"/>
      <c r="C552" s="28" t="s">
        <v>963</v>
      </c>
      <c r="D552" s="28" t="s">
        <v>25</v>
      </c>
      <c r="E552" s="28" t="s">
        <v>741</v>
      </c>
      <c r="F552" s="29"/>
      <c r="G552" s="30">
        <f>SUM(G553)</f>
        <v>0</v>
      </c>
      <c r="H552" s="30">
        <f>SUM(H553)</f>
        <v>0</v>
      </c>
      <c r="I552" s="30" t="e">
        <f t="shared" si="13"/>
        <v>#DIV/0!</v>
      </c>
    </row>
    <row r="553" spans="1:9" ht="18" customHeight="1" hidden="1">
      <c r="A553" s="26" t="s">
        <v>969</v>
      </c>
      <c r="B553" s="45"/>
      <c r="C553" s="28" t="s">
        <v>963</v>
      </c>
      <c r="D553" s="28" t="s">
        <v>25</v>
      </c>
      <c r="E553" s="28" t="s">
        <v>741</v>
      </c>
      <c r="F553" s="29" t="s">
        <v>970</v>
      </c>
      <c r="G553" s="30"/>
      <c r="H553" s="30"/>
      <c r="I553" s="30" t="e">
        <f t="shared" si="13"/>
        <v>#DIV/0!</v>
      </c>
    </row>
    <row r="554" spans="1:9" ht="15.75">
      <c r="A554" s="26" t="s">
        <v>67</v>
      </c>
      <c r="B554" s="36"/>
      <c r="C554" s="28" t="s">
        <v>963</v>
      </c>
      <c r="D554" s="28" t="s">
        <v>25</v>
      </c>
      <c r="E554" s="28" t="s">
        <v>68</v>
      </c>
      <c r="F554" s="29"/>
      <c r="G554" s="30">
        <f>SUM(G555+G559+G563+G557)+G561</f>
        <v>1501.6</v>
      </c>
      <c r="H554" s="30">
        <f>SUM(H555+H559+H563+H557)+H561+H567</f>
        <v>572</v>
      </c>
      <c r="I554" s="30">
        <f t="shared" si="13"/>
        <v>38.09270111880661</v>
      </c>
    </row>
    <row r="555" spans="1:9" ht="42.75">
      <c r="A555" s="26" t="s">
        <v>742</v>
      </c>
      <c r="B555" s="36"/>
      <c r="C555" s="28" t="s">
        <v>963</v>
      </c>
      <c r="D555" s="28" t="s">
        <v>25</v>
      </c>
      <c r="E555" s="28" t="s">
        <v>617</v>
      </c>
      <c r="F555" s="29"/>
      <c r="G555" s="30">
        <f>SUM(G556)</f>
        <v>320</v>
      </c>
      <c r="H555" s="30">
        <f>SUM(H556)</f>
        <v>3.5</v>
      </c>
      <c r="I555" s="30"/>
    </row>
    <row r="556" spans="1:10" ht="15.75">
      <c r="A556" s="26" t="s">
        <v>969</v>
      </c>
      <c r="B556" s="36"/>
      <c r="C556" s="28" t="s">
        <v>963</v>
      </c>
      <c r="D556" s="28" t="s">
        <v>25</v>
      </c>
      <c r="E556" s="28" t="s">
        <v>617</v>
      </c>
      <c r="F556" s="29" t="s">
        <v>970</v>
      </c>
      <c r="G556" s="30">
        <v>320</v>
      </c>
      <c r="H556" s="30">
        <v>3.5</v>
      </c>
      <c r="I556" s="30"/>
      <c r="J556" s="65">
        <f>SUM('[2]ведомствен.'!G985)</f>
        <v>320</v>
      </c>
    </row>
    <row r="557" spans="1:9" ht="71.25" hidden="1">
      <c r="A557" s="26" t="s">
        <v>745</v>
      </c>
      <c r="B557" s="36"/>
      <c r="C557" s="28" t="s">
        <v>963</v>
      </c>
      <c r="D557" s="28" t="s">
        <v>25</v>
      </c>
      <c r="E557" s="28" t="s">
        <v>746</v>
      </c>
      <c r="F557" s="29"/>
      <c r="G557" s="30">
        <f>SUM(G558)</f>
        <v>0</v>
      </c>
      <c r="H557" s="30">
        <f>SUM(H558)</f>
        <v>0</v>
      </c>
      <c r="I557" s="30" t="e">
        <f t="shared" si="13"/>
        <v>#DIV/0!</v>
      </c>
    </row>
    <row r="558" spans="1:9" ht="28.5" hidden="1">
      <c r="A558" s="26" t="s">
        <v>393</v>
      </c>
      <c r="B558" s="36"/>
      <c r="C558" s="28" t="s">
        <v>963</v>
      </c>
      <c r="D558" s="28" t="s">
        <v>25</v>
      </c>
      <c r="E558" s="28" t="s">
        <v>746</v>
      </c>
      <c r="F558" s="29" t="s">
        <v>395</v>
      </c>
      <c r="G558" s="30"/>
      <c r="H558" s="30"/>
      <c r="I558" s="30" t="e">
        <f t="shared" si="13"/>
        <v>#DIV/0!</v>
      </c>
    </row>
    <row r="559" spans="1:9" ht="42.75" hidden="1">
      <c r="A559" s="26" t="s">
        <v>747</v>
      </c>
      <c r="B559" s="36"/>
      <c r="C559" s="28" t="s">
        <v>963</v>
      </c>
      <c r="D559" s="28" t="s">
        <v>25</v>
      </c>
      <c r="E559" s="28" t="s">
        <v>357</v>
      </c>
      <c r="F559" s="29"/>
      <c r="G559" s="30">
        <f>SUM(G560)</f>
        <v>0</v>
      </c>
      <c r="H559" s="30">
        <f>SUM(H560)</f>
        <v>0</v>
      </c>
      <c r="I559" s="30" t="e">
        <f t="shared" si="13"/>
        <v>#DIV/0!</v>
      </c>
    </row>
    <row r="560" spans="1:9" ht="15.75" hidden="1">
      <c r="A560" s="26" t="s">
        <v>969</v>
      </c>
      <c r="B560" s="36"/>
      <c r="C560" s="28" t="s">
        <v>963</v>
      </c>
      <c r="D560" s="28" t="s">
        <v>25</v>
      </c>
      <c r="E560" s="28" t="s">
        <v>357</v>
      </c>
      <c r="F560" s="29" t="s">
        <v>970</v>
      </c>
      <c r="G560" s="30"/>
      <c r="H560" s="30"/>
      <c r="I560" s="30" t="e">
        <f t="shared" si="13"/>
        <v>#DIV/0!</v>
      </c>
    </row>
    <row r="561" spans="1:9" ht="28.5" hidden="1">
      <c r="A561" s="26" t="s">
        <v>748</v>
      </c>
      <c r="B561" s="36"/>
      <c r="C561" s="28" t="s">
        <v>963</v>
      </c>
      <c r="D561" s="28" t="s">
        <v>25</v>
      </c>
      <c r="E561" s="28" t="s">
        <v>749</v>
      </c>
      <c r="F561" s="29"/>
      <c r="G561" s="30">
        <f>SUM(G562)</f>
        <v>0</v>
      </c>
      <c r="H561" s="30">
        <f>SUM(H562)</f>
        <v>0</v>
      </c>
      <c r="I561" s="30" t="e">
        <f t="shared" si="13"/>
        <v>#DIV/0!</v>
      </c>
    </row>
    <row r="562" spans="1:9" ht="28.5" hidden="1">
      <c r="A562" s="26" t="s">
        <v>393</v>
      </c>
      <c r="B562" s="36"/>
      <c r="C562" s="28" t="s">
        <v>963</v>
      </c>
      <c r="D562" s="28" t="s">
        <v>25</v>
      </c>
      <c r="E562" s="28" t="s">
        <v>749</v>
      </c>
      <c r="F562" s="29" t="s">
        <v>395</v>
      </c>
      <c r="G562" s="30"/>
      <c r="H562" s="30"/>
      <c r="I562" s="30" t="e">
        <f t="shared" si="13"/>
        <v>#DIV/0!</v>
      </c>
    </row>
    <row r="563" spans="1:9" ht="28.5" customHeight="1">
      <c r="A563" s="26" t="s">
        <v>750</v>
      </c>
      <c r="B563" s="36"/>
      <c r="C563" s="28" t="s">
        <v>963</v>
      </c>
      <c r="D563" s="28" t="s">
        <v>25</v>
      </c>
      <c r="E563" s="28" t="s">
        <v>751</v>
      </c>
      <c r="F563" s="29"/>
      <c r="G563" s="30">
        <f>SUM(G565+G567)+G564</f>
        <v>1181.6</v>
      </c>
      <c r="H563" s="30">
        <f>SUM(H565)</f>
        <v>0</v>
      </c>
      <c r="I563" s="30">
        <f t="shared" si="13"/>
        <v>0</v>
      </c>
    </row>
    <row r="564" spans="1:10" ht="28.5" customHeight="1">
      <c r="A564" s="26" t="s">
        <v>969</v>
      </c>
      <c r="B564" s="36"/>
      <c r="C564" s="28" t="s">
        <v>963</v>
      </c>
      <c r="D564" s="28" t="s">
        <v>25</v>
      </c>
      <c r="E564" s="28" t="s">
        <v>751</v>
      </c>
      <c r="F564" s="29" t="s">
        <v>970</v>
      </c>
      <c r="G564" s="30">
        <f>554.5+491.6+75.7</f>
        <v>1121.8</v>
      </c>
      <c r="H564" s="30"/>
      <c r="I564" s="30"/>
      <c r="J564" s="65">
        <f>SUM('[2]ведомствен.'!G1179)</f>
        <v>1046.1</v>
      </c>
    </row>
    <row r="565" spans="1:9" ht="79.5" customHeight="1">
      <c r="A565" s="26" t="s">
        <v>754</v>
      </c>
      <c r="B565" s="36"/>
      <c r="C565" s="28" t="s">
        <v>963</v>
      </c>
      <c r="D565" s="28" t="s">
        <v>25</v>
      </c>
      <c r="E565" s="28" t="s">
        <v>755</v>
      </c>
      <c r="F565" s="29"/>
      <c r="G565" s="30">
        <f>SUM(G566)</f>
        <v>31.2</v>
      </c>
      <c r="H565" s="30">
        <f>SUM('[1]Ведомств.'!G586)</f>
        <v>0</v>
      </c>
      <c r="I565" s="30">
        <f t="shared" si="13"/>
        <v>0</v>
      </c>
    </row>
    <row r="566" spans="1:10" ht="24.75" customHeight="1">
      <c r="A566" s="26" t="s">
        <v>969</v>
      </c>
      <c r="B566" s="36"/>
      <c r="C566" s="28" t="s">
        <v>963</v>
      </c>
      <c r="D566" s="28" t="s">
        <v>25</v>
      </c>
      <c r="E566" s="28" t="s">
        <v>755</v>
      </c>
      <c r="F566" s="29" t="s">
        <v>970</v>
      </c>
      <c r="G566" s="30">
        <v>31.2</v>
      </c>
      <c r="H566" s="30"/>
      <c r="I566" s="30"/>
      <c r="J566" s="3">
        <f>SUM('[2]ведомствен.'!G1181)</f>
        <v>31.2</v>
      </c>
    </row>
    <row r="567" spans="1:9" ht="87.75" customHeight="1">
      <c r="A567" s="89" t="s">
        <v>848</v>
      </c>
      <c r="B567" s="36"/>
      <c r="C567" s="28" t="s">
        <v>963</v>
      </c>
      <c r="D567" s="28" t="s">
        <v>25</v>
      </c>
      <c r="E567" s="28" t="s">
        <v>756</v>
      </c>
      <c r="F567" s="29"/>
      <c r="G567" s="30">
        <f>SUM(G568)</f>
        <v>28.6</v>
      </c>
      <c r="H567" s="30">
        <f>SUM(H568)</f>
        <v>568.5</v>
      </c>
      <c r="I567" s="30">
        <f t="shared" si="13"/>
        <v>1987.7622377622376</v>
      </c>
    </row>
    <row r="568" spans="1:10" ht="15.75">
      <c r="A568" s="26" t="s">
        <v>969</v>
      </c>
      <c r="B568" s="36"/>
      <c r="C568" s="28" t="s">
        <v>963</v>
      </c>
      <c r="D568" s="28" t="s">
        <v>25</v>
      </c>
      <c r="E568" s="28" t="s">
        <v>756</v>
      </c>
      <c r="F568" s="29" t="s">
        <v>970</v>
      </c>
      <c r="G568" s="30">
        <v>28.6</v>
      </c>
      <c r="H568" s="30">
        <v>568.5</v>
      </c>
      <c r="I568" s="30">
        <f t="shared" si="13"/>
        <v>1987.7622377622376</v>
      </c>
      <c r="J568" s="65">
        <f>SUM('[2]ведомствен.'!G1183)</f>
        <v>28.6</v>
      </c>
    </row>
    <row r="569" spans="1:10" s="82" customFormat="1" ht="14.25" customHeight="1">
      <c r="A569" s="131" t="s">
        <v>20</v>
      </c>
      <c r="B569" s="80"/>
      <c r="C569" s="28" t="s">
        <v>963</v>
      </c>
      <c r="D569" s="28" t="s">
        <v>25</v>
      </c>
      <c r="E569" s="28" t="s">
        <v>21</v>
      </c>
      <c r="F569" s="29"/>
      <c r="G569" s="30">
        <f>SUM(G572,G575,G576,G577,G578,G579,G574,G570)</f>
        <v>20727.699999999997</v>
      </c>
      <c r="H569" s="30">
        <f>SUM(H572)</f>
        <v>18780.1</v>
      </c>
      <c r="I569" s="30">
        <f t="shared" si="13"/>
        <v>90.60387790251693</v>
      </c>
      <c r="J569" s="81"/>
    </row>
    <row r="570" spans="1:10" s="82" customFormat="1" ht="28.5" hidden="1">
      <c r="A570" s="26" t="s">
        <v>358</v>
      </c>
      <c r="B570" s="27"/>
      <c r="C570" s="28" t="s">
        <v>963</v>
      </c>
      <c r="D570" s="28" t="s">
        <v>25</v>
      </c>
      <c r="E570" s="28" t="s">
        <v>359</v>
      </c>
      <c r="F570" s="34"/>
      <c r="G570" s="50">
        <f>SUM(G571)</f>
        <v>0</v>
      </c>
      <c r="H570" s="30"/>
      <c r="I570" s="30"/>
      <c r="J570" s="81"/>
    </row>
    <row r="571" spans="1:10" s="82" customFormat="1" ht="15" hidden="1">
      <c r="A571" s="26" t="s">
        <v>195</v>
      </c>
      <c r="B571" s="27"/>
      <c r="C571" s="28" t="s">
        <v>963</v>
      </c>
      <c r="D571" s="28" t="s">
        <v>25</v>
      </c>
      <c r="E571" s="28" t="s">
        <v>359</v>
      </c>
      <c r="F571" s="34" t="s">
        <v>42</v>
      </c>
      <c r="G571" s="50"/>
      <c r="H571" s="30"/>
      <c r="I571" s="30"/>
      <c r="J571" s="81">
        <f>SUM('[2]ведомствен.'!G554)</f>
        <v>0</v>
      </c>
    </row>
    <row r="572" spans="1:10" s="82" customFormat="1" ht="42.75" customHeight="1">
      <c r="A572" s="26" t="s">
        <v>336</v>
      </c>
      <c r="B572" s="27"/>
      <c r="C572" s="28" t="s">
        <v>963</v>
      </c>
      <c r="D572" s="28" t="s">
        <v>25</v>
      </c>
      <c r="E572" s="28" t="s">
        <v>92</v>
      </c>
      <c r="F572" s="34"/>
      <c r="G572" s="50">
        <f>SUM(G573)</f>
        <v>5602.799999999999</v>
      </c>
      <c r="H572" s="30">
        <f>SUM(H575:H579)</f>
        <v>18780.1</v>
      </c>
      <c r="I572" s="30">
        <f t="shared" si="13"/>
        <v>335.1913329049761</v>
      </c>
      <c r="J572" s="81"/>
    </row>
    <row r="573" spans="1:10" ht="21" customHeight="1">
      <c r="A573" s="26" t="s">
        <v>195</v>
      </c>
      <c r="B573" s="27"/>
      <c r="C573" s="28" t="s">
        <v>963</v>
      </c>
      <c r="D573" s="28" t="s">
        <v>25</v>
      </c>
      <c r="E573" s="28" t="s">
        <v>92</v>
      </c>
      <c r="F573" s="34" t="s">
        <v>42</v>
      </c>
      <c r="G573" s="50">
        <f>5587.4+18-2.6</f>
        <v>5602.799999999999</v>
      </c>
      <c r="H573" s="30"/>
      <c r="I573" s="30"/>
      <c r="J573" s="3">
        <f>SUM('[2]ведомствен.'!G556)</f>
        <v>5587.4</v>
      </c>
    </row>
    <row r="574" spans="1:10" ht="36" customHeight="1">
      <c r="A574" s="26" t="s">
        <v>618</v>
      </c>
      <c r="B574" s="80"/>
      <c r="C574" s="28" t="s">
        <v>963</v>
      </c>
      <c r="D574" s="28" t="s">
        <v>25</v>
      </c>
      <c r="E574" s="28" t="s">
        <v>619</v>
      </c>
      <c r="F574" s="29" t="s">
        <v>460</v>
      </c>
      <c r="G574" s="30">
        <v>50</v>
      </c>
      <c r="H574" s="30"/>
      <c r="I574" s="30"/>
      <c r="J574" s="3">
        <f>SUM('[2]ведомствен.'!G988)</f>
        <v>50</v>
      </c>
    </row>
    <row r="575" spans="1:10" s="82" customFormat="1" ht="42" customHeight="1">
      <c r="A575" s="46" t="s">
        <v>889</v>
      </c>
      <c r="B575" s="80"/>
      <c r="C575" s="28" t="s">
        <v>963</v>
      </c>
      <c r="D575" s="28" t="s">
        <v>25</v>
      </c>
      <c r="E575" s="28" t="s">
        <v>402</v>
      </c>
      <c r="F575" s="29" t="s">
        <v>460</v>
      </c>
      <c r="G575" s="30">
        <v>944.5</v>
      </c>
      <c r="H575" s="30">
        <v>179.9</v>
      </c>
      <c r="I575" s="30">
        <f t="shared" si="13"/>
        <v>19.047114875595554</v>
      </c>
      <c r="J575" s="65">
        <f>SUM('[2]ведомствен.'!G1187+'[2]ведомствен.'!G989)</f>
        <v>944.5</v>
      </c>
    </row>
    <row r="576" spans="1:10" ht="14.25" customHeight="1">
      <c r="A576" s="46" t="s">
        <v>759</v>
      </c>
      <c r="B576" s="27"/>
      <c r="C576" s="28" t="s">
        <v>963</v>
      </c>
      <c r="D576" s="28" t="s">
        <v>25</v>
      </c>
      <c r="E576" s="28" t="s">
        <v>760</v>
      </c>
      <c r="F576" s="29" t="s">
        <v>460</v>
      </c>
      <c r="G576" s="50">
        <f>8652.3+274+20.5</f>
        <v>8946.8</v>
      </c>
      <c r="H576" s="50">
        <v>14959.3</v>
      </c>
      <c r="I576" s="30">
        <f t="shared" si="13"/>
        <v>167.20279876603925</v>
      </c>
      <c r="J576" s="65">
        <f>SUM('[2]ведомствен.'!G1188)</f>
        <v>8926.3</v>
      </c>
    </row>
    <row r="577" spans="1:10" ht="60" customHeight="1">
      <c r="A577" s="46" t="s">
        <v>890</v>
      </c>
      <c r="B577" s="27"/>
      <c r="C577" s="28" t="s">
        <v>963</v>
      </c>
      <c r="D577" s="28" t="s">
        <v>25</v>
      </c>
      <c r="E577" s="28" t="s">
        <v>622</v>
      </c>
      <c r="F577" s="29" t="s">
        <v>460</v>
      </c>
      <c r="G577" s="50">
        <v>4033.5</v>
      </c>
      <c r="H577" s="50">
        <v>2979.3</v>
      </c>
      <c r="I577" s="30">
        <f t="shared" si="13"/>
        <v>73.86388992190406</v>
      </c>
      <c r="J577" s="65">
        <f>SUM('[2]ведомствен.'!G1189+'[2]ведомствен.'!G990)</f>
        <v>4033.5</v>
      </c>
    </row>
    <row r="578" spans="1:10" ht="30.75" customHeight="1" hidden="1">
      <c r="A578" s="46" t="s">
        <v>623</v>
      </c>
      <c r="B578" s="27"/>
      <c r="C578" s="28" t="s">
        <v>963</v>
      </c>
      <c r="D578" s="28" t="s">
        <v>25</v>
      </c>
      <c r="E578" s="28" t="s">
        <v>624</v>
      </c>
      <c r="F578" s="29" t="s">
        <v>460</v>
      </c>
      <c r="G578" s="50"/>
      <c r="H578" s="50">
        <v>20.5</v>
      </c>
      <c r="I578" s="30" t="e">
        <f t="shared" si="13"/>
        <v>#DIV/0!</v>
      </c>
      <c r="J578" s="65">
        <f>SUM('[2]ведомствен.'!G1190+'[2]ведомствен.'!G991)</f>
        <v>0</v>
      </c>
    </row>
    <row r="579" spans="1:10" ht="18" customHeight="1">
      <c r="A579" s="46" t="s">
        <v>761</v>
      </c>
      <c r="B579" s="27"/>
      <c r="C579" s="28" t="s">
        <v>963</v>
      </c>
      <c r="D579" s="28" t="s">
        <v>25</v>
      </c>
      <c r="E579" s="28" t="s">
        <v>762</v>
      </c>
      <c r="F579" s="29" t="s">
        <v>460</v>
      </c>
      <c r="G579" s="50">
        <f>1363.6-213.5</f>
        <v>1150.1</v>
      </c>
      <c r="H579" s="50">
        <v>641.1</v>
      </c>
      <c r="I579" s="30">
        <f t="shared" si="13"/>
        <v>55.74297887140249</v>
      </c>
      <c r="J579" s="65">
        <f>SUM('[2]ведомствен.'!G1191)</f>
        <v>1150.1</v>
      </c>
    </row>
    <row r="580" spans="1:11" s="130" customFormat="1" ht="15.75">
      <c r="A580" s="136" t="s">
        <v>773</v>
      </c>
      <c r="B580" s="84"/>
      <c r="C580" s="137" t="s">
        <v>7</v>
      </c>
      <c r="D580" s="137"/>
      <c r="E580" s="137"/>
      <c r="F580" s="138"/>
      <c r="G580" s="38">
        <f>SUM(G581+G606)</f>
        <v>60955.8</v>
      </c>
      <c r="H580" s="38">
        <f>SUM(H581+H606)</f>
        <v>34106.3</v>
      </c>
      <c r="I580" s="38">
        <f t="shared" si="13"/>
        <v>55.95250985140052</v>
      </c>
      <c r="J580" s="129"/>
      <c r="K580" s="130">
        <f>SUM('[2]ведомствен.'!G1220)</f>
        <v>61438.7</v>
      </c>
    </row>
    <row r="581" spans="1:9" ht="15">
      <c r="A581" s="131" t="s">
        <v>372</v>
      </c>
      <c r="B581" s="27"/>
      <c r="C581" s="28" t="s">
        <v>7</v>
      </c>
      <c r="D581" s="28" t="s">
        <v>940</v>
      </c>
      <c r="E581" s="28"/>
      <c r="F581" s="29"/>
      <c r="G581" s="30">
        <f>SUM(G594+G588+G582+G602)</f>
        <v>50672.5</v>
      </c>
      <c r="H581" s="30">
        <f>SUM(H594+H588+H582+H602)</f>
        <v>27050.9</v>
      </c>
      <c r="I581" s="30">
        <f t="shared" si="13"/>
        <v>53.383788050717854</v>
      </c>
    </row>
    <row r="582" spans="1:9" ht="28.5">
      <c r="A582" s="131" t="s">
        <v>287</v>
      </c>
      <c r="B582" s="27"/>
      <c r="C582" s="28" t="s">
        <v>7</v>
      </c>
      <c r="D582" s="28" t="s">
        <v>940</v>
      </c>
      <c r="E582" s="28" t="s">
        <v>288</v>
      </c>
      <c r="F582" s="29"/>
      <c r="G582" s="30">
        <f>SUM(G583)</f>
        <v>26152.2</v>
      </c>
      <c r="H582" s="30">
        <f>SUM(H583)</f>
        <v>14679.5</v>
      </c>
      <c r="I582" s="30">
        <f t="shared" si="13"/>
        <v>56.13103295325058</v>
      </c>
    </row>
    <row r="583" spans="1:9" ht="24.75" customHeight="1">
      <c r="A583" s="26" t="s">
        <v>234</v>
      </c>
      <c r="B583" s="36"/>
      <c r="C583" s="28" t="s">
        <v>7</v>
      </c>
      <c r="D583" s="28" t="s">
        <v>940</v>
      </c>
      <c r="E583" s="28" t="s">
        <v>289</v>
      </c>
      <c r="F583" s="29"/>
      <c r="G583" s="30">
        <f>SUM(G585+G584)</f>
        <v>26152.2</v>
      </c>
      <c r="H583" s="30">
        <f>SUM(H584:H586)</f>
        <v>14679.5</v>
      </c>
      <c r="I583" s="30">
        <f t="shared" si="13"/>
        <v>56.13103295325058</v>
      </c>
    </row>
    <row r="584" spans="1:10" ht="15" customHeight="1">
      <c r="A584" s="26" t="s">
        <v>969</v>
      </c>
      <c r="B584" s="36"/>
      <c r="C584" s="28" t="s">
        <v>7</v>
      </c>
      <c r="D584" s="28" t="s">
        <v>940</v>
      </c>
      <c r="E584" s="28" t="s">
        <v>289</v>
      </c>
      <c r="F584" s="29" t="s">
        <v>970</v>
      </c>
      <c r="G584" s="30">
        <f>26167.4-398.9</f>
        <v>25768.5</v>
      </c>
      <c r="H584" s="30">
        <v>14679.5</v>
      </c>
      <c r="I584" s="30">
        <f>SUM(H584/G584*100)</f>
        <v>56.96683935813105</v>
      </c>
      <c r="J584" s="65">
        <f>SUM('[2]ведомствен.'!G561+'[2]ведомствен.'!G1224)</f>
        <v>26167.4</v>
      </c>
    </row>
    <row r="585" spans="1:9" ht="42" customHeight="1">
      <c r="A585" s="26" t="s">
        <v>774</v>
      </c>
      <c r="B585" s="36"/>
      <c r="C585" s="28" t="s">
        <v>7</v>
      </c>
      <c r="D585" s="28" t="s">
        <v>940</v>
      </c>
      <c r="E585" s="28" t="s">
        <v>775</v>
      </c>
      <c r="F585" s="29"/>
      <c r="G585" s="30">
        <f>SUM(G586)</f>
        <v>383.7</v>
      </c>
      <c r="H585" s="30">
        <f>SUM(H586)</f>
        <v>0</v>
      </c>
      <c r="I585" s="30">
        <f>SUM(H585/G585*100)</f>
        <v>0</v>
      </c>
    </row>
    <row r="586" spans="1:10" ht="19.5" customHeight="1">
      <c r="A586" s="26" t="s">
        <v>969</v>
      </c>
      <c r="B586" s="36"/>
      <c r="C586" s="28" t="s">
        <v>7</v>
      </c>
      <c r="D586" s="28" t="s">
        <v>940</v>
      </c>
      <c r="E586" s="28" t="s">
        <v>775</v>
      </c>
      <c r="F586" s="29" t="s">
        <v>970</v>
      </c>
      <c r="G586" s="30">
        <v>383.7</v>
      </c>
      <c r="H586" s="30"/>
      <c r="I586" s="30">
        <f>SUM(H586/G586*100)</f>
        <v>0</v>
      </c>
      <c r="J586" s="65">
        <f>SUM('[2]ведомствен.'!G1226)</f>
        <v>383.7</v>
      </c>
    </row>
    <row r="587" spans="1:9" ht="22.5" customHeight="1" hidden="1">
      <c r="A587" s="26" t="s">
        <v>969</v>
      </c>
      <c r="B587" s="36"/>
      <c r="C587" s="28" t="s">
        <v>7</v>
      </c>
      <c r="D587" s="28" t="s">
        <v>940</v>
      </c>
      <c r="E587" s="28" t="s">
        <v>776</v>
      </c>
      <c r="F587" s="29" t="s">
        <v>970</v>
      </c>
      <c r="G587" s="30"/>
      <c r="H587" s="30"/>
      <c r="I587" s="30" t="e">
        <f aca="true" t="shared" si="16" ref="I587:I650">SUM(H587/G587*100)</f>
        <v>#DIV/0!</v>
      </c>
    </row>
    <row r="588" spans="1:9" ht="15">
      <c r="A588" s="131" t="s">
        <v>777</v>
      </c>
      <c r="B588" s="27"/>
      <c r="C588" s="28" t="s">
        <v>7</v>
      </c>
      <c r="D588" s="28" t="s">
        <v>940</v>
      </c>
      <c r="E588" s="28" t="s">
        <v>778</v>
      </c>
      <c r="F588" s="29"/>
      <c r="G588" s="30">
        <f>SUM(G589)</f>
        <v>3457.2000000000003</v>
      </c>
      <c r="H588" s="30">
        <f>SUM(H589)</f>
        <v>2102.5</v>
      </c>
      <c r="I588" s="30">
        <f t="shared" si="16"/>
        <v>60.81511049404141</v>
      </c>
    </row>
    <row r="589" spans="1:9" ht="19.5" customHeight="1">
      <c r="A589" s="26" t="s">
        <v>234</v>
      </c>
      <c r="B589" s="36"/>
      <c r="C589" s="28" t="s">
        <v>7</v>
      </c>
      <c r="D589" s="28" t="s">
        <v>940</v>
      </c>
      <c r="E589" s="28" t="s">
        <v>779</v>
      </c>
      <c r="F589" s="29"/>
      <c r="G589" s="30">
        <f>SUM(G590)+G592</f>
        <v>3457.2000000000003</v>
      </c>
      <c r="H589" s="30">
        <f>SUM(H590)+H592</f>
        <v>2102.5</v>
      </c>
      <c r="I589" s="30">
        <f t="shared" si="16"/>
        <v>60.81511049404141</v>
      </c>
    </row>
    <row r="590" spans="1:10" ht="17.25" customHeight="1">
      <c r="A590" s="26" t="s">
        <v>969</v>
      </c>
      <c r="B590" s="36"/>
      <c r="C590" s="28" t="s">
        <v>7</v>
      </c>
      <c r="D590" s="28" t="s">
        <v>940</v>
      </c>
      <c r="E590" s="28" t="s">
        <v>779</v>
      </c>
      <c r="F590" s="29" t="s">
        <v>970</v>
      </c>
      <c r="G590" s="30">
        <f>3417.4+39.8</f>
        <v>3457.2000000000003</v>
      </c>
      <c r="H590" s="30">
        <v>2102.5</v>
      </c>
      <c r="I590" s="30">
        <f t="shared" si="16"/>
        <v>60.81511049404141</v>
      </c>
      <c r="J590" s="65">
        <f>SUM('[2]ведомствен.'!G1230)</f>
        <v>3417.4</v>
      </c>
    </row>
    <row r="591" spans="1:9" ht="46.5" customHeight="1" hidden="1">
      <c r="A591" s="26" t="s">
        <v>780</v>
      </c>
      <c r="B591" s="36"/>
      <c r="C591" s="28" t="s">
        <v>7</v>
      </c>
      <c r="D591" s="28" t="s">
        <v>940</v>
      </c>
      <c r="E591" s="28" t="s">
        <v>779</v>
      </c>
      <c r="F591" s="29" t="s">
        <v>781</v>
      </c>
      <c r="G591" s="30"/>
      <c r="H591" s="30"/>
      <c r="I591" s="30" t="e">
        <f t="shared" si="16"/>
        <v>#DIV/0!</v>
      </c>
    </row>
    <row r="592" spans="1:9" ht="57" customHeight="1" hidden="1">
      <c r="A592" s="26" t="s">
        <v>705</v>
      </c>
      <c r="B592" s="32"/>
      <c r="C592" s="28" t="s">
        <v>7</v>
      </c>
      <c r="D592" s="28" t="s">
        <v>940</v>
      </c>
      <c r="E592" s="28" t="s">
        <v>782</v>
      </c>
      <c r="F592" s="29"/>
      <c r="G592" s="30">
        <f>SUM(G593)</f>
        <v>0</v>
      </c>
      <c r="H592" s="30">
        <f>SUM(H593)</f>
        <v>0</v>
      </c>
      <c r="I592" s="30" t="e">
        <f t="shared" si="16"/>
        <v>#DIV/0!</v>
      </c>
    </row>
    <row r="593" spans="1:9" ht="18.75" customHeight="1" hidden="1">
      <c r="A593" s="26" t="s">
        <v>969</v>
      </c>
      <c r="B593" s="36"/>
      <c r="C593" s="28" t="s">
        <v>7</v>
      </c>
      <c r="D593" s="28" t="s">
        <v>940</v>
      </c>
      <c r="E593" s="28" t="s">
        <v>782</v>
      </c>
      <c r="F593" s="29" t="s">
        <v>970</v>
      </c>
      <c r="G593" s="30"/>
      <c r="H593" s="30"/>
      <c r="I593" s="30" t="e">
        <f t="shared" si="16"/>
        <v>#DIV/0!</v>
      </c>
    </row>
    <row r="594" spans="1:9" ht="15">
      <c r="A594" s="131" t="s">
        <v>374</v>
      </c>
      <c r="B594" s="27"/>
      <c r="C594" s="28" t="s">
        <v>7</v>
      </c>
      <c r="D594" s="28" t="s">
        <v>940</v>
      </c>
      <c r="E594" s="28" t="s">
        <v>375</v>
      </c>
      <c r="F594" s="29"/>
      <c r="G594" s="30">
        <f>SUM(G595)</f>
        <v>21063.1</v>
      </c>
      <c r="H594" s="30">
        <f>SUM(H595)</f>
        <v>10268.9</v>
      </c>
      <c r="I594" s="30">
        <f t="shared" si="16"/>
        <v>48.753032554562246</v>
      </c>
    </row>
    <row r="595" spans="1:9" ht="19.5" customHeight="1">
      <c r="A595" s="26" t="s">
        <v>234</v>
      </c>
      <c r="B595" s="36"/>
      <c r="C595" s="28" t="s">
        <v>7</v>
      </c>
      <c r="D595" s="28" t="s">
        <v>940</v>
      </c>
      <c r="E595" s="28" t="s">
        <v>376</v>
      </c>
      <c r="F595" s="29"/>
      <c r="G595" s="30">
        <f>SUM(G596+G598+G600)</f>
        <v>21063.1</v>
      </c>
      <c r="H595" s="30">
        <f>SUM(H596+H598+H600)</f>
        <v>10268.9</v>
      </c>
      <c r="I595" s="30">
        <f t="shared" si="16"/>
        <v>48.753032554562246</v>
      </c>
    </row>
    <row r="596" spans="1:10" ht="15.75" customHeight="1">
      <c r="A596" s="26" t="s">
        <v>969</v>
      </c>
      <c r="B596" s="36"/>
      <c r="C596" s="28" t="s">
        <v>7</v>
      </c>
      <c r="D596" s="28" t="s">
        <v>940</v>
      </c>
      <c r="E596" s="28" t="s">
        <v>376</v>
      </c>
      <c r="F596" s="29" t="s">
        <v>970</v>
      </c>
      <c r="G596" s="30">
        <f>18839.7-61.4</f>
        <v>18778.3</v>
      </c>
      <c r="H596" s="30">
        <v>8963.8</v>
      </c>
      <c r="I596" s="30">
        <f t="shared" si="16"/>
        <v>47.73488547951625</v>
      </c>
      <c r="J596" s="65">
        <f>SUM('[2]ведомствен.'!G1236)</f>
        <v>18839.7</v>
      </c>
    </row>
    <row r="597" spans="1:9" ht="43.5" customHeight="1" hidden="1">
      <c r="A597" s="26" t="s">
        <v>780</v>
      </c>
      <c r="B597" s="36"/>
      <c r="C597" s="28" t="s">
        <v>7</v>
      </c>
      <c r="D597" s="28" t="s">
        <v>940</v>
      </c>
      <c r="E597" s="28" t="s">
        <v>376</v>
      </c>
      <c r="F597" s="29" t="s">
        <v>781</v>
      </c>
      <c r="G597" s="30"/>
      <c r="H597" s="30"/>
      <c r="I597" s="30" t="e">
        <f t="shared" si="16"/>
        <v>#DIV/0!</v>
      </c>
    </row>
    <row r="598" spans="1:9" ht="57.75" customHeight="1" hidden="1">
      <c r="A598" s="26" t="s">
        <v>705</v>
      </c>
      <c r="B598" s="32"/>
      <c r="C598" s="28" t="s">
        <v>7</v>
      </c>
      <c r="D598" s="28" t="s">
        <v>940</v>
      </c>
      <c r="E598" s="28" t="s">
        <v>783</v>
      </c>
      <c r="F598" s="29"/>
      <c r="G598" s="30">
        <f>SUM(G599)</f>
        <v>0</v>
      </c>
      <c r="H598" s="30">
        <f>SUM(H599)</f>
        <v>0</v>
      </c>
      <c r="I598" s="30" t="e">
        <f t="shared" si="16"/>
        <v>#DIV/0!</v>
      </c>
    </row>
    <row r="599" spans="1:9" ht="16.5" customHeight="1" hidden="1">
      <c r="A599" s="26" t="s">
        <v>969</v>
      </c>
      <c r="B599" s="36"/>
      <c r="C599" s="28" t="s">
        <v>7</v>
      </c>
      <c r="D599" s="28" t="s">
        <v>940</v>
      </c>
      <c r="E599" s="28" t="s">
        <v>783</v>
      </c>
      <c r="F599" s="29" t="s">
        <v>970</v>
      </c>
      <c r="G599" s="30"/>
      <c r="H599" s="30"/>
      <c r="I599" s="30" t="e">
        <f t="shared" si="16"/>
        <v>#DIV/0!</v>
      </c>
    </row>
    <row r="600" spans="1:9" ht="60" customHeight="1">
      <c r="A600" s="26" t="s">
        <v>771</v>
      </c>
      <c r="B600" s="36"/>
      <c r="C600" s="28" t="s">
        <v>7</v>
      </c>
      <c r="D600" s="28" t="s">
        <v>940</v>
      </c>
      <c r="E600" s="28" t="s">
        <v>784</v>
      </c>
      <c r="F600" s="29"/>
      <c r="G600" s="30">
        <f>SUM(G601)</f>
        <v>2284.8</v>
      </c>
      <c r="H600" s="30">
        <f>SUM(H601)</f>
        <v>1305.1</v>
      </c>
      <c r="I600" s="30">
        <f t="shared" si="16"/>
        <v>57.12097338935573</v>
      </c>
    </row>
    <row r="601" spans="1:10" ht="15" customHeight="1">
      <c r="A601" s="26" t="s">
        <v>969</v>
      </c>
      <c r="B601" s="36"/>
      <c r="C601" s="28" t="s">
        <v>7</v>
      </c>
      <c r="D601" s="28" t="s">
        <v>940</v>
      </c>
      <c r="E601" s="28" t="s">
        <v>784</v>
      </c>
      <c r="F601" s="29" t="s">
        <v>970</v>
      </c>
      <c r="G601" s="30">
        <v>2284.8</v>
      </c>
      <c r="H601" s="30">
        <v>1305.1</v>
      </c>
      <c r="I601" s="30">
        <f t="shared" si="16"/>
        <v>57.12097338935573</v>
      </c>
      <c r="J601" s="65">
        <f>SUM('[2]ведомствен.'!G1241)</f>
        <v>2284.8</v>
      </c>
    </row>
    <row r="602" spans="1:9" ht="30" customHeight="1" hidden="1">
      <c r="A602" s="26" t="s">
        <v>785</v>
      </c>
      <c r="B602" s="36"/>
      <c r="C602" s="28" t="s">
        <v>7</v>
      </c>
      <c r="D602" s="28" t="s">
        <v>940</v>
      </c>
      <c r="E602" s="28" t="s">
        <v>786</v>
      </c>
      <c r="F602" s="29"/>
      <c r="G602" s="30">
        <f>SUM(G603+G604)</f>
        <v>0</v>
      </c>
      <c r="H602" s="30">
        <f>SUM(H603+H604)</f>
        <v>0</v>
      </c>
      <c r="I602" s="30" t="e">
        <f t="shared" si="16"/>
        <v>#DIV/0!</v>
      </c>
    </row>
    <row r="603" spans="1:10" ht="0.75" customHeight="1" hidden="1">
      <c r="A603" s="26" t="s">
        <v>969</v>
      </c>
      <c r="B603" s="36"/>
      <c r="C603" s="28" t="s">
        <v>7</v>
      </c>
      <c r="D603" s="28" t="s">
        <v>940</v>
      </c>
      <c r="E603" s="28" t="s">
        <v>786</v>
      </c>
      <c r="F603" s="29" t="s">
        <v>970</v>
      </c>
      <c r="G603" s="30"/>
      <c r="H603" s="30"/>
      <c r="I603" s="30" t="e">
        <f t="shared" si="16"/>
        <v>#DIV/0!</v>
      </c>
      <c r="J603" s="65">
        <f>SUM('[2]ведомствен.'!G1243)</f>
        <v>0</v>
      </c>
    </row>
    <row r="604" spans="1:9" ht="42" customHeight="1" hidden="1">
      <c r="A604" s="26" t="s">
        <v>774</v>
      </c>
      <c r="B604" s="36"/>
      <c r="C604" s="28" t="s">
        <v>7</v>
      </c>
      <c r="D604" s="28" t="s">
        <v>940</v>
      </c>
      <c r="E604" s="28" t="s">
        <v>775</v>
      </c>
      <c r="F604" s="29"/>
      <c r="G604" s="30">
        <f>SUM(G605)</f>
        <v>0</v>
      </c>
      <c r="H604" s="30">
        <f>SUM(H605)</f>
        <v>0</v>
      </c>
      <c r="I604" s="30" t="e">
        <f t="shared" si="16"/>
        <v>#DIV/0!</v>
      </c>
    </row>
    <row r="605" spans="1:10" ht="21" customHeight="1" hidden="1">
      <c r="A605" s="26" t="s">
        <v>969</v>
      </c>
      <c r="B605" s="36"/>
      <c r="C605" s="28" t="s">
        <v>7</v>
      </c>
      <c r="D605" s="28" t="s">
        <v>940</v>
      </c>
      <c r="E605" s="28" t="s">
        <v>775</v>
      </c>
      <c r="F605" s="29" t="s">
        <v>970</v>
      </c>
      <c r="G605" s="30"/>
      <c r="H605" s="30"/>
      <c r="I605" s="30" t="e">
        <f t="shared" si="16"/>
        <v>#DIV/0!</v>
      </c>
      <c r="J605" s="65">
        <f>SUM('[2]ведомствен.'!G1245)</f>
        <v>0</v>
      </c>
    </row>
    <row r="606" spans="1:9" ht="28.5" customHeight="1">
      <c r="A606" s="135" t="s">
        <v>787</v>
      </c>
      <c r="B606" s="84"/>
      <c r="C606" s="67" t="s">
        <v>7</v>
      </c>
      <c r="D606" s="67" t="s">
        <v>5</v>
      </c>
      <c r="E606" s="67"/>
      <c r="F606" s="34"/>
      <c r="G606" s="30">
        <f>SUM(G610+G613)+G607</f>
        <v>10283.3</v>
      </c>
      <c r="H606" s="30">
        <f>SUM(H610+H613)+H607</f>
        <v>7055.4</v>
      </c>
      <c r="I606" s="30">
        <f t="shared" si="16"/>
        <v>68.61027102194821</v>
      </c>
    </row>
    <row r="607" spans="1:9" ht="20.25" customHeight="1" hidden="1">
      <c r="A607" s="131" t="s">
        <v>94</v>
      </c>
      <c r="B607" s="84"/>
      <c r="C607" s="28" t="s">
        <v>7</v>
      </c>
      <c r="D607" s="67" t="s">
        <v>5</v>
      </c>
      <c r="E607" s="28" t="s">
        <v>95</v>
      </c>
      <c r="F607" s="34"/>
      <c r="G607" s="30">
        <f>SUM(G608)</f>
        <v>0</v>
      </c>
      <c r="H607" s="30">
        <f>SUM(H608)</f>
        <v>900</v>
      </c>
      <c r="I607" s="30" t="e">
        <f t="shared" si="16"/>
        <v>#DIV/0!</v>
      </c>
    </row>
    <row r="608" spans="1:9" ht="18.75" customHeight="1" hidden="1">
      <c r="A608" s="131" t="s">
        <v>96</v>
      </c>
      <c r="B608" s="84"/>
      <c r="C608" s="28" t="s">
        <v>7</v>
      </c>
      <c r="D608" s="67" t="s">
        <v>5</v>
      </c>
      <c r="E608" s="28" t="s">
        <v>97</v>
      </c>
      <c r="F608" s="34"/>
      <c r="G608" s="30">
        <f>SUM(G609)</f>
        <v>0</v>
      </c>
      <c r="H608" s="30">
        <f>SUM(H609)</f>
        <v>900</v>
      </c>
      <c r="I608" s="30" t="e">
        <f t="shared" si="16"/>
        <v>#DIV/0!</v>
      </c>
    </row>
    <row r="609" spans="1:10" ht="45.75" customHeight="1" hidden="1">
      <c r="A609" s="131" t="s">
        <v>788</v>
      </c>
      <c r="B609" s="84"/>
      <c r="C609" s="28" t="s">
        <v>7</v>
      </c>
      <c r="D609" s="67" t="s">
        <v>5</v>
      </c>
      <c r="E609" s="28" t="s">
        <v>97</v>
      </c>
      <c r="F609" s="34" t="s">
        <v>789</v>
      </c>
      <c r="G609" s="30"/>
      <c r="H609" s="30">
        <v>900</v>
      </c>
      <c r="I609" s="30" t="e">
        <f t="shared" si="16"/>
        <v>#DIV/0!</v>
      </c>
      <c r="J609" s="65">
        <f>SUM('[2]ведомствен.'!G1249)</f>
        <v>0</v>
      </c>
    </row>
    <row r="610" spans="1:9" ht="62.25" customHeight="1">
      <c r="A610" s="135" t="s">
        <v>736</v>
      </c>
      <c r="B610" s="36"/>
      <c r="C610" s="28" t="s">
        <v>7</v>
      </c>
      <c r="D610" s="67" t="s">
        <v>5</v>
      </c>
      <c r="E610" s="28" t="s">
        <v>737</v>
      </c>
      <c r="F610" s="29"/>
      <c r="G610" s="30">
        <f>SUM(G611)</f>
        <v>5162.3</v>
      </c>
      <c r="H610" s="30">
        <f>SUM(H611)</f>
        <v>3733.8</v>
      </c>
      <c r="I610" s="30">
        <f t="shared" si="16"/>
        <v>72.32822579082966</v>
      </c>
    </row>
    <row r="611" spans="1:9" ht="22.5" customHeight="1">
      <c r="A611" s="26" t="s">
        <v>234</v>
      </c>
      <c r="B611" s="36"/>
      <c r="C611" s="28" t="s">
        <v>7</v>
      </c>
      <c r="D611" s="67" t="s">
        <v>5</v>
      </c>
      <c r="E611" s="28" t="s">
        <v>738</v>
      </c>
      <c r="F611" s="29"/>
      <c r="G611" s="30">
        <f>SUM(G612)</f>
        <v>5162.3</v>
      </c>
      <c r="H611" s="30">
        <f>SUM(H612)</f>
        <v>3733.8</v>
      </c>
      <c r="I611" s="30">
        <f t="shared" si="16"/>
        <v>72.32822579082966</v>
      </c>
    </row>
    <row r="612" spans="1:10" ht="17.25" customHeight="1">
      <c r="A612" s="26" t="s">
        <v>969</v>
      </c>
      <c r="B612" s="36"/>
      <c r="C612" s="28" t="s">
        <v>7</v>
      </c>
      <c r="D612" s="67" t="s">
        <v>5</v>
      </c>
      <c r="E612" s="28" t="s">
        <v>738</v>
      </c>
      <c r="F612" s="29" t="s">
        <v>970</v>
      </c>
      <c r="G612" s="30">
        <f>5224.7-62.4</f>
        <v>5162.3</v>
      </c>
      <c r="H612" s="30">
        <v>3733.8</v>
      </c>
      <c r="I612" s="30">
        <f t="shared" si="16"/>
        <v>72.32822579082966</v>
      </c>
      <c r="J612" s="65">
        <f>SUM('[2]ведомствен.'!G1252)</f>
        <v>5224.7</v>
      </c>
    </row>
    <row r="613" spans="1:9" ht="15.75">
      <c r="A613" s="131" t="s">
        <v>20</v>
      </c>
      <c r="B613" s="84"/>
      <c r="C613" s="67" t="s">
        <v>7</v>
      </c>
      <c r="D613" s="67" t="s">
        <v>5</v>
      </c>
      <c r="E613" s="67" t="s">
        <v>21</v>
      </c>
      <c r="F613" s="34"/>
      <c r="G613" s="30">
        <f>SUM(G614+G617)</f>
        <v>5121</v>
      </c>
      <c r="H613" s="30">
        <f>SUM(H614)</f>
        <v>2421.6</v>
      </c>
      <c r="I613" s="30">
        <f t="shared" si="16"/>
        <v>47.28763913298184</v>
      </c>
    </row>
    <row r="614" spans="1:9" ht="42.75" customHeight="1">
      <c r="A614" s="131" t="s">
        <v>788</v>
      </c>
      <c r="B614" s="84"/>
      <c r="C614" s="67" t="s">
        <v>7</v>
      </c>
      <c r="D614" s="67" t="s">
        <v>5</v>
      </c>
      <c r="E614" s="67" t="s">
        <v>21</v>
      </c>
      <c r="F614" s="34" t="s">
        <v>789</v>
      </c>
      <c r="G614" s="30">
        <f>SUM(G615:G620)</f>
        <v>5121</v>
      </c>
      <c r="H614" s="30">
        <f>SUM(H615:H620)</f>
        <v>2421.6</v>
      </c>
      <c r="I614" s="30">
        <f t="shared" si="16"/>
        <v>47.28763913298184</v>
      </c>
    </row>
    <row r="615" spans="1:10" ht="44.25" customHeight="1">
      <c r="A615" s="46" t="s">
        <v>790</v>
      </c>
      <c r="B615" s="84"/>
      <c r="C615" s="67" t="s">
        <v>7</v>
      </c>
      <c r="D615" s="67" t="s">
        <v>5</v>
      </c>
      <c r="E615" s="67" t="s">
        <v>402</v>
      </c>
      <c r="F615" s="34" t="s">
        <v>789</v>
      </c>
      <c r="G615" s="30">
        <v>21</v>
      </c>
      <c r="H615" s="30"/>
      <c r="I615" s="30">
        <f t="shared" si="16"/>
        <v>0</v>
      </c>
      <c r="J615" s="65">
        <f>SUM('[2]ведомствен.'!G1255)</f>
        <v>21</v>
      </c>
    </row>
    <row r="616" spans="1:10" s="93" customFormat="1" ht="32.25" customHeight="1" hidden="1">
      <c r="A616" s="132" t="s">
        <v>791</v>
      </c>
      <c r="B616" s="84"/>
      <c r="C616" s="67" t="s">
        <v>7</v>
      </c>
      <c r="D616" s="67" t="s">
        <v>5</v>
      </c>
      <c r="E616" s="67" t="s">
        <v>792</v>
      </c>
      <c r="F616" s="34" t="s">
        <v>789</v>
      </c>
      <c r="G616" s="50"/>
      <c r="H616" s="50"/>
      <c r="I616" s="30" t="e">
        <f t="shared" si="16"/>
        <v>#DIV/0!</v>
      </c>
      <c r="J616" s="153"/>
    </row>
    <row r="617" spans="1:10" ht="30.75" customHeight="1" hidden="1">
      <c r="A617" s="132" t="s">
        <v>112</v>
      </c>
      <c r="B617" s="84"/>
      <c r="C617" s="67" t="s">
        <v>7</v>
      </c>
      <c r="D617" s="67" t="s">
        <v>5</v>
      </c>
      <c r="E617" s="67" t="s">
        <v>113</v>
      </c>
      <c r="F617" s="34"/>
      <c r="G617" s="50">
        <f>SUM(G618)</f>
        <v>0</v>
      </c>
      <c r="H617" s="50"/>
      <c r="I617" s="30"/>
      <c r="J617" s="3"/>
    </row>
    <row r="618" spans="1:10" ht="32.25" customHeight="1" hidden="1">
      <c r="A618" s="131" t="s">
        <v>10</v>
      </c>
      <c r="B618" s="84"/>
      <c r="C618" s="67" t="s">
        <v>7</v>
      </c>
      <c r="D618" s="67" t="s">
        <v>5</v>
      </c>
      <c r="E618" s="67" t="s">
        <v>113</v>
      </c>
      <c r="F618" s="34" t="s">
        <v>11</v>
      </c>
      <c r="G618" s="50"/>
      <c r="H618" s="50"/>
      <c r="I618" s="30"/>
      <c r="J618" s="3">
        <f>SUM('[2]ведомствен.'!G572)</f>
        <v>0</v>
      </c>
    </row>
    <row r="619" spans="1:10" s="93" customFormat="1" ht="32.25" customHeight="1">
      <c r="A619" s="132" t="s">
        <v>891</v>
      </c>
      <c r="B619" s="84"/>
      <c r="C619" s="67" t="s">
        <v>7</v>
      </c>
      <c r="D619" s="67" t="s">
        <v>5</v>
      </c>
      <c r="E619" s="67" t="s">
        <v>794</v>
      </c>
      <c r="F619" s="34" t="s">
        <v>789</v>
      </c>
      <c r="G619" s="50">
        <v>2000</v>
      </c>
      <c r="H619" s="50"/>
      <c r="I619" s="30">
        <f t="shared" si="16"/>
        <v>0</v>
      </c>
      <c r="J619" s="65">
        <f>SUM('[2]ведомствен.'!G1258)</f>
        <v>2000</v>
      </c>
    </row>
    <row r="620" spans="1:10" s="93" customFormat="1" ht="33" customHeight="1">
      <c r="A620" s="132" t="s">
        <v>795</v>
      </c>
      <c r="B620" s="84"/>
      <c r="C620" s="67" t="s">
        <v>7</v>
      </c>
      <c r="D620" s="67" t="s">
        <v>5</v>
      </c>
      <c r="E620" s="67" t="s">
        <v>796</v>
      </c>
      <c r="F620" s="34" t="s">
        <v>789</v>
      </c>
      <c r="G620" s="50">
        <v>3100</v>
      </c>
      <c r="H620" s="50">
        <v>2421.6</v>
      </c>
      <c r="I620" s="30">
        <f t="shared" si="16"/>
        <v>78.11612903225806</v>
      </c>
      <c r="J620" s="65">
        <f>SUM('[2]ведомствен.'!G1259)</f>
        <v>3100</v>
      </c>
    </row>
    <row r="621" spans="1:9" ht="15.75" customHeight="1" hidden="1">
      <c r="A621" s="131" t="s">
        <v>962</v>
      </c>
      <c r="B621" s="36"/>
      <c r="C621" s="28" t="s">
        <v>963</v>
      </c>
      <c r="D621" s="28"/>
      <c r="E621" s="28"/>
      <c r="F621" s="29"/>
      <c r="G621" s="30">
        <f>SUM(G622)+G625</f>
        <v>0</v>
      </c>
      <c r="H621" s="30">
        <f>SUM(H622)+H625</f>
        <v>0</v>
      </c>
      <c r="I621" s="30" t="e">
        <f t="shared" si="16"/>
        <v>#DIV/0!</v>
      </c>
    </row>
    <row r="622" spans="1:9" ht="15.75" customHeight="1" hidden="1">
      <c r="A622" s="26" t="s">
        <v>964</v>
      </c>
      <c r="B622" s="32"/>
      <c r="C622" s="28" t="s">
        <v>963</v>
      </c>
      <c r="D622" s="28" t="s">
        <v>963</v>
      </c>
      <c r="E622" s="28"/>
      <c r="F622" s="29"/>
      <c r="G622" s="30">
        <f>SUM(G623)</f>
        <v>0</v>
      </c>
      <c r="H622" s="30">
        <f>SUM(H623)</f>
        <v>0</v>
      </c>
      <c r="I622" s="30" t="e">
        <f t="shared" si="16"/>
        <v>#DIV/0!</v>
      </c>
    </row>
    <row r="623" spans="1:9" ht="27.75" customHeight="1" hidden="1">
      <c r="A623" s="26" t="s">
        <v>857</v>
      </c>
      <c r="B623" s="32"/>
      <c r="C623" s="28" t="s">
        <v>963</v>
      </c>
      <c r="D623" s="28" t="s">
        <v>963</v>
      </c>
      <c r="E623" s="28" t="s">
        <v>966</v>
      </c>
      <c r="F623" s="29"/>
      <c r="G623" s="30">
        <f>SUM(G624)</f>
        <v>0</v>
      </c>
      <c r="H623" s="30">
        <f>SUM(H624)</f>
        <v>0</v>
      </c>
      <c r="I623" s="30" t="e">
        <f t="shared" si="16"/>
        <v>#DIV/0!</v>
      </c>
    </row>
    <row r="624" spans="1:9" ht="13.5" customHeight="1" hidden="1">
      <c r="A624" s="26" t="s">
        <v>858</v>
      </c>
      <c r="B624" s="32"/>
      <c r="C624" s="28" t="s">
        <v>963</v>
      </c>
      <c r="D624" s="28" t="s">
        <v>963</v>
      </c>
      <c r="E624" s="28" t="s">
        <v>966</v>
      </c>
      <c r="F624" s="29" t="s">
        <v>859</v>
      </c>
      <c r="G624" s="30"/>
      <c r="H624" s="30"/>
      <c r="I624" s="30" t="e">
        <f t="shared" si="16"/>
        <v>#DIV/0!</v>
      </c>
    </row>
    <row r="625" spans="1:9" ht="13.5" customHeight="1" hidden="1">
      <c r="A625" s="131" t="s">
        <v>369</v>
      </c>
      <c r="B625" s="32"/>
      <c r="C625" s="28" t="s">
        <v>963</v>
      </c>
      <c r="D625" s="28" t="s">
        <v>25</v>
      </c>
      <c r="E625" s="28"/>
      <c r="F625" s="29"/>
      <c r="G625" s="30">
        <f>SUM(G626)</f>
        <v>0</v>
      </c>
      <c r="H625" s="30">
        <f>SUM(H626)</f>
        <v>0</v>
      </c>
      <c r="I625" s="30" t="e">
        <f t="shared" si="16"/>
        <v>#DIV/0!</v>
      </c>
    </row>
    <row r="626" spans="1:9" ht="13.5" customHeight="1" hidden="1">
      <c r="A626" s="131" t="s">
        <v>20</v>
      </c>
      <c r="B626" s="32"/>
      <c r="C626" s="28" t="s">
        <v>963</v>
      </c>
      <c r="D626" s="28" t="s">
        <v>25</v>
      </c>
      <c r="E626" s="28" t="s">
        <v>21</v>
      </c>
      <c r="F626" s="29"/>
      <c r="G626" s="30">
        <f>SUM(G627)</f>
        <v>0</v>
      </c>
      <c r="H626" s="30">
        <f>SUM(H627)</f>
        <v>0</v>
      </c>
      <c r="I626" s="30" t="e">
        <f t="shared" si="16"/>
        <v>#DIV/0!</v>
      </c>
    </row>
    <row r="627" spans="1:9" ht="13.5" customHeight="1" hidden="1">
      <c r="A627" s="26" t="s">
        <v>799</v>
      </c>
      <c r="B627" s="32"/>
      <c r="C627" s="28" t="s">
        <v>963</v>
      </c>
      <c r="D627" s="28" t="s">
        <v>25</v>
      </c>
      <c r="E627" s="28" t="s">
        <v>21</v>
      </c>
      <c r="F627" s="29" t="s">
        <v>800</v>
      </c>
      <c r="G627" s="30"/>
      <c r="H627" s="30"/>
      <c r="I627" s="30" t="e">
        <f t="shared" si="16"/>
        <v>#DIV/0!</v>
      </c>
    </row>
    <row r="628" spans="1:10" s="130" customFormat="1" ht="15.75">
      <c r="A628" s="136" t="s">
        <v>379</v>
      </c>
      <c r="B628" s="84"/>
      <c r="C628" s="137" t="s">
        <v>25</v>
      </c>
      <c r="D628" s="137"/>
      <c r="E628" s="137"/>
      <c r="F628" s="138"/>
      <c r="G628" s="38">
        <f>SUM(G629+G643+G662+G667+G677+G686)</f>
        <v>426191.2</v>
      </c>
      <c r="H628" s="38">
        <f>SUM(H629+H643+H662+H667+H677+H686)</f>
        <v>141283.9</v>
      </c>
      <c r="I628" s="38">
        <f t="shared" si="16"/>
        <v>33.150355990456866</v>
      </c>
      <c r="J628" s="129"/>
    </row>
    <row r="629" spans="1:11" ht="15.75" customHeight="1">
      <c r="A629" s="131" t="s">
        <v>380</v>
      </c>
      <c r="B629" s="27"/>
      <c r="C629" s="28" t="s">
        <v>25</v>
      </c>
      <c r="D629" s="28" t="s">
        <v>940</v>
      </c>
      <c r="E629" s="28"/>
      <c r="F629" s="29"/>
      <c r="G629" s="30">
        <f>SUM(G634+G636)</f>
        <v>76314.4</v>
      </c>
      <c r="H629" s="30">
        <f>SUM(H634+H636)</f>
        <v>49456.8</v>
      </c>
      <c r="I629" s="30">
        <f t="shared" si="16"/>
        <v>64.80664199679222</v>
      </c>
      <c r="K629" s="3">
        <f>SUM('[2]ведомствен.'!G1269+'[2]ведомствен.'!G897+'[2]ведомствен.'!G573)</f>
        <v>426487.7</v>
      </c>
    </row>
    <row r="630" spans="1:9" ht="19.5" customHeight="1" hidden="1">
      <c r="A630" s="139" t="s">
        <v>821</v>
      </c>
      <c r="B630" s="27"/>
      <c r="C630" s="28" t="s">
        <v>25</v>
      </c>
      <c r="D630" s="28" t="s">
        <v>940</v>
      </c>
      <c r="E630" s="28" t="s">
        <v>822</v>
      </c>
      <c r="F630" s="29"/>
      <c r="G630" s="30">
        <f>SUM(G631)</f>
        <v>0</v>
      </c>
      <c r="H630" s="30">
        <f>SUM(H631)</f>
        <v>0</v>
      </c>
      <c r="I630" s="30" t="e">
        <f t="shared" si="16"/>
        <v>#DIV/0!</v>
      </c>
    </row>
    <row r="631" spans="1:9" ht="18.75" customHeight="1" hidden="1">
      <c r="A631" s="26" t="s">
        <v>234</v>
      </c>
      <c r="B631" s="27"/>
      <c r="C631" s="28" t="s">
        <v>25</v>
      </c>
      <c r="D631" s="28" t="s">
        <v>940</v>
      </c>
      <c r="E631" s="28" t="s">
        <v>823</v>
      </c>
      <c r="F631" s="29"/>
      <c r="G631" s="30">
        <f>SUM(G632)</f>
        <v>0</v>
      </c>
      <c r="H631" s="30">
        <f>SUM(H632)</f>
        <v>0</v>
      </c>
      <c r="I631" s="30" t="e">
        <f t="shared" si="16"/>
        <v>#DIV/0!</v>
      </c>
    </row>
    <row r="632" spans="1:9" ht="17.25" customHeight="1" hidden="1">
      <c r="A632" s="26" t="s">
        <v>969</v>
      </c>
      <c r="B632" s="27"/>
      <c r="C632" s="28" t="s">
        <v>25</v>
      </c>
      <c r="D632" s="28" t="s">
        <v>940</v>
      </c>
      <c r="E632" s="28" t="s">
        <v>823</v>
      </c>
      <c r="F632" s="29" t="s">
        <v>970</v>
      </c>
      <c r="G632" s="30"/>
      <c r="H632" s="30"/>
      <c r="I632" s="30" t="e">
        <f t="shared" si="16"/>
        <v>#DIV/0!</v>
      </c>
    </row>
    <row r="633" spans="1:11" ht="17.25" customHeight="1">
      <c r="A633" s="131" t="s">
        <v>94</v>
      </c>
      <c r="B633" s="27"/>
      <c r="C633" s="28" t="s">
        <v>25</v>
      </c>
      <c r="D633" s="28" t="s">
        <v>940</v>
      </c>
      <c r="E633" s="28" t="s">
        <v>95</v>
      </c>
      <c r="F633" s="29"/>
      <c r="G633" s="30">
        <f>SUM(G634)</f>
        <v>3020</v>
      </c>
      <c r="H633" s="30">
        <f>SUM(H634)</f>
        <v>146.8</v>
      </c>
      <c r="I633" s="30">
        <f t="shared" si="16"/>
        <v>4.860927152317881</v>
      </c>
      <c r="K633" s="65">
        <f>SUM(J629:J718)</f>
        <v>426487.69999999995</v>
      </c>
    </row>
    <row r="634" spans="1:9" ht="15.75" customHeight="1">
      <c r="A634" s="131" t="s">
        <v>96</v>
      </c>
      <c r="B634" s="27"/>
      <c r="C634" s="28" t="s">
        <v>25</v>
      </c>
      <c r="D634" s="28" t="s">
        <v>940</v>
      </c>
      <c r="E634" s="28" t="s">
        <v>97</v>
      </c>
      <c r="F634" s="29"/>
      <c r="G634" s="30">
        <f>SUM(G635)</f>
        <v>3020</v>
      </c>
      <c r="H634" s="30">
        <f>SUM(H635)</f>
        <v>146.8</v>
      </c>
      <c r="I634" s="30">
        <f t="shared" si="16"/>
        <v>4.860927152317881</v>
      </c>
    </row>
    <row r="635" spans="1:10" ht="15" customHeight="1">
      <c r="A635" s="26" t="s">
        <v>969</v>
      </c>
      <c r="B635" s="27"/>
      <c r="C635" s="28" t="s">
        <v>25</v>
      </c>
      <c r="D635" s="28" t="s">
        <v>940</v>
      </c>
      <c r="E635" s="28" t="s">
        <v>97</v>
      </c>
      <c r="F635" s="29" t="s">
        <v>970</v>
      </c>
      <c r="G635" s="30">
        <f>3043-23</f>
        <v>3020</v>
      </c>
      <c r="H635" s="30">
        <v>146.8</v>
      </c>
      <c r="I635" s="30">
        <f t="shared" si="16"/>
        <v>4.860927152317881</v>
      </c>
      <c r="J635" s="65">
        <f>SUM('[2]ведомствен.'!G1273)</f>
        <v>3043</v>
      </c>
    </row>
    <row r="636" spans="1:9" ht="15">
      <c r="A636" s="131" t="s">
        <v>385</v>
      </c>
      <c r="B636" s="27"/>
      <c r="C636" s="28" t="s">
        <v>25</v>
      </c>
      <c r="D636" s="28" t="s">
        <v>940</v>
      </c>
      <c r="E636" s="28" t="s">
        <v>382</v>
      </c>
      <c r="F636" s="29"/>
      <c r="G636" s="30">
        <f>SUM(G637)</f>
        <v>73294.4</v>
      </c>
      <c r="H636" s="30">
        <f>SUM(H637)</f>
        <v>49310</v>
      </c>
      <c r="I636" s="30">
        <f t="shared" si="16"/>
        <v>67.27662686371674</v>
      </c>
    </row>
    <row r="637" spans="1:9" ht="18" customHeight="1">
      <c r="A637" s="26" t="s">
        <v>234</v>
      </c>
      <c r="B637" s="27"/>
      <c r="C637" s="28" t="s">
        <v>25</v>
      </c>
      <c r="D637" s="28" t="s">
        <v>940</v>
      </c>
      <c r="E637" s="28" t="s">
        <v>383</v>
      </c>
      <c r="F637" s="29"/>
      <c r="G637" s="30">
        <f>SUM(G638:G641)</f>
        <v>73294.4</v>
      </c>
      <c r="H637" s="30">
        <f>SUM(H638:H641)</f>
        <v>49310</v>
      </c>
      <c r="I637" s="30">
        <f t="shared" si="16"/>
        <v>67.27662686371674</v>
      </c>
    </row>
    <row r="638" spans="1:10" ht="15.75" customHeight="1">
      <c r="A638" s="26" t="s">
        <v>969</v>
      </c>
      <c r="B638" s="27"/>
      <c r="C638" s="28" t="s">
        <v>403</v>
      </c>
      <c r="D638" s="28" t="s">
        <v>940</v>
      </c>
      <c r="E638" s="28" t="s">
        <v>383</v>
      </c>
      <c r="F638" s="29" t="s">
        <v>970</v>
      </c>
      <c r="G638" s="30">
        <f>73257.7+36.7</f>
        <v>73294.4</v>
      </c>
      <c r="H638" s="30">
        <v>49310</v>
      </c>
      <c r="I638" s="30">
        <f t="shared" si="16"/>
        <v>67.27662686371674</v>
      </c>
      <c r="J638" s="65">
        <f>SUM('[2]ведомствен.'!G1276+'[2]ведомствен.'!G579)</f>
        <v>73257.7</v>
      </c>
    </row>
    <row r="639" spans="1:9" ht="42" customHeight="1" hidden="1">
      <c r="A639" s="26" t="s">
        <v>801</v>
      </c>
      <c r="B639" s="27"/>
      <c r="C639" s="28" t="s">
        <v>403</v>
      </c>
      <c r="D639" s="28" t="s">
        <v>940</v>
      </c>
      <c r="E639" s="28" t="s">
        <v>383</v>
      </c>
      <c r="F639" s="29" t="s">
        <v>802</v>
      </c>
      <c r="G639" s="30"/>
      <c r="H639" s="30"/>
      <c r="I639" s="30" t="e">
        <f t="shared" si="16"/>
        <v>#DIV/0!</v>
      </c>
    </row>
    <row r="640" spans="1:9" ht="48" customHeight="1" hidden="1">
      <c r="A640" s="26" t="s">
        <v>690</v>
      </c>
      <c r="B640" s="27"/>
      <c r="C640" s="28" t="s">
        <v>403</v>
      </c>
      <c r="D640" s="28" t="s">
        <v>940</v>
      </c>
      <c r="E640" s="28" t="s">
        <v>383</v>
      </c>
      <c r="F640" s="29" t="s">
        <v>691</v>
      </c>
      <c r="G640" s="30"/>
      <c r="H640" s="30"/>
      <c r="I640" s="30" t="e">
        <f t="shared" si="16"/>
        <v>#DIV/0!</v>
      </c>
    </row>
    <row r="641" spans="1:9" ht="57.75" customHeight="1" hidden="1">
      <c r="A641" s="26" t="s">
        <v>705</v>
      </c>
      <c r="B641" s="27"/>
      <c r="C641" s="28" t="s">
        <v>403</v>
      </c>
      <c r="D641" s="28" t="s">
        <v>940</v>
      </c>
      <c r="E641" s="28" t="s">
        <v>803</v>
      </c>
      <c r="F641" s="29"/>
      <c r="G641" s="30">
        <f>SUM(G642)</f>
        <v>0</v>
      </c>
      <c r="H641" s="30">
        <f>SUM(H642)</f>
        <v>0</v>
      </c>
      <c r="I641" s="30" t="e">
        <f t="shared" si="16"/>
        <v>#DIV/0!</v>
      </c>
    </row>
    <row r="642" spans="1:9" ht="14.25" customHeight="1" hidden="1">
      <c r="A642" s="26" t="s">
        <v>969</v>
      </c>
      <c r="B642" s="27"/>
      <c r="C642" s="28" t="s">
        <v>403</v>
      </c>
      <c r="D642" s="28" t="s">
        <v>940</v>
      </c>
      <c r="E642" s="28" t="s">
        <v>803</v>
      </c>
      <c r="F642" s="29" t="s">
        <v>970</v>
      </c>
      <c r="G642" s="30"/>
      <c r="H642" s="30"/>
      <c r="I642" s="30" t="e">
        <f t="shared" si="16"/>
        <v>#DIV/0!</v>
      </c>
    </row>
    <row r="643" spans="1:9" ht="18.75" customHeight="1">
      <c r="A643" s="131" t="s">
        <v>384</v>
      </c>
      <c r="B643" s="27"/>
      <c r="C643" s="28" t="s">
        <v>25</v>
      </c>
      <c r="D643" s="28" t="s">
        <v>942</v>
      </c>
      <c r="E643" s="28"/>
      <c r="F643" s="29"/>
      <c r="G643" s="30">
        <f>SUM(G644+G651+G655+G659)</f>
        <v>52043.59999999999</v>
      </c>
      <c r="H643" s="30">
        <f>SUM(H644+H651+H655+H659)</f>
        <v>31448.399999999998</v>
      </c>
      <c r="I643" s="30">
        <f t="shared" si="16"/>
        <v>60.42702657002975</v>
      </c>
    </row>
    <row r="644" spans="1:9" ht="18.75" customHeight="1">
      <c r="A644" s="131" t="s">
        <v>385</v>
      </c>
      <c r="B644" s="27"/>
      <c r="C644" s="28" t="s">
        <v>25</v>
      </c>
      <c r="D644" s="28" t="s">
        <v>942</v>
      </c>
      <c r="E644" s="28" t="s">
        <v>382</v>
      </c>
      <c r="F644" s="29"/>
      <c r="G644" s="30">
        <f>SUM(G645)</f>
        <v>39573.899999999994</v>
      </c>
      <c r="H644" s="30">
        <f>SUM(H645)</f>
        <v>21823.6</v>
      </c>
      <c r="I644" s="30">
        <f t="shared" si="16"/>
        <v>55.146447532338236</v>
      </c>
    </row>
    <row r="645" spans="1:9" ht="21" customHeight="1">
      <c r="A645" s="26" t="s">
        <v>234</v>
      </c>
      <c r="B645" s="27"/>
      <c r="C645" s="28" t="s">
        <v>25</v>
      </c>
      <c r="D645" s="28" t="s">
        <v>942</v>
      </c>
      <c r="E645" s="28" t="s">
        <v>383</v>
      </c>
      <c r="F645" s="29"/>
      <c r="G645" s="30">
        <f>SUM(G646:G649)</f>
        <v>39573.899999999994</v>
      </c>
      <c r="H645" s="30">
        <f>SUM(H646:H649)</f>
        <v>21823.6</v>
      </c>
      <c r="I645" s="30">
        <f t="shared" si="16"/>
        <v>55.146447532338236</v>
      </c>
    </row>
    <row r="646" spans="1:10" ht="16.5" customHeight="1">
      <c r="A646" s="26" t="s">
        <v>969</v>
      </c>
      <c r="B646" s="27"/>
      <c r="C646" s="28" t="s">
        <v>25</v>
      </c>
      <c r="D646" s="28" t="s">
        <v>942</v>
      </c>
      <c r="E646" s="28" t="s">
        <v>383</v>
      </c>
      <c r="F646" s="29" t="s">
        <v>970</v>
      </c>
      <c r="G646" s="30">
        <f>38591.5-72.8+50</f>
        <v>38568.7</v>
      </c>
      <c r="H646" s="30">
        <v>21823.6</v>
      </c>
      <c r="I646" s="30">
        <f t="shared" si="16"/>
        <v>56.58370647701374</v>
      </c>
      <c r="J646" s="65">
        <f>SUM('[2]ведомствен.'!G1284)</f>
        <v>38591.5</v>
      </c>
    </row>
    <row r="647" spans="1:10" ht="24.75" customHeight="1">
      <c r="A647" s="26" t="s">
        <v>947</v>
      </c>
      <c r="B647" s="27"/>
      <c r="C647" s="28" t="s">
        <v>25</v>
      </c>
      <c r="D647" s="28" t="s">
        <v>942</v>
      </c>
      <c r="E647" s="28" t="s">
        <v>383</v>
      </c>
      <c r="F647" s="29" t="s">
        <v>948</v>
      </c>
      <c r="G647" s="30">
        <v>1005.2</v>
      </c>
      <c r="H647" s="30"/>
      <c r="I647" s="30">
        <f t="shared" si="16"/>
        <v>0</v>
      </c>
      <c r="J647" s="65">
        <f>SUM('[2]ведомствен.'!G901)</f>
        <v>1005.2</v>
      </c>
    </row>
    <row r="648" spans="1:9" ht="15.75" customHeight="1" hidden="1">
      <c r="A648" s="26" t="s">
        <v>690</v>
      </c>
      <c r="B648" s="27"/>
      <c r="C648" s="28" t="s">
        <v>25</v>
      </c>
      <c r="D648" s="28" t="s">
        <v>942</v>
      </c>
      <c r="E648" s="28" t="s">
        <v>383</v>
      </c>
      <c r="F648" s="29" t="s">
        <v>691</v>
      </c>
      <c r="G648" s="30"/>
      <c r="H648" s="30"/>
      <c r="I648" s="30" t="e">
        <f t="shared" si="16"/>
        <v>#DIV/0!</v>
      </c>
    </row>
    <row r="649" spans="1:9" ht="15.75" customHeight="1" hidden="1">
      <c r="A649" s="26" t="s">
        <v>705</v>
      </c>
      <c r="B649" s="27"/>
      <c r="C649" s="28" t="s">
        <v>25</v>
      </c>
      <c r="D649" s="28" t="s">
        <v>942</v>
      </c>
      <c r="E649" s="28" t="s">
        <v>803</v>
      </c>
      <c r="F649" s="29"/>
      <c r="G649" s="30">
        <f>SUM(G650)</f>
        <v>0</v>
      </c>
      <c r="H649" s="30">
        <f>SUM(H650)</f>
        <v>0</v>
      </c>
      <c r="I649" s="30" t="e">
        <f t="shared" si="16"/>
        <v>#DIV/0!</v>
      </c>
    </row>
    <row r="650" spans="1:9" ht="15" customHeight="1" hidden="1">
      <c r="A650" s="26" t="s">
        <v>969</v>
      </c>
      <c r="B650" s="27"/>
      <c r="C650" s="28" t="s">
        <v>25</v>
      </c>
      <c r="D650" s="28" t="s">
        <v>942</v>
      </c>
      <c r="E650" s="28" t="s">
        <v>803</v>
      </c>
      <c r="F650" s="29" t="s">
        <v>970</v>
      </c>
      <c r="G650" s="30"/>
      <c r="H650" s="30"/>
      <c r="I650" s="30" t="e">
        <f t="shared" si="16"/>
        <v>#DIV/0!</v>
      </c>
    </row>
    <row r="651" spans="1:9" ht="15.75" customHeight="1" hidden="1">
      <c r="A651" s="131" t="s">
        <v>804</v>
      </c>
      <c r="B651" s="27"/>
      <c r="C651" s="28" t="s">
        <v>25</v>
      </c>
      <c r="D651" s="28" t="s">
        <v>942</v>
      </c>
      <c r="E651" s="28" t="s">
        <v>805</v>
      </c>
      <c r="F651" s="29"/>
      <c r="G651" s="30">
        <f>SUM(G652)</f>
        <v>9400.800000000001</v>
      </c>
      <c r="H651" s="30">
        <f>SUM(H652)</f>
        <v>7467.6</v>
      </c>
      <c r="I651" s="30">
        <f aca="true" t="shared" si="17" ref="I651:I714">SUM(H651/G651*100)</f>
        <v>79.43579269849373</v>
      </c>
    </row>
    <row r="652" spans="1:9" ht="14.25" customHeight="1" hidden="1">
      <c r="A652" s="26" t="s">
        <v>234</v>
      </c>
      <c r="B652" s="27"/>
      <c r="C652" s="28" t="s">
        <v>25</v>
      </c>
      <c r="D652" s="28" t="s">
        <v>942</v>
      </c>
      <c r="E652" s="28" t="s">
        <v>806</v>
      </c>
      <c r="F652" s="29"/>
      <c r="G652" s="30">
        <f>SUM(G653:G654)</f>
        <v>9400.800000000001</v>
      </c>
      <c r="H652" s="30">
        <f>SUM(H653:H654)</f>
        <v>7467.6</v>
      </c>
      <c r="I652" s="30">
        <f t="shared" si="17"/>
        <v>79.43579269849373</v>
      </c>
    </row>
    <row r="653" spans="1:10" ht="13.5" customHeight="1">
      <c r="A653" s="26" t="s">
        <v>969</v>
      </c>
      <c r="B653" s="27"/>
      <c r="C653" s="28" t="s">
        <v>25</v>
      </c>
      <c r="D653" s="28" t="s">
        <v>942</v>
      </c>
      <c r="E653" s="28" t="s">
        <v>806</v>
      </c>
      <c r="F653" s="29" t="s">
        <v>970</v>
      </c>
      <c r="G653" s="30">
        <f>9397.2+3.6</f>
        <v>9400.800000000001</v>
      </c>
      <c r="H653" s="30">
        <v>7467.6</v>
      </c>
      <c r="I653" s="30">
        <f t="shared" si="17"/>
        <v>79.43579269849373</v>
      </c>
      <c r="J653" s="65">
        <f>SUM('[2]ведомствен.'!G1291)</f>
        <v>9397.2</v>
      </c>
    </row>
    <row r="654" spans="1:9" ht="56.25" customHeight="1" hidden="1">
      <c r="A654" s="26" t="s">
        <v>705</v>
      </c>
      <c r="B654" s="27"/>
      <c r="C654" s="28" t="s">
        <v>25</v>
      </c>
      <c r="D654" s="28" t="s">
        <v>942</v>
      </c>
      <c r="E654" s="28" t="s">
        <v>806</v>
      </c>
      <c r="F654" s="29" t="s">
        <v>807</v>
      </c>
      <c r="G654" s="30"/>
      <c r="H654" s="30"/>
      <c r="I654" s="30" t="e">
        <f t="shared" si="17"/>
        <v>#DIV/0!</v>
      </c>
    </row>
    <row r="655" spans="1:9" ht="14.25" customHeight="1">
      <c r="A655" s="131" t="s">
        <v>808</v>
      </c>
      <c r="B655" s="27"/>
      <c r="C655" s="28" t="s">
        <v>25</v>
      </c>
      <c r="D655" s="28" t="s">
        <v>942</v>
      </c>
      <c r="E655" s="28" t="s">
        <v>809</v>
      </c>
      <c r="F655" s="29"/>
      <c r="G655" s="30">
        <f>SUM(G656)</f>
        <v>2486.7</v>
      </c>
      <c r="H655" s="30">
        <f>SUM(H656)</f>
        <v>1817.2</v>
      </c>
      <c r="I655" s="30">
        <f t="shared" si="17"/>
        <v>73.07676840793019</v>
      </c>
    </row>
    <row r="656" spans="1:9" ht="14.25" customHeight="1">
      <c r="A656" s="26" t="s">
        <v>234</v>
      </c>
      <c r="B656" s="27"/>
      <c r="C656" s="28" t="s">
        <v>25</v>
      </c>
      <c r="D656" s="28" t="s">
        <v>942</v>
      </c>
      <c r="E656" s="28" t="s">
        <v>810</v>
      </c>
      <c r="F656" s="29"/>
      <c r="G656" s="30">
        <f>SUM(G657:G658)</f>
        <v>2486.7</v>
      </c>
      <c r="H656" s="30">
        <f>SUM(H657:H658)</f>
        <v>1817.2</v>
      </c>
      <c r="I656" s="30">
        <f t="shared" si="17"/>
        <v>73.07676840793019</v>
      </c>
    </row>
    <row r="657" spans="1:10" ht="13.5" customHeight="1">
      <c r="A657" s="26" t="s">
        <v>969</v>
      </c>
      <c r="B657" s="27"/>
      <c r="C657" s="28" t="s">
        <v>25</v>
      </c>
      <c r="D657" s="28" t="s">
        <v>942</v>
      </c>
      <c r="E657" s="28" t="s">
        <v>810</v>
      </c>
      <c r="F657" s="29" t="s">
        <v>970</v>
      </c>
      <c r="G657" s="30">
        <f>2722.2-235.5</f>
        <v>2486.7</v>
      </c>
      <c r="H657" s="30">
        <v>1817.2</v>
      </c>
      <c r="I657" s="30">
        <f t="shared" si="17"/>
        <v>73.07676840793019</v>
      </c>
      <c r="J657" s="65">
        <f>SUM('[2]ведомствен.'!G1295)</f>
        <v>2722.2</v>
      </c>
    </row>
    <row r="658" spans="1:9" ht="55.5" customHeight="1" hidden="1">
      <c r="A658" s="26" t="s">
        <v>705</v>
      </c>
      <c r="B658" s="27"/>
      <c r="C658" s="28" t="s">
        <v>25</v>
      </c>
      <c r="D658" s="28" t="s">
        <v>942</v>
      </c>
      <c r="E658" s="28" t="s">
        <v>810</v>
      </c>
      <c r="F658" s="29" t="s">
        <v>807</v>
      </c>
      <c r="G658" s="30"/>
      <c r="H658" s="30"/>
      <c r="I658" s="30" t="e">
        <f t="shared" si="17"/>
        <v>#DIV/0!</v>
      </c>
    </row>
    <row r="659" spans="1:9" ht="14.25" customHeight="1">
      <c r="A659" s="46" t="s">
        <v>667</v>
      </c>
      <c r="B659" s="27"/>
      <c r="C659" s="28" t="s">
        <v>25</v>
      </c>
      <c r="D659" s="28" t="s">
        <v>942</v>
      </c>
      <c r="E659" s="28" t="s">
        <v>668</v>
      </c>
      <c r="F659" s="29"/>
      <c r="G659" s="30">
        <f>SUM(G660)</f>
        <v>582.2</v>
      </c>
      <c r="H659" s="30">
        <f>SUM(H660)</f>
        <v>340</v>
      </c>
      <c r="I659" s="30">
        <f t="shared" si="17"/>
        <v>58.399175541051186</v>
      </c>
    </row>
    <row r="660" spans="1:9" ht="42" customHeight="1">
      <c r="A660" s="135" t="s">
        <v>811</v>
      </c>
      <c r="B660" s="27"/>
      <c r="C660" s="28" t="s">
        <v>25</v>
      </c>
      <c r="D660" s="28" t="s">
        <v>942</v>
      </c>
      <c r="E660" s="28" t="s">
        <v>812</v>
      </c>
      <c r="F660" s="29"/>
      <c r="G660" s="30">
        <f>SUM(G661)</f>
        <v>582.2</v>
      </c>
      <c r="H660" s="30">
        <f>SUM(H661)</f>
        <v>340</v>
      </c>
      <c r="I660" s="30">
        <f t="shared" si="17"/>
        <v>58.399175541051186</v>
      </c>
    </row>
    <row r="661" spans="1:10" ht="14.25" customHeight="1">
      <c r="A661" s="26" t="s">
        <v>969</v>
      </c>
      <c r="B661" s="27"/>
      <c r="C661" s="28" t="s">
        <v>25</v>
      </c>
      <c r="D661" s="28" t="s">
        <v>942</v>
      </c>
      <c r="E661" s="28" t="s">
        <v>812</v>
      </c>
      <c r="F661" s="29" t="s">
        <v>970</v>
      </c>
      <c r="G661" s="30">
        <v>582.2</v>
      </c>
      <c r="H661" s="30">
        <v>340</v>
      </c>
      <c r="I661" s="30">
        <f t="shared" si="17"/>
        <v>58.399175541051186</v>
      </c>
      <c r="J661" s="65">
        <f>SUM('[2]ведомствен.'!G1299)</f>
        <v>582.2</v>
      </c>
    </row>
    <row r="662" spans="1:9" ht="14.25" customHeight="1">
      <c r="A662" s="154" t="s">
        <v>813</v>
      </c>
      <c r="B662" s="45"/>
      <c r="C662" s="28" t="s">
        <v>25</v>
      </c>
      <c r="D662" s="28" t="s">
        <v>950</v>
      </c>
      <c r="E662" s="28"/>
      <c r="F662" s="29"/>
      <c r="G662" s="30">
        <f>SUM(G663)</f>
        <v>3550.2999999999997</v>
      </c>
      <c r="H662" s="30">
        <f>SUM(H663)</f>
        <v>9494.7</v>
      </c>
      <c r="I662" s="30">
        <f t="shared" si="17"/>
        <v>267.4337379939724</v>
      </c>
    </row>
    <row r="663" spans="1:9" ht="20.25" customHeight="1">
      <c r="A663" s="154" t="s">
        <v>814</v>
      </c>
      <c r="B663" s="45"/>
      <c r="C663" s="28" t="s">
        <v>25</v>
      </c>
      <c r="D663" s="28" t="s">
        <v>950</v>
      </c>
      <c r="E663" s="28" t="s">
        <v>382</v>
      </c>
      <c r="F663" s="29"/>
      <c r="G663" s="30">
        <f>SUM(G664)</f>
        <v>3550.2999999999997</v>
      </c>
      <c r="H663" s="30">
        <f>SUM(H664)</f>
        <v>9494.7</v>
      </c>
      <c r="I663" s="30">
        <f t="shared" si="17"/>
        <v>267.4337379939724</v>
      </c>
    </row>
    <row r="664" spans="1:9" ht="14.25" customHeight="1">
      <c r="A664" s="155" t="s">
        <v>234</v>
      </c>
      <c r="B664" s="45"/>
      <c r="C664" s="28" t="s">
        <v>25</v>
      </c>
      <c r="D664" s="28" t="s">
        <v>950</v>
      </c>
      <c r="E664" s="28" t="s">
        <v>383</v>
      </c>
      <c r="F664" s="29"/>
      <c r="G664" s="30">
        <f>SUM(G665:G666)</f>
        <v>3550.2999999999997</v>
      </c>
      <c r="H664" s="30">
        <f>SUM(H665:H666)</f>
        <v>9494.7</v>
      </c>
      <c r="I664" s="30">
        <f t="shared" si="17"/>
        <v>267.4337379939724</v>
      </c>
    </row>
    <row r="665" spans="1:10" ht="14.25" customHeight="1">
      <c r="A665" s="155" t="s">
        <v>969</v>
      </c>
      <c r="B665" s="45"/>
      <c r="C665" s="28" t="s">
        <v>25</v>
      </c>
      <c r="D665" s="28" t="s">
        <v>950</v>
      </c>
      <c r="E665" s="28" t="s">
        <v>383</v>
      </c>
      <c r="F665" s="29" t="s">
        <v>970</v>
      </c>
      <c r="G665" s="30">
        <f>3559.1-8.8</f>
        <v>3550.2999999999997</v>
      </c>
      <c r="H665" s="30">
        <v>9494.7</v>
      </c>
      <c r="I665" s="30">
        <f t="shared" si="17"/>
        <v>267.4337379939724</v>
      </c>
      <c r="J665" s="65">
        <f>SUM('[2]ведомствен.'!G1303)</f>
        <v>3559.1</v>
      </c>
    </row>
    <row r="666" spans="1:9" ht="14.25" customHeight="1" hidden="1">
      <c r="A666" s="26" t="s">
        <v>705</v>
      </c>
      <c r="B666" s="27"/>
      <c r="C666" s="28" t="s">
        <v>25</v>
      </c>
      <c r="D666" s="28" t="s">
        <v>950</v>
      </c>
      <c r="E666" s="28" t="s">
        <v>806</v>
      </c>
      <c r="F666" s="29" t="s">
        <v>807</v>
      </c>
      <c r="G666" s="30"/>
      <c r="H666" s="30"/>
      <c r="I666" s="30" t="e">
        <f t="shared" si="17"/>
        <v>#DIV/0!</v>
      </c>
    </row>
    <row r="667" spans="1:9" ht="15">
      <c r="A667" s="26" t="s">
        <v>386</v>
      </c>
      <c r="B667" s="27"/>
      <c r="C667" s="28" t="s">
        <v>25</v>
      </c>
      <c r="D667" s="28" t="s">
        <v>5</v>
      </c>
      <c r="E667" s="28"/>
      <c r="F667" s="29"/>
      <c r="G667" s="30">
        <f>SUM(G670+G674+G668)</f>
        <v>67336.1</v>
      </c>
      <c r="H667" s="30">
        <f>SUM(H670+H674+H668)</f>
        <v>40136</v>
      </c>
      <c r="I667" s="30">
        <f t="shared" si="17"/>
        <v>59.60547165636263</v>
      </c>
    </row>
    <row r="668" spans="1:9" ht="15" hidden="1">
      <c r="A668" s="26" t="s">
        <v>96</v>
      </c>
      <c r="B668" s="27"/>
      <c r="C668" s="28" t="s">
        <v>25</v>
      </c>
      <c r="D668" s="28" t="s">
        <v>5</v>
      </c>
      <c r="E668" s="28" t="s">
        <v>97</v>
      </c>
      <c r="F668" s="29"/>
      <c r="G668" s="30">
        <f>SUM(G669)</f>
        <v>0</v>
      </c>
      <c r="H668" s="30">
        <f>SUM(H669)</f>
        <v>60</v>
      </c>
      <c r="I668" s="30" t="e">
        <f t="shared" si="17"/>
        <v>#DIV/0!</v>
      </c>
    </row>
    <row r="669" spans="1:10" ht="15" hidden="1">
      <c r="A669" s="26" t="s">
        <v>969</v>
      </c>
      <c r="B669" s="27"/>
      <c r="C669" s="28" t="s">
        <v>25</v>
      </c>
      <c r="D669" s="28" t="s">
        <v>5</v>
      </c>
      <c r="E669" s="28" t="s">
        <v>97</v>
      </c>
      <c r="F669" s="29" t="s">
        <v>970</v>
      </c>
      <c r="G669" s="30"/>
      <c r="H669" s="30">
        <v>60</v>
      </c>
      <c r="I669" s="30" t="e">
        <f t="shared" si="17"/>
        <v>#DIV/0!</v>
      </c>
      <c r="J669" s="65">
        <f>SUM('[2]ведомствен.'!G1307)</f>
        <v>0</v>
      </c>
    </row>
    <row r="670" spans="1:9" ht="15" customHeight="1">
      <c r="A670" s="131" t="s">
        <v>387</v>
      </c>
      <c r="B670" s="27"/>
      <c r="C670" s="28" t="s">
        <v>25</v>
      </c>
      <c r="D670" s="28" t="s">
        <v>5</v>
      </c>
      <c r="E670" s="28" t="s">
        <v>388</v>
      </c>
      <c r="F670" s="29"/>
      <c r="G670" s="30">
        <f>SUM(G671)</f>
        <v>58436.4</v>
      </c>
      <c r="H670" s="30">
        <f>SUM(H671)</f>
        <v>34637.7</v>
      </c>
      <c r="I670" s="30">
        <f t="shared" si="17"/>
        <v>59.27418526808632</v>
      </c>
    </row>
    <row r="671" spans="1:9" ht="18" customHeight="1">
      <c r="A671" s="26" t="s">
        <v>234</v>
      </c>
      <c r="B671" s="27"/>
      <c r="C671" s="28" t="s">
        <v>25</v>
      </c>
      <c r="D671" s="28" t="s">
        <v>5</v>
      </c>
      <c r="E671" s="28" t="s">
        <v>389</v>
      </c>
      <c r="F671" s="29"/>
      <c r="G671" s="30">
        <f>SUM(G672:G673)</f>
        <v>58436.4</v>
      </c>
      <c r="H671" s="30">
        <f>SUM(H672:H673)</f>
        <v>34637.7</v>
      </c>
      <c r="I671" s="30">
        <f t="shared" si="17"/>
        <v>59.27418526808632</v>
      </c>
    </row>
    <row r="672" spans="1:10" ht="17.25" customHeight="1">
      <c r="A672" s="26" t="s">
        <v>969</v>
      </c>
      <c r="B672" s="27"/>
      <c r="C672" s="28" t="s">
        <v>25</v>
      </c>
      <c r="D672" s="28" t="s">
        <v>5</v>
      </c>
      <c r="E672" s="28" t="s">
        <v>389</v>
      </c>
      <c r="F672" s="29" t="s">
        <v>970</v>
      </c>
      <c r="G672" s="30">
        <f>58506.4-70</f>
        <v>58436.4</v>
      </c>
      <c r="H672" s="30">
        <v>34637.7</v>
      </c>
      <c r="I672" s="30">
        <f t="shared" si="17"/>
        <v>59.27418526808632</v>
      </c>
      <c r="J672" s="65">
        <f>SUM('[2]ведомствен.'!G1310)</f>
        <v>58506.4</v>
      </c>
    </row>
    <row r="673" spans="1:9" ht="57" customHeight="1" hidden="1">
      <c r="A673" s="26" t="s">
        <v>705</v>
      </c>
      <c r="B673" s="27"/>
      <c r="C673" s="28" t="s">
        <v>25</v>
      </c>
      <c r="D673" s="28" t="s">
        <v>5</v>
      </c>
      <c r="E673" s="28" t="s">
        <v>389</v>
      </c>
      <c r="F673" s="29" t="s">
        <v>807</v>
      </c>
      <c r="G673" s="30"/>
      <c r="H673" s="30"/>
      <c r="I673" s="30" t="e">
        <f t="shared" si="17"/>
        <v>#DIV/0!</v>
      </c>
    </row>
    <row r="674" spans="1:9" ht="27" customHeight="1">
      <c r="A674" s="46" t="s">
        <v>667</v>
      </c>
      <c r="B674" s="27"/>
      <c r="C674" s="28" t="s">
        <v>25</v>
      </c>
      <c r="D674" s="28" t="s">
        <v>5</v>
      </c>
      <c r="E674" s="28" t="s">
        <v>668</v>
      </c>
      <c r="F674" s="29"/>
      <c r="G674" s="30">
        <f>SUM(G675)</f>
        <v>8899.7</v>
      </c>
      <c r="H674" s="30">
        <f>SUM(H675)</f>
        <v>5438.3</v>
      </c>
      <c r="I674" s="30">
        <f t="shared" si="17"/>
        <v>61.10655415351079</v>
      </c>
    </row>
    <row r="675" spans="1:10" s="7" customFormat="1" ht="41.25" customHeight="1">
      <c r="A675" s="135" t="s">
        <v>811</v>
      </c>
      <c r="B675" s="27"/>
      <c r="C675" s="28" t="s">
        <v>25</v>
      </c>
      <c r="D675" s="28" t="s">
        <v>5</v>
      </c>
      <c r="E675" s="28" t="s">
        <v>812</v>
      </c>
      <c r="F675" s="29"/>
      <c r="G675" s="30">
        <f>SUM(G676)</f>
        <v>8899.7</v>
      </c>
      <c r="H675" s="30">
        <f>SUM(H676)</f>
        <v>5438.3</v>
      </c>
      <c r="I675" s="30">
        <f t="shared" si="17"/>
        <v>61.10655415351079</v>
      </c>
      <c r="J675" s="156"/>
    </row>
    <row r="676" spans="1:10" ht="15">
      <c r="A676" s="26" t="s">
        <v>969</v>
      </c>
      <c r="B676" s="27"/>
      <c r="C676" s="28" t="s">
        <v>25</v>
      </c>
      <c r="D676" s="28" t="s">
        <v>5</v>
      </c>
      <c r="E676" s="28" t="s">
        <v>812</v>
      </c>
      <c r="F676" s="29" t="s">
        <v>970</v>
      </c>
      <c r="G676" s="30">
        <v>8899.7</v>
      </c>
      <c r="H676" s="30">
        <v>5438.3</v>
      </c>
      <c r="I676" s="30">
        <f t="shared" si="17"/>
        <v>61.10655415351079</v>
      </c>
      <c r="J676" s="65">
        <f>SUM('[2]ведомствен.'!G1314)</f>
        <v>8899.7</v>
      </c>
    </row>
    <row r="677" spans="1:9" ht="15" hidden="1">
      <c r="A677" s="131" t="s">
        <v>390</v>
      </c>
      <c r="B677" s="27"/>
      <c r="C677" s="28" t="s">
        <v>25</v>
      </c>
      <c r="D677" s="28" t="s">
        <v>7</v>
      </c>
      <c r="E677" s="28"/>
      <c r="F677" s="29"/>
      <c r="G677" s="30">
        <f>SUM(G680+G683+G678)</f>
        <v>0</v>
      </c>
      <c r="H677" s="30">
        <f>SUM(H680+H683+H678)</f>
        <v>1344.5</v>
      </c>
      <c r="I677" s="30" t="e">
        <f t="shared" si="17"/>
        <v>#DIV/0!</v>
      </c>
    </row>
    <row r="678" spans="1:9" ht="15" hidden="1">
      <c r="A678" s="26" t="s">
        <v>96</v>
      </c>
      <c r="B678" s="27"/>
      <c r="C678" s="28" t="s">
        <v>25</v>
      </c>
      <c r="D678" s="28" t="s">
        <v>7</v>
      </c>
      <c r="E678" s="28" t="s">
        <v>97</v>
      </c>
      <c r="F678" s="29"/>
      <c r="G678" s="30">
        <f>SUM(G679)</f>
        <v>0</v>
      </c>
      <c r="H678" s="30">
        <f>SUM(H679)</f>
        <v>79.5</v>
      </c>
      <c r="I678" s="30"/>
    </row>
    <row r="679" spans="1:9" ht="15" hidden="1">
      <c r="A679" s="26" t="s">
        <v>947</v>
      </c>
      <c r="B679" s="27"/>
      <c r="C679" s="28" t="s">
        <v>25</v>
      </c>
      <c r="D679" s="28" t="s">
        <v>7</v>
      </c>
      <c r="E679" s="28" t="s">
        <v>97</v>
      </c>
      <c r="F679" s="29" t="s">
        <v>948</v>
      </c>
      <c r="G679" s="30"/>
      <c r="H679" s="30">
        <v>79.5</v>
      </c>
      <c r="I679" s="30"/>
    </row>
    <row r="680" spans="1:9" ht="28.5" hidden="1">
      <c r="A680" s="131" t="s">
        <v>391</v>
      </c>
      <c r="B680" s="27"/>
      <c r="C680" s="28" t="s">
        <v>25</v>
      </c>
      <c r="D680" s="28" t="s">
        <v>7</v>
      </c>
      <c r="E680" s="75" t="s">
        <v>392</v>
      </c>
      <c r="F680" s="29"/>
      <c r="G680" s="30">
        <f>SUM(G681)</f>
        <v>0</v>
      </c>
      <c r="H680" s="30">
        <f>SUM(H681)</f>
        <v>1265</v>
      </c>
      <c r="I680" s="30" t="e">
        <f t="shared" si="17"/>
        <v>#DIV/0!</v>
      </c>
    </row>
    <row r="681" spans="1:9" ht="26.25" customHeight="1" hidden="1">
      <c r="A681" s="131" t="s">
        <v>393</v>
      </c>
      <c r="B681" s="27"/>
      <c r="C681" s="28" t="s">
        <v>25</v>
      </c>
      <c r="D681" s="28" t="s">
        <v>7</v>
      </c>
      <c r="E681" s="75" t="s">
        <v>394</v>
      </c>
      <c r="F681" s="29"/>
      <c r="G681" s="30">
        <f>SUM(G682)</f>
        <v>0</v>
      </c>
      <c r="H681" s="30">
        <f>SUM(H682)</f>
        <v>1265</v>
      </c>
      <c r="I681" s="30" t="e">
        <f t="shared" si="17"/>
        <v>#DIV/0!</v>
      </c>
    </row>
    <row r="682" spans="1:9" ht="15" customHeight="1" hidden="1">
      <c r="A682" s="26" t="s">
        <v>947</v>
      </c>
      <c r="B682" s="27"/>
      <c r="C682" s="28" t="s">
        <v>25</v>
      </c>
      <c r="D682" s="28" t="s">
        <v>7</v>
      </c>
      <c r="E682" s="75" t="s">
        <v>394</v>
      </c>
      <c r="F682" s="29" t="s">
        <v>948</v>
      </c>
      <c r="G682" s="30"/>
      <c r="H682" s="30">
        <v>1265</v>
      </c>
      <c r="I682" s="30" t="e">
        <f t="shared" si="17"/>
        <v>#DIV/0!</v>
      </c>
    </row>
    <row r="683" spans="1:9" ht="15" hidden="1">
      <c r="A683" s="131" t="s">
        <v>20</v>
      </c>
      <c r="B683" s="27"/>
      <c r="C683" s="28" t="s">
        <v>25</v>
      </c>
      <c r="D683" s="28" t="s">
        <v>7</v>
      </c>
      <c r="E683" s="28" t="s">
        <v>21</v>
      </c>
      <c r="F683" s="29"/>
      <c r="G683" s="30">
        <f>SUM(G684)</f>
        <v>0</v>
      </c>
      <c r="H683" s="30">
        <f>SUM(H684)</f>
        <v>0</v>
      </c>
      <c r="I683" s="30" t="e">
        <f t="shared" si="17"/>
        <v>#DIV/0!</v>
      </c>
    </row>
    <row r="684" spans="1:9" ht="15.75" customHeight="1" hidden="1">
      <c r="A684" s="26" t="s">
        <v>947</v>
      </c>
      <c r="B684" s="27"/>
      <c r="C684" s="28" t="s">
        <v>25</v>
      </c>
      <c r="D684" s="28" t="s">
        <v>7</v>
      </c>
      <c r="E684" s="28" t="s">
        <v>21</v>
      </c>
      <c r="F684" s="29" t="s">
        <v>948</v>
      </c>
      <c r="G684" s="30">
        <f>SUM(G685)</f>
        <v>0</v>
      </c>
      <c r="H684" s="30">
        <f>SUM(H685)</f>
        <v>0</v>
      </c>
      <c r="I684" s="30" t="e">
        <f t="shared" si="17"/>
        <v>#DIV/0!</v>
      </c>
    </row>
    <row r="685" spans="1:9" ht="28.5" customHeight="1" hidden="1">
      <c r="A685" s="26" t="s">
        <v>396</v>
      </c>
      <c r="B685" s="27"/>
      <c r="C685" s="28" t="s">
        <v>25</v>
      </c>
      <c r="D685" s="28" t="s">
        <v>7</v>
      </c>
      <c r="E685" s="28" t="s">
        <v>397</v>
      </c>
      <c r="F685" s="29" t="s">
        <v>948</v>
      </c>
      <c r="G685" s="30">
        <f>1738.6-1738.6</f>
        <v>0</v>
      </c>
      <c r="H685" s="30">
        <f>1738.6-1738.6</f>
        <v>0</v>
      </c>
      <c r="I685" s="30" t="e">
        <f t="shared" si="17"/>
        <v>#DIV/0!</v>
      </c>
    </row>
    <row r="686" spans="1:9" ht="15">
      <c r="A686" s="131" t="s">
        <v>398</v>
      </c>
      <c r="B686" s="27"/>
      <c r="C686" s="28" t="s">
        <v>25</v>
      </c>
      <c r="D686" s="28" t="s">
        <v>25</v>
      </c>
      <c r="E686" s="28"/>
      <c r="F686" s="29"/>
      <c r="G686" s="30">
        <f>SUM(G687+G695+G702+G704+G700+G690+G692)</f>
        <v>226946.80000000002</v>
      </c>
      <c r="H686" s="30">
        <f>SUM(H687+H695+H702+H704+H700)</f>
        <v>9403.5</v>
      </c>
      <c r="I686" s="30">
        <f t="shared" si="17"/>
        <v>4.143482084788152</v>
      </c>
    </row>
    <row r="687" spans="1:10" ht="42.75">
      <c r="A687" s="60" t="s">
        <v>817</v>
      </c>
      <c r="B687" s="27"/>
      <c r="C687" s="28" t="s">
        <v>25</v>
      </c>
      <c r="D687" s="28" t="s">
        <v>25</v>
      </c>
      <c r="E687" s="28" t="s">
        <v>818</v>
      </c>
      <c r="F687" s="29"/>
      <c r="G687" s="30">
        <f>SUM(G688)</f>
        <v>191475</v>
      </c>
      <c r="H687" s="30"/>
      <c r="I687" s="30"/>
      <c r="J687" s="3"/>
    </row>
    <row r="688" spans="1:10" ht="15">
      <c r="A688" s="60" t="s">
        <v>819</v>
      </c>
      <c r="B688" s="27"/>
      <c r="C688" s="28" t="s">
        <v>25</v>
      </c>
      <c r="D688" s="28" t="s">
        <v>25</v>
      </c>
      <c r="E688" s="28" t="s">
        <v>818</v>
      </c>
      <c r="F688" s="29" t="s">
        <v>820</v>
      </c>
      <c r="G688" s="30">
        <v>191475</v>
      </c>
      <c r="H688" s="30"/>
      <c r="I688" s="30"/>
      <c r="J688" s="3">
        <f>SUM('[2]ведомствен.'!G1319)</f>
        <v>191475</v>
      </c>
    </row>
    <row r="689" spans="1:9" ht="21.75" customHeight="1" hidden="1">
      <c r="A689" s="26" t="s">
        <v>947</v>
      </c>
      <c r="B689" s="27"/>
      <c r="C689" s="28" t="s">
        <v>25</v>
      </c>
      <c r="D689" s="28" t="s">
        <v>25</v>
      </c>
      <c r="E689" s="28" t="s">
        <v>953</v>
      </c>
      <c r="F689" s="29" t="s">
        <v>948</v>
      </c>
      <c r="G689" s="30"/>
      <c r="H689" s="37"/>
      <c r="I689" s="30"/>
    </row>
    <row r="690" spans="1:10" ht="15" hidden="1">
      <c r="A690" s="26" t="s">
        <v>96</v>
      </c>
      <c r="B690" s="27"/>
      <c r="C690" s="28" t="s">
        <v>25</v>
      </c>
      <c r="D690" s="28" t="s">
        <v>25</v>
      </c>
      <c r="E690" s="28" t="s">
        <v>97</v>
      </c>
      <c r="F690" s="29"/>
      <c r="G690" s="30">
        <f>SUM(G691)</f>
        <v>0</v>
      </c>
      <c r="H690" s="30">
        <f>SUM(H691)</f>
        <v>79.5</v>
      </c>
      <c r="I690" s="30"/>
      <c r="J690" s="3"/>
    </row>
    <row r="691" spans="1:10" ht="15" hidden="1">
      <c r="A691" s="26" t="s">
        <v>947</v>
      </c>
      <c r="B691" s="27"/>
      <c r="C691" s="28" t="s">
        <v>25</v>
      </c>
      <c r="D691" s="28" t="s">
        <v>25</v>
      </c>
      <c r="E691" s="28" t="s">
        <v>97</v>
      </c>
      <c r="F691" s="29" t="s">
        <v>948</v>
      </c>
      <c r="G691" s="30"/>
      <c r="H691" s="30">
        <v>79.5</v>
      </c>
      <c r="I691" s="30"/>
      <c r="J691" s="3"/>
    </row>
    <row r="692" spans="1:10" ht="28.5" hidden="1">
      <c r="A692" s="135" t="s">
        <v>958</v>
      </c>
      <c r="B692" s="27"/>
      <c r="C692" s="28" t="s">
        <v>25</v>
      </c>
      <c r="D692" s="28" t="s">
        <v>25</v>
      </c>
      <c r="E692" s="28" t="s">
        <v>959</v>
      </c>
      <c r="F692" s="29"/>
      <c r="G692" s="30">
        <f>SUM(G694)</f>
        <v>0</v>
      </c>
      <c r="H692" s="30">
        <f>SUM(H694)</f>
        <v>186.6</v>
      </c>
      <c r="I692" s="30" t="e">
        <f>SUM(H692/G692*100)</f>
        <v>#DIV/0!</v>
      </c>
      <c r="J692" s="3"/>
    </row>
    <row r="693" spans="1:10" ht="15.75" customHeight="1" hidden="1">
      <c r="A693" s="135" t="s">
        <v>960</v>
      </c>
      <c r="B693" s="27"/>
      <c r="C693" s="28" t="s">
        <v>25</v>
      </c>
      <c r="D693" s="28" t="s">
        <v>25</v>
      </c>
      <c r="E693" s="28" t="s">
        <v>961</v>
      </c>
      <c r="F693" s="29"/>
      <c r="G693" s="30">
        <f>SUM(G694)</f>
        <v>0</v>
      </c>
      <c r="H693" s="30">
        <f>SUM(H694)</f>
        <v>186.6</v>
      </c>
      <c r="I693" s="30" t="e">
        <f>SUM(H693/G693*100)</f>
        <v>#DIV/0!</v>
      </c>
      <c r="J693" s="3"/>
    </row>
    <row r="694" spans="1:10" ht="17.25" customHeight="1" hidden="1">
      <c r="A694" s="26" t="s">
        <v>947</v>
      </c>
      <c r="B694" s="27"/>
      <c r="C694" s="28" t="s">
        <v>25</v>
      </c>
      <c r="D694" s="28" t="s">
        <v>25</v>
      </c>
      <c r="E694" s="28" t="s">
        <v>961</v>
      </c>
      <c r="F694" s="29" t="s">
        <v>948</v>
      </c>
      <c r="G694" s="30"/>
      <c r="H694" s="30">
        <v>186.6</v>
      </c>
      <c r="I694" s="30" t="e">
        <f>SUM(H694/G694*100)</f>
        <v>#DIV/0!</v>
      </c>
      <c r="J694" s="3"/>
    </row>
    <row r="695" spans="1:9" ht="28.5">
      <c r="A695" s="139" t="s">
        <v>821</v>
      </c>
      <c r="B695" s="27"/>
      <c r="C695" s="28" t="s">
        <v>25</v>
      </c>
      <c r="D695" s="28" t="s">
        <v>25</v>
      </c>
      <c r="E695" s="28" t="s">
        <v>822</v>
      </c>
      <c r="F695" s="29"/>
      <c r="G695" s="30">
        <f>SUM(G696)</f>
        <v>11304.7</v>
      </c>
      <c r="H695" s="30">
        <f>SUM(H696)</f>
        <v>6864.8</v>
      </c>
      <c r="I695" s="30">
        <f t="shared" si="17"/>
        <v>60.725185100002655</v>
      </c>
    </row>
    <row r="696" spans="1:9" ht="18.75" customHeight="1">
      <c r="A696" s="26" t="s">
        <v>234</v>
      </c>
      <c r="B696" s="27"/>
      <c r="C696" s="28" t="s">
        <v>25</v>
      </c>
      <c r="D696" s="28" t="s">
        <v>25</v>
      </c>
      <c r="E696" s="28" t="s">
        <v>823</v>
      </c>
      <c r="F696" s="29"/>
      <c r="G696" s="30">
        <f>SUM(G697:G698)</f>
        <v>11304.7</v>
      </c>
      <c r="H696" s="30">
        <f>SUM(H697:H698)</f>
        <v>6864.8</v>
      </c>
      <c r="I696" s="30">
        <f t="shared" si="17"/>
        <v>60.725185100002655</v>
      </c>
    </row>
    <row r="697" spans="1:10" ht="17.25" customHeight="1">
      <c r="A697" s="26" t="s">
        <v>969</v>
      </c>
      <c r="B697" s="27"/>
      <c r="C697" s="28" t="s">
        <v>25</v>
      </c>
      <c r="D697" s="28" t="s">
        <v>25</v>
      </c>
      <c r="E697" s="28" t="s">
        <v>823</v>
      </c>
      <c r="F697" s="29" t="s">
        <v>970</v>
      </c>
      <c r="G697" s="30">
        <f>11290.2+14.5</f>
        <v>11304.7</v>
      </c>
      <c r="H697" s="30">
        <v>6864.8</v>
      </c>
      <c r="I697" s="30">
        <f t="shared" si="17"/>
        <v>60.725185100002655</v>
      </c>
      <c r="J697" s="65">
        <f>SUM('[2]ведомствен.'!G1322)</f>
        <v>11290.2</v>
      </c>
    </row>
    <row r="698" spans="1:9" ht="0.75" customHeight="1" hidden="1">
      <c r="A698" s="26" t="s">
        <v>705</v>
      </c>
      <c r="B698" s="27"/>
      <c r="C698" s="28" t="s">
        <v>25</v>
      </c>
      <c r="D698" s="28" t="s">
        <v>25</v>
      </c>
      <c r="E698" s="28" t="s">
        <v>823</v>
      </c>
      <c r="F698" s="29" t="s">
        <v>807</v>
      </c>
      <c r="G698" s="30"/>
      <c r="H698" s="30"/>
      <c r="I698" s="30" t="e">
        <f t="shared" si="17"/>
        <v>#DIV/0!</v>
      </c>
    </row>
    <row r="699" spans="1:9" ht="15" customHeight="1" hidden="1">
      <c r="A699" s="26" t="s">
        <v>67</v>
      </c>
      <c r="B699" s="27"/>
      <c r="C699" s="28" t="s">
        <v>25</v>
      </c>
      <c r="D699" s="28" t="s">
        <v>25</v>
      </c>
      <c r="E699" s="28" t="s">
        <v>68</v>
      </c>
      <c r="F699" s="29"/>
      <c r="G699" s="30">
        <f>SUM(G700+G702)</f>
        <v>0</v>
      </c>
      <c r="H699" s="30">
        <f>SUM(H700+H702)</f>
        <v>0</v>
      </c>
      <c r="I699" s="30" t="e">
        <f t="shared" si="17"/>
        <v>#DIV/0!</v>
      </c>
    </row>
    <row r="700" spans="1:9" ht="29.25" customHeight="1" hidden="1">
      <c r="A700" s="26" t="s">
        <v>748</v>
      </c>
      <c r="B700" s="36"/>
      <c r="C700" s="28" t="s">
        <v>25</v>
      </c>
      <c r="D700" s="28" t="s">
        <v>25</v>
      </c>
      <c r="E700" s="28" t="s">
        <v>749</v>
      </c>
      <c r="F700" s="29"/>
      <c r="G700" s="30">
        <f>SUM(G701)</f>
        <v>0</v>
      </c>
      <c r="H700" s="30">
        <f>SUM(H701)</f>
        <v>0</v>
      </c>
      <c r="I700" s="30" t="e">
        <f t="shared" si="17"/>
        <v>#DIV/0!</v>
      </c>
    </row>
    <row r="701" spans="1:9" ht="29.25" customHeight="1" hidden="1">
      <c r="A701" s="26" t="s">
        <v>393</v>
      </c>
      <c r="B701" s="36"/>
      <c r="C701" s="28" t="s">
        <v>25</v>
      </c>
      <c r="D701" s="28" t="s">
        <v>25</v>
      </c>
      <c r="E701" s="28" t="s">
        <v>749</v>
      </c>
      <c r="F701" s="29" t="s">
        <v>395</v>
      </c>
      <c r="G701" s="30"/>
      <c r="H701" s="30"/>
      <c r="I701" s="30" t="e">
        <f t="shared" si="17"/>
        <v>#DIV/0!</v>
      </c>
    </row>
    <row r="702" spans="1:9" ht="31.5" customHeight="1" hidden="1">
      <c r="A702" s="26" t="s">
        <v>824</v>
      </c>
      <c r="B702" s="27"/>
      <c r="C702" s="28" t="s">
        <v>25</v>
      </c>
      <c r="D702" s="28" t="s">
        <v>25</v>
      </c>
      <c r="E702" s="28" t="s">
        <v>825</v>
      </c>
      <c r="F702" s="29"/>
      <c r="G702" s="30">
        <f>SUM(G703)</f>
        <v>0</v>
      </c>
      <c r="H702" s="30">
        <f>SUM(H703)</f>
        <v>0</v>
      </c>
      <c r="I702" s="30" t="e">
        <f t="shared" si="17"/>
        <v>#DIV/0!</v>
      </c>
    </row>
    <row r="703" spans="1:9" ht="28.5" customHeight="1" hidden="1">
      <c r="A703" s="26" t="s">
        <v>393</v>
      </c>
      <c r="B703" s="27"/>
      <c r="C703" s="28" t="s">
        <v>25</v>
      </c>
      <c r="D703" s="28" t="s">
        <v>25</v>
      </c>
      <c r="E703" s="28" t="s">
        <v>825</v>
      </c>
      <c r="F703" s="29" t="s">
        <v>395</v>
      </c>
      <c r="G703" s="30"/>
      <c r="H703" s="30"/>
      <c r="I703" s="30" t="e">
        <f t="shared" si="17"/>
        <v>#DIV/0!</v>
      </c>
    </row>
    <row r="704" spans="1:9" ht="18" customHeight="1">
      <c r="A704" s="131" t="s">
        <v>20</v>
      </c>
      <c r="B704" s="27"/>
      <c r="C704" s="28" t="s">
        <v>25</v>
      </c>
      <c r="D704" s="28" t="s">
        <v>25</v>
      </c>
      <c r="E704" s="28" t="s">
        <v>21</v>
      </c>
      <c r="F704" s="29"/>
      <c r="G704" s="30">
        <f>SUM(G710,G722,G712)</f>
        <v>24167.1</v>
      </c>
      <c r="H704" s="30">
        <f>SUM(H706+H716)+H714+H715+H721+H722</f>
        <v>2538.7</v>
      </c>
      <c r="I704" s="30">
        <f t="shared" si="17"/>
        <v>10.504777155719966</v>
      </c>
    </row>
    <row r="705" spans="1:9" ht="0.75" customHeight="1" hidden="1">
      <c r="A705" s="131" t="s">
        <v>393</v>
      </c>
      <c r="B705" s="27"/>
      <c r="C705" s="28" t="s">
        <v>25</v>
      </c>
      <c r="D705" s="28" t="s">
        <v>25</v>
      </c>
      <c r="E705" s="28" t="s">
        <v>21</v>
      </c>
      <c r="F705" s="29" t="s">
        <v>395</v>
      </c>
      <c r="G705" s="30"/>
      <c r="H705" s="30"/>
      <c r="I705" s="30" t="e">
        <f t="shared" si="17"/>
        <v>#DIV/0!</v>
      </c>
    </row>
    <row r="706" spans="1:9" ht="15" customHeight="1" hidden="1">
      <c r="A706" s="131" t="s">
        <v>399</v>
      </c>
      <c r="B706" s="27"/>
      <c r="C706" s="28" t="s">
        <v>25</v>
      </c>
      <c r="D706" s="28" t="s">
        <v>25</v>
      </c>
      <c r="E706" s="28" t="s">
        <v>400</v>
      </c>
      <c r="F706" s="29"/>
      <c r="G706" s="30">
        <f>SUM(G707:G708)</f>
        <v>0</v>
      </c>
      <c r="H706" s="30">
        <f>SUM(H707:H708)</f>
        <v>0</v>
      </c>
      <c r="I706" s="30" t="e">
        <f t="shared" si="17"/>
        <v>#DIV/0!</v>
      </c>
    </row>
    <row r="707" spans="1:9" ht="15" customHeight="1" hidden="1">
      <c r="A707" s="131" t="s">
        <v>195</v>
      </c>
      <c r="B707" s="27"/>
      <c r="C707" s="28" t="s">
        <v>25</v>
      </c>
      <c r="D707" s="28" t="s">
        <v>25</v>
      </c>
      <c r="E707" s="28" t="s">
        <v>400</v>
      </c>
      <c r="F707" s="29" t="s">
        <v>42</v>
      </c>
      <c r="G707" s="30"/>
      <c r="H707" s="30"/>
      <c r="I707" s="30" t="e">
        <f t="shared" si="17"/>
        <v>#DIV/0!</v>
      </c>
    </row>
    <row r="708" spans="1:10" s="59" customFormat="1" ht="21.75" customHeight="1" hidden="1">
      <c r="A708" s="131" t="s">
        <v>393</v>
      </c>
      <c r="B708" s="33"/>
      <c r="C708" s="28" t="s">
        <v>25</v>
      </c>
      <c r="D708" s="28" t="s">
        <v>25</v>
      </c>
      <c r="E708" s="28" t="s">
        <v>400</v>
      </c>
      <c r="F708" s="29" t="s">
        <v>395</v>
      </c>
      <c r="G708" s="50"/>
      <c r="H708" s="50"/>
      <c r="I708" s="30" t="e">
        <f t="shared" si="17"/>
        <v>#DIV/0!</v>
      </c>
      <c r="J708" s="143"/>
    </row>
    <row r="709" spans="1:9" ht="18.75" customHeight="1" hidden="1">
      <c r="A709" s="26" t="s">
        <v>947</v>
      </c>
      <c r="B709" s="27"/>
      <c r="C709" s="28" t="s">
        <v>25</v>
      </c>
      <c r="D709" s="28" t="s">
        <v>25</v>
      </c>
      <c r="E709" s="28" t="s">
        <v>400</v>
      </c>
      <c r="F709" s="29" t="s">
        <v>948</v>
      </c>
      <c r="G709" s="30"/>
      <c r="H709" s="30"/>
      <c r="I709" s="30" t="e">
        <f t="shared" si="17"/>
        <v>#DIV/0!</v>
      </c>
    </row>
    <row r="710" spans="1:9" ht="27.75" customHeight="1">
      <c r="A710" s="131" t="s">
        <v>393</v>
      </c>
      <c r="B710" s="27"/>
      <c r="C710" s="28" t="s">
        <v>25</v>
      </c>
      <c r="D710" s="28" t="s">
        <v>25</v>
      </c>
      <c r="E710" s="67" t="s">
        <v>21</v>
      </c>
      <c r="F710" s="34" t="s">
        <v>395</v>
      </c>
      <c r="G710" s="30">
        <f>SUM(G714,G715,G721,G718,G711)</f>
        <v>24167.1</v>
      </c>
      <c r="H710" s="30">
        <f>SUM(H714,H715,H721)</f>
        <v>1496.4</v>
      </c>
      <c r="I710" s="30">
        <f t="shared" si="17"/>
        <v>6.191888973025312</v>
      </c>
    </row>
    <row r="711" spans="1:10" ht="42" customHeight="1">
      <c r="A711" s="26" t="s">
        <v>826</v>
      </c>
      <c r="B711" s="33"/>
      <c r="C711" s="28" t="s">
        <v>25</v>
      </c>
      <c r="D711" s="28" t="s">
        <v>25</v>
      </c>
      <c r="E711" s="28" t="s">
        <v>827</v>
      </c>
      <c r="F711" s="29" t="s">
        <v>395</v>
      </c>
      <c r="G711" s="30">
        <v>21637.3</v>
      </c>
      <c r="H711" s="30"/>
      <c r="I711" s="30">
        <f>SUM(H711/G711*100)</f>
        <v>0</v>
      </c>
      <c r="J711" s="3">
        <f>SUM('[2]ведомствен.'!G1332)</f>
        <v>21637.3</v>
      </c>
    </row>
    <row r="712" spans="1:10" ht="43.5" customHeight="1" hidden="1">
      <c r="A712" s="131" t="s">
        <v>112</v>
      </c>
      <c r="B712" s="33"/>
      <c r="C712" s="28" t="s">
        <v>25</v>
      </c>
      <c r="D712" s="28" t="s">
        <v>25</v>
      </c>
      <c r="E712" s="28" t="s">
        <v>113</v>
      </c>
      <c r="F712" s="29"/>
      <c r="G712" s="50">
        <f>SUM(G713)</f>
        <v>0</v>
      </c>
      <c r="H712" s="50"/>
      <c r="I712" s="30"/>
      <c r="J712" s="3"/>
    </row>
    <row r="713" spans="1:10" ht="19.5" customHeight="1" hidden="1">
      <c r="A713" s="131" t="s">
        <v>10</v>
      </c>
      <c r="B713" s="33"/>
      <c r="C713" s="28" t="s">
        <v>25</v>
      </c>
      <c r="D713" s="28" t="s">
        <v>25</v>
      </c>
      <c r="E713" s="28" t="s">
        <v>113</v>
      </c>
      <c r="F713" s="29" t="s">
        <v>11</v>
      </c>
      <c r="G713" s="50"/>
      <c r="H713" s="50"/>
      <c r="I713" s="30"/>
      <c r="J713" s="3">
        <f>SUM('[2]ведомствен.'!G603)</f>
        <v>0</v>
      </c>
    </row>
    <row r="714" spans="1:10" s="93" customFormat="1" ht="42.75">
      <c r="A714" s="132" t="s">
        <v>892</v>
      </c>
      <c r="B714" s="70"/>
      <c r="C714" s="28" t="s">
        <v>25</v>
      </c>
      <c r="D714" s="28" t="s">
        <v>25</v>
      </c>
      <c r="E714" s="67" t="s">
        <v>829</v>
      </c>
      <c r="F714" s="34" t="s">
        <v>395</v>
      </c>
      <c r="G714" s="50">
        <f>2200+14.3</f>
        <v>2214.3</v>
      </c>
      <c r="H714" s="50">
        <v>1424.2</v>
      </c>
      <c r="I714" s="30">
        <f t="shared" si="17"/>
        <v>64.31829472067922</v>
      </c>
      <c r="J714" s="153">
        <f>SUM('[2]ведомствен.'!G1335)</f>
        <v>2200</v>
      </c>
    </row>
    <row r="715" spans="1:10" s="93" customFormat="1" ht="27" customHeight="1">
      <c r="A715" s="132" t="s">
        <v>893</v>
      </c>
      <c r="B715" s="70"/>
      <c r="C715" s="28" t="s">
        <v>25</v>
      </c>
      <c r="D715" s="28" t="s">
        <v>25</v>
      </c>
      <c r="E715" s="67" t="s">
        <v>831</v>
      </c>
      <c r="F715" s="34" t="s">
        <v>395</v>
      </c>
      <c r="G715" s="50">
        <f>300-0.5</f>
        <v>299.5</v>
      </c>
      <c r="H715" s="50">
        <v>67.2</v>
      </c>
      <c r="I715" s="30">
        <f aca="true" t="shared" si="18" ref="I715:I778">SUM(H715/G715*100)</f>
        <v>22.437395659432386</v>
      </c>
      <c r="J715" s="153">
        <f>SUM('[2]ведомствен.'!G1336)</f>
        <v>300</v>
      </c>
    </row>
    <row r="716" spans="1:10" s="93" customFormat="1" ht="29.25" customHeight="1" hidden="1">
      <c r="A716" s="132" t="s">
        <v>832</v>
      </c>
      <c r="B716" s="70"/>
      <c r="C716" s="28" t="s">
        <v>25</v>
      </c>
      <c r="D716" s="28" t="s">
        <v>25</v>
      </c>
      <c r="E716" s="67" t="s">
        <v>833</v>
      </c>
      <c r="F716" s="34" t="s">
        <v>395</v>
      </c>
      <c r="G716" s="50"/>
      <c r="H716" s="50"/>
      <c r="I716" s="30" t="e">
        <f t="shared" si="18"/>
        <v>#DIV/0!</v>
      </c>
      <c r="J716" s="153"/>
    </row>
    <row r="717" spans="1:10" s="93" customFormat="1" ht="29.25" customHeight="1" hidden="1">
      <c r="A717" s="132" t="s">
        <v>834</v>
      </c>
      <c r="B717" s="70"/>
      <c r="C717" s="28" t="s">
        <v>25</v>
      </c>
      <c r="D717" s="28" t="s">
        <v>25</v>
      </c>
      <c r="E717" s="67" t="s">
        <v>835</v>
      </c>
      <c r="F717" s="34" t="s">
        <v>395</v>
      </c>
      <c r="G717" s="50"/>
      <c r="H717" s="50"/>
      <c r="I717" s="30" t="e">
        <f t="shared" si="18"/>
        <v>#DIV/0!</v>
      </c>
      <c r="J717" s="153"/>
    </row>
    <row r="718" spans="1:10" s="93" customFormat="1" ht="46.5" customHeight="1">
      <c r="A718" s="46" t="s">
        <v>659</v>
      </c>
      <c r="B718" s="27"/>
      <c r="C718" s="28" t="s">
        <v>25</v>
      </c>
      <c r="D718" s="28" t="s">
        <v>25</v>
      </c>
      <c r="E718" s="28" t="s">
        <v>402</v>
      </c>
      <c r="F718" s="34" t="s">
        <v>395</v>
      </c>
      <c r="G718" s="50">
        <f>21-5</f>
        <v>16</v>
      </c>
      <c r="H718" s="50"/>
      <c r="I718" s="30">
        <f t="shared" si="18"/>
        <v>0</v>
      </c>
      <c r="J718" s="153">
        <f>SUM('[2]ведомствен.'!G1339)</f>
        <v>21</v>
      </c>
    </row>
    <row r="719" spans="1:10" s="93" customFormat="1" ht="27.75" customHeight="1" hidden="1">
      <c r="A719" s="46" t="s">
        <v>836</v>
      </c>
      <c r="B719" s="27"/>
      <c r="C719" s="28" t="s">
        <v>25</v>
      </c>
      <c r="D719" s="28" t="s">
        <v>25</v>
      </c>
      <c r="E719" s="28" t="s">
        <v>837</v>
      </c>
      <c r="F719" s="34" t="s">
        <v>395</v>
      </c>
      <c r="G719" s="50">
        <f>SUM('[1]Ведомств.'!F701)</f>
        <v>0</v>
      </c>
      <c r="H719" s="50">
        <f>SUM('[1]Ведомств.'!G701)</f>
        <v>0</v>
      </c>
      <c r="I719" s="30" t="e">
        <f t="shared" si="18"/>
        <v>#DIV/0!</v>
      </c>
      <c r="J719" s="153"/>
    </row>
    <row r="720" spans="1:10" s="93" customFormat="1" ht="27" customHeight="1" hidden="1">
      <c r="A720" s="46" t="s">
        <v>894</v>
      </c>
      <c r="B720" s="27"/>
      <c r="C720" s="28" t="s">
        <v>25</v>
      </c>
      <c r="D720" s="28" t="s">
        <v>25</v>
      </c>
      <c r="E720" s="28" t="s">
        <v>400</v>
      </c>
      <c r="F720" s="34"/>
      <c r="G720" s="50">
        <f>SUM(G721)</f>
        <v>0</v>
      </c>
      <c r="H720" s="50">
        <f>SUM(H721)</f>
        <v>5</v>
      </c>
      <c r="I720" s="30" t="e">
        <f t="shared" si="18"/>
        <v>#DIV/0!</v>
      </c>
      <c r="J720" s="153"/>
    </row>
    <row r="721" spans="1:10" s="93" customFormat="1" ht="24" customHeight="1" hidden="1">
      <c r="A721" s="46" t="s">
        <v>393</v>
      </c>
      <c r="B721" s="27"/>
      <c r="C721" s="28" t="s">
        <v>25</v>
      </c>
      <c r="D721" s="28" t="s">
        <v>25</v>
      </c>
      <c r="E721" s="28" t="s">
        <v>400</v>
      </c>
      <c r="F721" s="34" t="s">
        <v>395</v>
      </c>
      <c r="G721" s="50"/>
      <c r="H721" s="50">
        <v>5</v>
      </c>
      <c r="I721" s="30" t="e">
        <f t="shared" si="18"/>
        <v>#DIV/0!</v>
      </c>
      <c r="J721" s="153">
        <f>SUM('[2]ведомствен.'!G607)</f>
        <v>0</v>
      </c>
    </row>
    <row r="722" spans="1:10" s="93" customFormat="1" ht="21.75" customHeight="1" hidden="1">
      <c r="A722" s="46" t="s">
        <v>336</v>
      </c>
      <c r="B722" s="27"/>
      <c r="C722" s="28" t="s">
        <v>25</v>
      </c>
      <c r="D722" s="28" t="s">
        <v>25</v>
      </c>
      <c r="E722" s="28" t="s">
        <v>92</v>
      </c>
      <c r="F722" s="34"/>
      <c r="G722" s="50">
        <f>SUM(G723)</f>
        <v>0</v>
      </c>
      <c r="H722" s="50">
        <f>SUM(H723)</f>
        <v>1042.3</v>
      </c>
      <c r="I722" s="30" t="e">
        <f t="shared" si="18"/>
        <v>#DIV/0!</v>
      </c>
      <c r="J722" s="153"/>
    </row>
    <row r="723" spans="1:10" s="93" customFormat="1" ht="21.75" customHeight="1" hidden="1">
      <c r="A723" s="46" t="s">
        <v>41</v>
      </c>
      <c r="B723" s="27"/>
      <c r="C723" s="28" t="s">
        <v>25</v>
      </c>
      <c r="D723" s="28" t="s">
        <v>25</v>
      </c>
      <c r="E723" s="28" t="s">
        <v>92</v>
      </c>
      <c r="F723" s="34" t="s">
        <v>42</v>
      </c>
      <c r="G723" s="50"/>
      <c r="H723" s="50">
        <v>1042.3</v>
      </c>
      <c r="I723" s="30" t="e">
        <f t="shared" si="18"/>
        <v>#DIV/0!</v>
      </c>
      <c r="J723" s="153">
        <f>SUM('[2]ведомствен.'!G611)</f>
        <v>0</v>
      </c>
    </row>
    <row r="724" spans="1:11" s="130" customFormat="1" ht="21.75" customHeight="1">
      <c r="A724" s="136" t="s">
        <v>971</v>
      </c>
      <c r="B724" s="84"/>
      <c r="C724" s="137" t="s">
        <v>972</v>
      </c>
      <c r="D724" s="137" t="s">
        <v>445</v>
      </c>
      <c r="E724" s="137"/>
      <c r="F724" s="138"/>
      <c r="G724" s="38">
        <f>SUM(G725+G729+G740+G845+G865)</f>
        <v>733234.0000000001</v>
      </c>
      <c r="H724" s="38" t="e">
        <f>SUM(H725+H729+H740+H845+H865)</f>
        <v>#REF!</v>
      </c>
      <c r="I724" s="38" t="e">
        <f t="shared" si="18"/>
        <v>#REF!</v>
      </c>
      <c r="J724" s="129"/>
      <c r="K724" s="130">
        <f>SUM('[2]ведомствен.'!G713+'[2]ведомствен.'!G902+'[2]ведомствен.'!G1192)</f>
        <v>795015.6999999997</v>
      </c>
    </row>
    <row r="725" spans="1:9" ht="15">
      <c r="A725" s="132" t="s">
        <v>461</v>
      </c>
      <c r="B725" s="27"/>
      <c r="C725" s="67" t="s">
        <v>972</v>
      </c>
      <c r="D725" s="67" t="s">
        <v>940</v>
      </c>
      <c r="E725" s="67"/>
      <c r="F725" s="34"/>
      <c r="G725" s="50">
        <f aca="true" t="shared" si="19" ref="G725:H727">SUM(G726)</f>
        <v>2022.7</v>
      </c>
      <c r="H725" s="50">
        <f t="shared" si="19"/>
        <v>1203.5</v>
      </c>
      <c r="I725" s="30">
        <f t="shared" si="18"/>
        <v>59.49967864735255</v>
      </c>
    </row>
    <row r="726" spans="1:11" ht="28.5">
      <c r="A726" s="142" t="s">
        <v>462</v>
      </c>
      <c r="B726" s="27"/>
      <c r="C726" s="28" t="s">
        <v>972</v>
      </c>
      <c r="D726" s="28" t="s">
        <v>940</v>
      </c>
      <c r="E726" s="28" t="s">
        <v>463</v>
      </c>
      <c r="F726" s="34"/>
      <c r="G726" s="30">
        <f t="shared" si="19"/>
        <v>2022.7</v>
      </c>
      <c r="H726" s="30">
        <f t="shared" si="19"/>
        <v>1203.5</v>
      </c>
      <c r="I726" s="30">
        <f t="shared" si="18"/>
        <v>59.49967864735255</v>
      </c>
      <c r="K726" s="65">
        <f>SUM(J726:J884)</f>
        <v>795015.7000000002</v>
      </c>
    </row>
    <row r="727" spans="1:9" ht="28.5">
      <c r="A727" s="142" t="s">
        <v>464</v>
      </c>
      <c r="B727" s="45"/>
      <c r="C727" s="28" t="s">
        <v>972</v>
      </c>
      <c r="D727" s="28" t="s">
        <v>940</v>
      </c>
      <c r="E727" s="28" t="s">
        <v>465</v>
      </c>
      <c r="F727" s="34"/>
      <c r="G727" s="30">
        <f t="shared" si="19"/>
        <v>2022.7</v>
      </c>
      <c r="H727" s="30">
        <f t="shared" si="19"/>
        <v>1203.5</v>
      </c>
      <c r="I727" s="30">
        <f t="shared" si="18"/>
        <v>59.49967864735255</v>
      </c>
    </row>
    <row r="728" spans="1:10" ht="15">
      <c r="A728" s="131" t="s">
        <v>978</v>
      </c>
      <c r="B728" s="27"/>
      <c r="C728" s="28" t="s">
        <v>972</v>
      </c>
      <c r="D728" s="28" t="s">
        <v>940</v>
      </c>
      <c r="E728" s="28" t="s">
        <v>465</v>
      </c>
      <c r="F728" s="34" t="s">
        <v>979</v>
      </c>
      <c r="G728" s="30">
        <f>1984.2+38.5</f>
        <v>2022.7</v>
      </c>
      <c r="H728" s="30">
        <v>1203.5</v>
      </c>
      <c r="I728" s="30">
        <f t="shared" si="18"/>
        <v>59.49967864735255</v>
      </c>
      <c r="J728" s="65">
        <f>SUM('[2]ведомствен.'!G717)</f>
        <v>1984.2</v>
      </c>
    </row>
    <row r="729" spans="1:9" ht="15">
      <c r="A729" s="131" t="s">
        <v>404</v>
      </c>
      <c r="B729" s="27"/>
      <c r="C729" s="67" t="s">
        <v>972</v>
      </c>
      <c r="D729" s="67" t="s">
        <v>942</v>
      </c>
      <c r="E729" s="28"/>
      <c r="F729" s="34"/>
      <c r="G729" s="50">
        <f>SUM(G730+G735)</f>
        <v>31091.600000000002</v>
      </c>
      <c r="H729" s="50">
        <f>SUM(H730+H735)</f>
        <v>16818.3</v>
      </c>
      <c r="I729" s="30">
        <f t="shared" si="18"/>
        <v>54.09274530741421</v>
      </c>
    </row>
    <row r="730" spans="1:10" ht="15">
      <c r="A730" s="26" t="s">
        <v>94</v>
      </c>
      <c r="B730" s="27"/>
      <c r="C730" s="67" t="s">
        <v>972</v>
      </c>
      <c r="D730" s="67" t="s">
        <v>942</v>
      </c>
      <c r="E730" s="28" t="s">
        <v>95</v>
      </c>
      <c r="F730" s="29"/>
      <c r="G730" s="30">
        <f>SUM(G732)</f>
        <v>80</v>
      </c>
      <c r="H730" s="30">
        <f>SUM(H732)</f>
        <v>200</v>
      </c>
      <c r="I730" s="30">
        <f>SUM(H730/G730*100)</f>
        <v>250</v>
      </c>
      <c r="J730" s="3"/>
    </row>
    <row r="731" spans="1:10" ht="15">
      <c r="A731" s="26" t="s">
        <v>96</v>
      </c>
      <c r="B731" s="27"/>
      <c r="C731" s="67" t="s">
        <v>972</v>
      </c>
      <c r="D731" s="67" t="s">
        <v>942</v>
      </c>
      <c r="E731" s="28" t="s">
        <v>97</v>
      </c>
      <c r="F731" s="29"/>
      <c r="G731" s="30">
        <f>SUM(G732)</f>
        <v>80</v>
      </c>
      <c r="H731" s="30">
        <f>SUM(H732)</f>
        <v>200</v>
      </c>
      <c r="I731" s="30">
        <f>SUM(H731/G731*100)</f>
        <v>250</v>
      </c>
      <c r="J731" s="3"/>
    </row>
    <row r="732" spans="1:10" ht="15">
      <c r="A732" s="26" t="s">
        <v>969</v>
      </c>
      <c r="B732" s="27"/>
      <c r="C732" s="67" t="s">
        <v>972</v>
      </c>
      <c r="D732" s="67" t="s">
        <v>942</v>
      </c>
      <c r="E732" s="28" t="s">
        <v>97</v>
      </c>
      <c r="F732" s="29" t="s">
        <v>970</v>
      </c>
      <c r="G732" s="30">
        <v>80</v>
      </c>
      <c r="H732" s="30">
        <v>200</v>
      </c>
      <c r="I732" s="30">
        <f>SUM(H732/G732*100)</f>
        <v>250</v>
      </c>
      <c r="J732" s="3">
        <f>SUM('[2]ведомствен.'!G721)</f>
        <v>80</v>
      </c>
    </row>
    <row r="733" spans="1:9" ht="31.5" customHeight="1" hidden="1">
      <c r="A733" s="135" t="s">
        <v>467</v>
      </c>
      <c r="B733" s="27"/>
      <c r="C733" s="28" t="s">
        <v>972</v>
      </c>
      <c r="D733" s="28" t="s">
        <v>942</v>
      </c>
      <c r="E733" s="28" t="s">
        <v>895</v>
      </c>
      <c r="F733" s="29"/>
      <c r="G733" s="30">
        <f>SUM(G734)</f>
        <v>0</v>
      </c>
      <c r="H733" s="30">
        <f>SUM(H734)</f>
        <v>0</v>
      </c>
      <c r="I733" s="30" t="e">
        <f t="shared" si="18"/>
        <v>#DIV/0!</v>
      </c>
    </row>
    <row r="734" spans="1:9" ht="18.75" customHeight="1" hidden="1">
      <c r="A734" s="131" t="s">
        <v>969</v>
      </c>
      <c r="B734" s="27"/>
      <c r="C734" s="28" t="s">
        <v>972</v>
      </c>
      <c r="D734" s="28" t="s">
        <v>942</v>
      </c>
      <c r="E734" s="28" t="s">
        <v>895</v>
      </c>
      <c r="F734" s="34" t="s">
        <v>970</v>
      </c>
      <c r="G734" s="30"/>
      <c r="H734" s="30"/>
      <c r="I734" s="30" t="e">
        <f t="shared" si="18"/>
        <v>#DIV/0!</v>
      </c>
    </row>
    <row r="735" spans="1:9" ht="18.75" customHeight="1">
      <c r="A735" s="135" t="s">
        <v>405</v>
      </c>
      <c r="B735" s="27"/>
      <c r="C735" s="67" t="s">
        <v>972</v>
      </c>
      <c r="D735" s="67" t="s">
        <v>942</v>
      </c>
      <c r="E735" s="67" t="s">
        <v>466</v>
      </c>
      <c r="F735" s="34"/>
      <c r="G735" s="30">
        <f>SUM(G736+G738)</f>
        <v>31011.600000000002</v>
      </c>
      <c r="H735" s="30">
        <f>SUM(H736+H738)</f>
        <v>16618.3</v>
      </c>
      <c r="I735" s="30">
        <f t="shared" si="18"/>
        <v>53.5873673077171</v>
      </c>
    </row>
    <row r="736" spans="1:9" ht="30.75" customHeight="1" hidden="1">
      <c r="A736" s="131" t="s">
        <v>467</v>
      </c>
      <c r="B736" s="27"/>
      <c r="C736" s="28" t="s">
        <v>972</v>
      </c>
      <c r="D736" s="28" t="s">
        <v>942</v>
      </c>
      <c r="E736" s="28" t="s">
        <v>468</v>
      </c>
      <c r="F736" s="34"/>
      <c r="G736" s="30">
        <f>SUM(G737)</f>
        <v>0</v>
      </c>
      <c r="H736" s="30">
        <f>SUM(H737)</f>
        <v>0</v>
      </c>
      <c r="I736" s="30" t="e">
        <f t="shared" si="18"/>
        <v>#DIV/0!</v>
      </c>
    </row>
    <row r="737" spans="1:9" ht="15" customHeight="1" hidden="1">
      <c r="A737" s="131" t="s">
        <v>969</v>
      </c>
      <c r="B737" s="27"/>
      <c r="C737" s="28" t="s">
        <v>972</v>
      </c>
      <c r="D737" s="28" t="s">
        <v>942</v>
      </c>
      <c r="E737" s="28" t="s">
        <v>468</v>
      </c>
      <c r="F737" s="34" t="s">
        <v>970</v>
      </c>
      <c r="G737" s="30"/>
      <c r="H737" s="30"/>
      <c r="I737" s="30" t="e">
        <f t="shared" si="18"/>
        <v>#DIV/0!</v>
      </c>
    </row>
    <row r="738" spans="1:9" ht="42.75" customHeight="1">
      <c r="A738" s="131" t="s">
        <v>469</v>
      </c>
      <c r="B738" s="27"/>
      <c r="C738" s="28" t="s">
        <v>972</v>
      </c>
      <c r="D738" s="28" t="s">
        <v>942</v>
      </c>
      <c r="E738" s="28" t="s">
        <v>470</v>
      </c>
      <c r="F738" s="34"/>
      <c r="G738" s="30">
        <f>SUM(G739)</f>
        <v>31011.600000000002</v>
      </c>
      <c r="H738" s="30">
        <f>SUM(H739)</f>
        <v>16618.3</v>
      </c>
      <c r="I738" s="30">
        <f t="shared" si="18"/>
        <v>53.5873673077171</v>
      </c>
    </row>
    <row r="739" spans="1:10" ht="15" customHeight="1">
      <c r="A739" s="131" t="s">
        <v>969</v>
      </c>
      <c r="B739" s="27"/>
      <c r="C739" s="28" t="s">
        <v>972</v>
      </c>
      <c r="D739" s="28" t="s">
        <v>942</v>
      </c>
      <c r="E739" s="28" t="s">
        <v>470</v>
      </c>
      <c r="F739" s="34" t="s">
        <v>970</v>
      </c>
      <c r="G739" s="30">
        <f>30882.9+128.7</f>
        <v>31011.600000000002</v>
      </c>
      <c r="H739" s="30">
        <v>16618.3</v>
      </c>
      <c r="I739" s="30">
        <f t="shared" si="18"/>
        <v>53.5873673077171</v>
      </c>
      <c r="J739" s="65">
        <f>SUM('[2]ведомствен.'!G726)</f>
        <v>30882.9</v>
      </c>
    </row>
    <row r="740" spans="1:9" ht="14.25" customHeight="1">
      <c r="A740" s="132" t="s">
        <v>973</v>
      </c>
      <c r="B740" s="27"/>
      <c r="C740" s="67" t="s">
        <v>972</v>
      </c>
      <c r="D740" s="67" t="s">
        <v>950</v>
      </c>
      <c r="E740" s="67"/>
      <c r="F740" s="34"/>
      <c r="G740" s="50">
        <f>SUM(G744+G749+G825+G829+G838+G741+G832)</f>
        <v>617323.9</v>
      </c>
      <c r="H740" s="50">
        <f>SUM(H749+H825+H829+H838+H741)</f>
        <v>451342.99999999994</v>
      </c>
      <c r="I740" s="30">
        <f t="shared" si="18"/>
        <v>73.11283428359083</v>
      </c>
    </row>
    <row r="741" spans="1:9" ht="14.25" customHeight="1">
      <c r="A741" s="131" t="s">
        <v>94</v>
      </c>
      <c r="B741" s="27"/>
      <c r="C741" s="67" t="s">
        <v>972</v>
      </c>
      <c r="D741" s="67" t="s">
        <v>950</v>
      </c>
      <c r="E741" s="28" t="s">
        <v>95</v>
      </c>
      <c r="F741" s="29"/>
      <c r="G741" s="30">
        <f>SUM(G743)</f>
        <v>380</v>
      </c>
      <c r="H741" s="30">
        <f>SUM(H743)</f>
        <v>200</v>
      </c>
      <c r="I741" s="30">
        <f t="shared" si="18"/>
        <v>52.63157894736842</v>
      </c>
    </row>
    <row r="742" spans="1:9" ht="14.25" customHeight="1">
      <c r="A742" s="131" t="s">
        <v>96</v>
      </c>
      <c r="B742" s="27"/>
      <c r="C742" s="67" t="s">
        <v>972</v>
      </c>
      <c r="D742" s="67" t="s">
        <v>950</v>
      </c>
      <c r="E742" s="28" t="s">
        <v>97</v>
      </c>
      <c r="F742" s="29"/>
      <c r="G742" s="30">
        <f>SUM(G743)</f>
        <v>380</v>
      </c>
      <c r="H742" s="30">
        <f>SUM(H743)</f>
        <v>200</v>
      </c>
      <c r="I742" s="30">
        <f t="shared" si="18"/>
        <v>52.63157894736842</v>
      </c>
    </row>
    <row r="743" spans="1:10" ht="13.5" customHeight="1">
      <c r="A743" s="131" t="s">
        <v>978</v>
      </c>
      <c r="B743" s="27"/>
      <c r="C743" s="67" t="s">
        <v>972</v>
      </c>
      <c r="D743" s="67" t="s">
        <v>950</v>
      </c>
      <c r="E743" s="28" t="s">
        <v>97</v>
      </c>
      <c r="F743" s="29" t="s">
        <v>979</v>
      </c>
      <c r="G743" s="30">
        <v>380</v>
      </c>
      <c r="H743" s="30">
        <v>200</v>
      </c>
      <c r="I743" s="30">
        <f t="shared" si="18"/>
        <v>52.63157894736842</v>
      </c>
      <c r="J743" s="65">
        <f>SUM('[2]ведомствен.'!G730)</f>
        <v>380</v>
      </c>
    </row>
    <row r="744" spans="1:9" ht="31.5" customHeight="1">
      <c r="A744" s="44" t="s">
        <v>589</v>
      </c>
      <c r="B744" s="27"/>
      <c r="C744" s="67" t="s">
        <v>972</v>
      </c>
      <c r="D744" s="67" t="s">
        <v>950</v>
      </c>
      <c r="E744" s="67" t="s">
        <v>590</v>
      </c>
      <c r="F744" s="34"/>
      <c r="G744" s="50">
        <f>SUM(G745)+G748</f>
        <v>4897</v>
      </c>
      <c r="H744" s="30">
        <f>SUM(H745)</f>
        <v>0</v>
      </c>
      <c r="I744" s="30">
        <f>SUM(H744/G744*100)</f>
        <v>0</v>
      </c>
    </row>
    <row r="745" spans="1:9" ht="28.5" customHeight="1">
      <c r="A745" s="44" t="s">
        <v>591</v>
      </c>
      <c r="B745" s="27"/>
      <c r="C745" s="67" t="s">
        <v>972</v>
      </c>
      <c r="D745" s="67" t="s">
        <v>950</v>
      </c>
      <c r="E745" s="67" t="s">
        <v>592</v>
      </c>
      <c r="F745" s="34"/>
      <c r="G745" s="50">
        <f>SUM(G746)</f>
        <v>1425.6</v>
      </c>
      <c r="H745" s="30">
        <f>SUM(H746)</f>
        <v>0</v>
      </c>
      <c r="I745" s="30">
        <f>SUM(H745/G745*100)</f>
        <v>0</v>
      </c>
    </row>
    <row r="746" spans="1:10" ht="23.25" customHeight="1">
      <c r="A746" s="26" t="s">
        <v>978</v>
      </c>
      <c r="B746" s="70"/>
      <c r="C746" s="67" t="s">
        <v>972</v>
      </c>
      <c r="D746" s="67" t="s">
        <v>950</v>
      </c>
      <c r="E746" s="67" t="s">
        <v>592</v>
      </c>
      <c r="F746" s="34" t="s">
        <v>979</v>
      </c>
      <c r="G746" s="50">
        <v>1425.6</v>
      </c>
      <c r="H746" s="30"/>
      <c r="I746" s="30">
        <f>SUM(H746/G746*100)</f>
        <v>0</v>
      </c>
      <c r="J746" s="65">
        <f>SUM('[2]ведомствен.'!G906)</f>
        <v>1425.6</v>
      </c>
    </row>
    <row r="747" spans="1:9" s="4" customFormat="1" ht="27" customHeight="1">
      <c r="A747" s="26" t="s">
        <v>409</v>
      </c>
      <c r="B747" s="70"/>
      <c r="C747" s="67" t="s">
        <v>972</v>
      </c>
      <c r="D747" s="67" t="s">
        <v>950</v>
      </c>
      <c r="E747" s="67" t="s">
        <v>593</v>
      </c>
      <c r="F747" s="34"/>
      <c r="G747" s="50">
        <f>SUM(G748)</f>
        <v>3471.4</v>
      </c>
      <c r="H747" s="50"/>
      <c r="I747" s="50"/>
    </row>
    <row r="748" spans="1:10" s="4" customFormat="1" ht="17.25" customHeight="1">
      <c r="A748" s="92" t="s">
        <v>411</v>
      </c>
      <c r="B748" s="70"/>
      <c r="C748" s="67" t="s">
        <v>972</v>
      </c>
      <c r="D748" s="67" t="s">
        <v>950</v>
      </c>
      <c r="E748" s="67" t="s">
        <v>593</v>
      </c>
      <c r="F748" s="34" t="s">
        <v>412</v>
      </c>
      <c r="G748" s="50">
        <v>3471.4</v>
      </c>
      <c r="H748" s="50"/>
      <c r="I748" s="50"/>
      <c r="J748" s="4">
        <f>SUM('[2]ведомствен.'!G908)</f>
        <v>3471.4</v>
      </c>
    </row>
    <row r="749" spans="1:9" ht="18" customHeight="1">
      <c r="A749" s="131" t="s">
        <v>974</v>
      </c>
      <c r="B749" s="27"/>
      <c r="C749" s="28" t="s">
        <v>972</v>
      </c>
      <c r="D749" s="28" t="s">
        <v>950</v>
      </c>
      <c r="E749" s="28" t="s">
        <v>975</v>
      </c>
      <c r="F749" s="29"/>
      <c r="G749" s="30">
        <f>SUM(G750+G752+G754+G764+G766+G782+G786+G791+G794+G796+G817)+G823+G768+G770+G776+G778+G784+G789+G763+G774+G772+G780+G759+G761+G756+G821</f>
        <v>588556.7000000001</v>
      </c>
      <c r="H749" s="30">
        <f>SUM(H750+H752+H754+H764+H766+H782+H786+H791+H794+H796+H817)+H823+H768+H770+H776+H778+H784+H789+H763+H774+H772+H780+H759+H761+H756</f>
        <v>446896.3</v>
      </c>
      <c r="I749" s="30">
        <f t="shared" si="18"/>
        <v>75.93088312476944</v>
      </c>
    </row>
    <row r="750" spans="1:9" ht="55.5" customHeight="1" hidden="1">
      <c r="A750" s="142" t="s">
        <v>471</v>
      </c>
      <c r="B750" s="27"/>
      <c r="C750" s="28" t="s">
        <v>972</v>
      </c>
      <c r="D750" s="28" t="s">
        <v>950</v>
      </c>
      <c r="E750" s="28" t="s">
        <v>472</v>
      </c>
      <c r="F750" s="29"/>
      <c r="G750" s="30">
        <f>SUM(G751:G751)</f>
        <v>0</v>
      </c>
      <c r="H750" s="30">
        <f>SUM(H751:H751)</f>
        <v>0</v>
      </c>
      <c r="I750" s="30" t="e">
        <f t="shared" si="18"/>
        <v>#DIV/0!</v>
      </c>
    </row>
    <row r="751" spans="1:9" ht="20.25" customHeight="1" hidden="1">
      <c r="A751" s="131" t="s">
        <v>978</v>
      </c>
      <c r="B751" s="27"/>
      <c r="C751" s="28" t="s">
        <v>972</v>
      </c>
      <c r="D751" s="28" t="s">
        <v>950</v>
      </c>
      <c r="E751" s="28" t="s">
        <v>472</v>
      </c>
      <c r="F751" s="29" t="s">
        <v>979</v>
      </c>
      <c r="G751" s="30"/>
      <c r="H751" s="30"/>
      <c r="I751" s="30" t="e">
        <f t="shared" si="18"/>
        <v>#DIV/0!</v>
      </c>
    </row>
    <row r="752" spans="1:9" ht="42.75" customHeight="1" hidden="1">
      <c r="A752" s="131" t="s">
        <v>473</v>
      </c>
      <c r="B752" s="27"/>
      <c r="C752" s="28" t="s">
        <v>972</v>
      </c>
      <c r="D752" s="28" t="s">
        <v>950</v>
      </c>
      <c r="E752" s="28" t="s">
        <v>474</v>
      </c>
      <c r="F752" s="29"/>
      <c r="G752" s="30">
        <f>SUM(G753:G753)</f>
        <v>0</v>
      </c>
      <c r="H752" s="30">
        <f>SUM(H753:H753)</f>
        <v>0</v>
      </c>
      <c r="I752" s="30" t="e">
        <f t="shared" si="18"/>
        <v>#DIV/0!</v>
      </c>
    </row>
    <row r="753" spans="1:9" ht="15" customHeight="1" hidden="1">
      <c r="A753" s="131" t="s">
        <v>978</v>
      </c>
      <c r="B753" s="27"/>
      <c r="C753" s="28" t="s">
        <v>972</v>
      </c>
      <c r="D753" s="28" t="s">
        <v>950</v>
      </c>
      <c r="E753" s="28" t="s">
        <v>474</v>
      </c>
      <c r="F753" s="29" t="s">
        <v>979</v>
      </c>
      <c r="G753" s="30"/>
      <c r="H753" s="30"/>
      <c r="I753" s="30" t="e">
        <f t="shared" si="18"/>
        <v>#DIV/0!</v>
      </c>
    </row>
    <row r="754" spans="1:9" ht="42.75" customHeight="1" hidden="1">
      <c r="A754" s="131" t="s">
        <v>483</v>
      </c>
      <c r="B754" s="32"/>
      <c r="C754" s="28" t="s">
        <v>972</v>
      </c>
      <c r="D754" s="28" t="s">
        <v>950</v>
      </c>
      <c r="E754" s="28" t="s">
        <v>484</v>
      </c>
      <c r="F754" s="29"/>
      <c r="G754" s="30">
        <f>SUM(G755)</f>
        <v>0</v>
      </c>
      <c r="H754" s="30">
        <f>SUM(H755)</f>
        <v>0</v>
      </c>
      <c r="I754" s="30" t="e">
        <f t="shared" si="18"/>
        <v>#DIV/0!</v>
      </c>
    </row>
    <row r="755" spans="1:9" ht="23.25" customHeight="1" hidden="1">
      <c r="A755" s="131" t="s">
        <v>978</v>
      </c>
      <c r="B755" s="32"/>
      <c r="C755" s="28" t="s">
        <v>972</v>
      </c>
      <c r="D755" s="28" t="s">
        <v>950</v>
      </c>
      <c r="E755" s="28" t="s">
        <v>484</v>
      </c>
      <c r="F755" s="29" t="s">
        <v>979</v>
      </c>
      <c r="G755" s="30"/>
      <c r="H755" s="30"/>
      <c r="I755" s="30" t="e">
        <f t="shared" si="18"/>
        <v>#DIV/0!</v>
      </c>
    </row>
    <row r="756" spans="1:9" ht="60" customHeight="1" hidden="1">
      <c r="A756" s="26" t="s">
        <v>976</v>
      </c>
      <c r="B756" s="32"/>
      <c r="C756" s="28" t="s">
        <v>972</v>
      </c>
      <c r="D756" s="28" t="s">
        <v>950</v>
      </c>
      <c r="E756" s="28" t="s">
        <v>977</v>
      </c>
      <c r="F756" s="29"/>
      <c r="G756" s="30">
        <f>SUM(G757)</f>
        <v>0</v>
      </c>
      <c r="H756" s="30">
        <f>SUM(H757)</f>
        <v>361.8</v>
      </c>
      <c r="I756" s="30" t="e">
        <f t="shared" si="18"/>
        <v>#DIV/0!</v>
      </c>
    </row>
    <row r="757" spans="1:10" ht="19.5" customHeight="1" hidden="1">
      <c r="A757" s="131" t="s">
        <v>978</v>
      </c>
      <c r="B757" s="32"/>
      <c r="C757" s="28" t="s">
        <v>972</v>
      </c>
      <c r="D757" s="28" t="s">
        <v>950</v>
      </c>
      <c r="E757" s="28" t="s">
        <v>977</v>
      </c>
      <c r="F757" s="29" t="s">
        <v>979</v>
      </c>
      <c r="G757" s="30"/>
      <c r="H757" s="30">
        <v>361.8</v>
      </c>
      <c r="I757" s="30" t="e">
        <f t="shared" si="18"/>
        <v>#DIV/0!</v>
      </c>
      <c r="J757" s="65">
        <f>SUM('[2]ведомствен.'!G36)</f>
        <v>0</v>
      </c>
    </row>
    <row r="758" spans="1:9" ht="36" customHeight="1" hidden="1">
      <c r="A758" s="26" t="s">
        <v>976</v>
      </c>
      <c r="B758" s="32"/>
      <c r="C758" s="28" t="s">
        <v>972</v>
      </c>
      <c r="D758" s="28" t="s">
        <v>950</v>
      </c>
      <c r="E758" s="28" t="s">
        <v>977</v>
      </c>
      <c r="F758" s="29"/>
      <c r="G758" s="30"/>
      <c r="H758" s="30"/>
      <c r="I758" s="30" t="e">
        <f t="shared" si="18"/>
        <v>#DIV/0!</v>
      </c>
    </row>
    <row r="759" spans="1:9" ht="104.25" customHeight="1">
      <c r="A759" s="131" t="s">
        <v>840</v>
      </c>
      <c r="B759" s="32"/>
      <c r="C759" s="28" t="s">
        <v>972</v>
      </c>
      <c r="D759" s="28" t="s">
        <v>950</v>
      </c>
      <c r="E759" s="28" t="s">
        <v>485</v>
      </c>
      <c r="F759" s="29"/>
      <c r="G759" s="30">
        <f>SUM(G760)</f>
        <v>856.3000000000001</v>
      </c>
      <c r="H759" s="30">
        <f>SUM(H760)</f>
        <v>634.3</v>
      </c>
      <c r="I759" s="30">
        <f t="shared" si="18"/>
        <v>74.07450659815484</v>
      </c>
    </row>
    <row r="760" spans="1:10" ht="16.5" customHeight="1">
      <c r="A760" s="131" t="s">
        <v>978</v>
      </c>
      <c r="B760" s="32"/>
      <c r="C760" s="28" t="s">
        <v>972</v>
      </c>
      <c r="D760" s="28" t="s">
        <v>950</v>
      </c>
      <c r="E760" s="28" t="s">
        <v>485</v>
      </c>
      <c r="F760" s="29" t="s">
        <v>979</v>
      </c>
      <c r="G760" s="30">
        <f>1320.2-463.9</f>
        <v>856.3000000000001</v>
      </c>
      <c r="H760" s="30">
        <v>634.3</v>
      </c>
      <c r="I760" s="30">
        <f t="shared" si="18"/>
        <v>74.07450659815484</v>
      </c>
      <c r="J760" s="65">
        <f>SUM('[2]ведомствен.'!G739)</f>
        <v>1320.2</v>
      </c>
    </row>
    <row r="761" spans="1:9" ht="60" customHeight="1">
      <c r="A761" s="131" t="s">
        <v>486</v>
      </c>
      <c r="B761" s="32"/>
      <c r="C761" s="28" t="s">
        <v>972</v>
      </c>
      <c r="D761" s="28" t="s">
        <v>950</v>
      </c>
      <c r="E761" s="28" t="s">
        <v>487</v>
      </c>
      <c r="F761" s="29"/>
      <c r="G761" s="30">
        <f>SUM(G762)</f>
        <v>420.4</v>
      </c>
      <c r="H761" s="30">
        <f>SUM(H762)</f>
        <v>542.8</v>
      </c>
      <c r="I761" s="30">
        <f t="shared" si="18"/>
        <v>129.1151284490961</v>
      </c>
    </row>
    <row r="762" spans="1:10" ht="22.5" customHeight="1">
      <c r="A762" s="131" t="s">
        <v>978</v>
      </c>
      <c r="B762" s="32"/>
      <c r="C762" s="28" t="s">
        <v>972</v>
      </c>
      <c r="D762" s="28" t="s">
        <v>950</v>
      </c>
      <c r="E762" s="28" t="s">
        <v>487</v>
      </c>
      <c r="F762" s="29" t="s">
        <v>979</v>
      </c>
      <c r="G762" s="30">
        <v>420.4</v>
      </c>
      <c r="H762" s="30">
        <v>542.8</v>
      </c>
      <c r="I762" s="30">
        <f t="shared" si="18"/>
        <v>129.1151284490961</v>
      </c>
      <c r="J762" s="65">
        <f>SUM('[2]ведомствен.'!G741)</f>
        <v>420.4</v>
      </c>
    </row>
    <row r="763" spans="1:9" ht="21" customHeight="1" hidden="1">
      <c r="A763" s="131" t="s">
        <v>978</v>
      </c>
      <c r="B763" s="33"/>
      <c r="C763" s="28" t="s">
        <v>972</v>
      </c>
      <c r="D763" s="28" t="s">
        <v>950</v>
      </c>
      <c r="E763" s="28" t="s">
        <v>977</v>
      </c>
      <c r="F763" s="34" t="s">
        <v>979</v>
      </c>
      <c r="G763" s="30"/>
      <c r="H763" s="30"/>
      <c r="I763" s="30" t="e">
        <f t="shared" si="18"/>
        <v>#DIV/0!</v>
      </c>
    </row>
    <row r="764" spans="1:9" ht="71.25">
      <c r="A764" s="135" t="s">
        <v>488</v>
      </c>
      <c r="B764" s="27"/>
      <c r="C764" s="28" t="s">
        <v>972</v>
      </c>
      <c r="D764" s="28" t="s">
        <v>950</v>
      </c>
      <c r="E764" s="28" t="s">
        <v>489</v>
      </c>
      <c r="F764" s="29"/>
      <c r="G764" s="30">
        <f>SUM(G765)</f>
        <v>1807</v>
      </c>
      <c r="H764" s="30">
        <f>SUM(H765)</f>
        <v>1313.1</v>
      </c>
      <c r="I764" s="30">
        <f t="shared" si="18"/>
        <v>72.66740453790813</v>
      </c>
    </row>
    <row r="765" spans="1:10" ht="15">
      <c r="A765" s="131" t="s">
        <v>978</v>
      </c>
      <c r="B765" s="27"/>
      <c r="C765" s="28" t="s">
        <v>972</v>
      </c>
      <c r="D765" s="28" t="s">
        <v>950</v>
      </c>
      <c r="E765" s="28" t="s">
        <v>489</v>
      </c>
      <c r="F765" s="29" t="s">
        <v>979</v>
      </c>
      <c r="G765" s="30">
        <v>1807</v>
      </c>
      <c r="H765" s="30">
        <v>1313.1</v>
      </c>
      <c r="I765" s="30">
        <f t="shared" si="18"/>
        <v>72.66740453790813</v>
      </c>
      <c r="J765" s="65">
        <f>SUM('[2]ведомствен.'!G743)</f>
        <v>1807</v>
      </c>
    </row>
    <row r="766" spans="1:9" ht="42.75">
      <c r="A766" s="142" t="s">
        <v>490</v>
      </c>
      <c r="B766" s="27"/>
      <c r="C766" s="28" t="s">
        <v>972</v>
      </c>
      <c r="D766" s="28" t="s">
        <v>950</v>
      </c>
      <c r="E766" s="28" t="s">
        <v>491</v>
      </c>
      <c r="F766" s="29"/>
      <c r="G766" s="30">
        <f>SUM(G767)</f>
        <v>9165.8</v>
      </c>
      <c r="H766" s="30">
        <f>SUM(H767)</f>
        <v>6301</v>
      </c>
      <c r="I766" s="30">
        <f t="shared" si="18"/>
        <v>68.74468131532436</v>
      </c>
    </row>
    <row r="767" spans="1:10" ht="15">
      <c r="A767" s="131" t="s">
        <v>978</v>
      </c>
      <c r="B767" s="27"/>
      <c r="C767" s="28" t="s">
        <v>972</v>
      </c>
      <c r="D767" s="28" t="s">
        <v>950</v>
      </c>
      <c r="E767" s="28" t="s">
        <v>491</v>
      </c>
      <c r="F767" s="29" t="s">
        <v>979</v>
      </c>
      <c r="G767" s="30">
        <v>9165.8</v>
      </c>
      <c r="H767" s="30">
        <v>6301</v>
      </c>
      <c r="I767" s="30">
        <f t="shared" si="18"/>
        <v>68.74468131532436</v>
      </c>
      <c r="J767" s="65">
        <f>SUM('[2]ведомствен.'!G745)</f>
        <v>9165.8</v>
      </c>
    </row>
    <row r="768" spans="1:9" ht="57" customHeight="1">
      <c r="A768" s="131" t="s">
        <v>896</v>
      </c>
      <c r="B768" s="27"/>
      <c r="C768" s="28" t="s">
        <v>972</v>
      </c>
      <c r="D768" s="28" t="s">
        <v>950</v>
      </c>
      <c r="E768" s="28" t="s">
        <v>493</v>
      </c>
      <c r="F768" s="29"/>
      <c r="G768" s="30">
        <f>SUM(G769)</f>
        <v>27124.6</v>
      </c>
      <c r="H768" s="30">
        <f>SUM(H769)</f>
        <v>18786.9</v>
      </c>
      <c r="I768" s="30">
        <f t="shared" si="18"/>
        <v>69.26148219697251</v>
      </c>
    </row>
    <row r="769" spans="1:10" ht="18.75" customHeight="1">
      <c r="A769" s="131" t="s">
        <v>978</v>
      </c>
      <c r="B769" s="27"/>
      <c r="C769" s="28" t="s">
        <v>972</v>
      </c>
      <c r="D769" s="28" t="s">
        <v>950</v>
      </c>
      <c r="E769" s="28" t="s">
        <v>493</v>
      </c>
      <c r="F769" s="29" t="s">
        <v>979</v>
      </c>
      <c r="G769" s="30">
        <f>27724.6-600</f>
        <v>27124.6</v>
      </c>
      <c r="H769" s="30">
        <v>18786.9</v>
      </c>
      <c r="I769" s="30">
        <f t="shared" si="18"/>
        <v>69.26148219697251</v>
      </c>
      <c r="J769" s="65">
        <f>SUM('[2]ведомствен.'!G747)</f>
        <v>27724.6</v>
      </c>
    </row>
    <row r="770" spans="1:9" ht="72" customHeight="1">
      <c r="A770" s="131" t="s">
        <v>494</v>
      </c>
      <c r="B770" s="27"/>
      <c r="C770" s="28" t="s">
        <v>972</v>
      </c>
      <c r="D770" s="28" t="s">
        <v>950</v>
      </c>
      <c r="E770" s="28" t="s">
        <v>495</v>
      </c>
      <c r="F770" s="29"/>
      <c r="G770" s="30">
        <f>SUM(G771)</f>
        <v>8325.5</v>
      </c>
      <c r="H770" s="30">
        <f>SUM(H771)</f>
        <v>15760.4</v>
      </c>
      <c r="I770" s="30">
        <f t="shared" si="18"/>
        <v>189.3027445799051</v>
      </c>
    </row>
    <row r="771" spans="1:10" ht="20.25" customHeight="1">
      <c r="A771" s="131" t="s">
        <v>978</v>
      </c>
      <c r="B771" s="27"/>
      <c r="C771" s="28" t="s">
        <v>972</v>
      </c>
      <c r="D771" s="28" t="s">
        <v>950</v>
      </c>
      <c r="E771" s="28" t="s">
        <v>495</v>
      </c>
      <c r="F771" s="29" t="s">
        <v>979</v>
      </c>
      <c r="G771" s="30">
        <f>7525.5+800</f>
        <v>8325.5</v>
      </c>
      <c r="H771" s="30">
        <v>15760.4</v>
      </c>
      <c r="I771" s="30">
        <f t="shared" si="18"/>
        <v>189.3027445799051</v>
      </c>
      <c r="J771" s="65">
        <f>SUM('[2]ведомствен.'!G749)</f>
        <v>7525.5</v>
      </c>
    </row>
    <row r="772" spans="1:10" s="64" customFormat="1" ht="71.25" customHeight="1">
      <c r="A772" s="131" t="s">
        <v>496</v>
      </c>
      <c r="B772" s="27"/>
      <c r="C772" s="28" t="s">
        <v>972</v>
      </c>
      <c r="D772" s="28" t="s">
        <v>950</v>
      </c>
      <c r="E772" s="28" t="s">
        <v>497</v>
      </c>
      <c r="F772" s="29"/>
      <c r="G772" s="30">
        <f>SUM(G773)</f>
        <v>73261.4</v>
      </c>
      <c r="H772" s="30">
        <f>SUM(H773)</f>
        <v>40636.1</v>
      </c>
      <c r="I772" s="30">
        <f t="shared" si="18"/>
        <v>55.4672719877043</v>
      </c>
      <c r="J772" s="150"/>
    </row>
    <row r="773" spans="1:10" s="64" customFormat="1" ht="21.75" customHeight="1">
      <c r="A773" s="131" t="s">
        <v>978</v>
      </c>
      <c r="B773" s="27"/>
      <c r="C773" s="28" t="s">
        <v>972</v>
      </c>
      <c r="D773" s="28" t="s">
        <v>950</v>
      </c>
      <c r="E773" s="28" t="s">
        <v>497</v>
      </c>
      <c r="F773" s="29" t="s">
        <v>979</v>
      </c>
      <c r="G773" s="30">
        <f>90225.2-18802.7+1838.9</f>
        <v>73261.4</v>
      </c>
      <c r="H773" s="30">
        <v>40636.1</v>
      </c>
      <c r="I773" s="30">
        <f t="shared" si="18"/>
        <v>55.4672719877043</v>
      </c>
      <c r="J773" s="65">
        <f>SUM('[2]ведомствен.'!G751)</f>
        <v>90225.2</v>
      </c>
    </row>
    <row r="774" spans="1:9" ht="44.25" customHeight="1">
      <c r="A774" s="131" t="s">
        <v>498</v>
      </c>
      <c r="B774" s="27"/>
      <c r="C774" s="28" t="s">
        <v>972</v>
      </c>
      <c r="D774" s="28" t="s">
        <v>950</v>
      </c>
      <c r="E774" s="28" t="s">
        <v>499</v>
      </c>
      <c r="F774" s="29"/>
      <c r="G774" s="30">
        <f>SUM(G775)</f>
        <v>3145.6</v>
      </c>
      <c r="H774" s="30">
        <f>SUM(H775)</f>
        <v>191.3</v>
      </c>
      <c r="I774" s="30">
        <f t="shared" si="18"/>
        <v>6.081510681586979</v>
      </c>
    </row>
    <row r="775" spans="1:10" ht="20.25" customHeight="1">
      <c r="A775" s="131" t="s">
        <v>978</v>
      </c>
      <c r="B775" s="27"/>
      <c r="C775" s="28" t="s">
        <v>972</v>
      </c>
      <c r="D775" s="28" t="s">
        <v>950</v>
      </c>
      <c r="E775" s="28" t="s">
        <v>499</v>
      </c>
      <c r="F775" s="29" t="s">
        <v>979</v>
      </c>
      <c r="G775" s="30">
        <f>3883.1-737.5</f>
        <v>3145.6</v>
      </c>
      <c r="H775" s="30">
        <v>191.3</v>
      </c>
      <c r="I775" s="30">
        <f t="shared" si="18"/>
        <v>6.081510681586979</v>
      </c>
      <c r="J775" s="65">
        <f>SUM('[2]ведомствен.'!G753)</f>
        <v>3883.1</v>
      </c>
    </row>
    <row r="776" spans="1:9" ht="60.75" customHeight="1">
      <c r="A776" s="131" t="s">
        <v>500</v>
      </c>
      <c r="B776" s="27"/>
      <c r="C776" s="28" t="s">
        <v>972</v>
      </c>
      <c r="D776" s="28" t="s">
        <v>950</v>
      </c>
      <c r="E776" s="28" t="s">
        <v>501</v>
      </c>
      <c r="F776" s="29"/>
      <c r="G776" s="30">
        <f>SUM(G777)</f>
        <v>5567.200000000001</v>
      </c>
      <c r="H776" s="30">
        <f>SUM(H777)</f>
        <v>4180.7</v>
      </c>
      <c r="I776" s="30">
        <f t="shared" si="18"/>
        <v>75.09520045983618</v>
      </c>
    </row>
    <row r="777" spans="1:10" ht="17.25" customHeight="1">
      <c r="A777" s="131" t="s">
        <v>978</v>
      </c>
      <c r="B777" s="27"/>
      <c r="C777" s="28" t="s">
        <v>972</v>
      </c>
      <c r="D777" s="28" t="s">
        <v>950</v>
      </c>
      <c r="E777" s="28" t="s">
        <v>501</v>
      </c>
      <c r="F777" s="29" t="s">
        <v>979</v>
      </c>
      <c r="G777" s="30">
        <f>8567.2-3000</f>
        <v>5567.200000000001</v>
      </c>
      <c r="H777" s="30">
        <v>4180.7</v>
      </c>
      <c r="I777" s="30">
        <f t="shared" si="18"/>
        <v>75.09520045983618</v>
      </c>
      <c r="J777" s="65">
        <f>SUM('[2]ведомствен.'!G755)</f>
        <v>8567.2</v>
      </c>
    </row>
    <row r="778" spans="1:9" ht="44.25" customHeight="1" hidden="1">
      <c r="A778" s="131" t="s">
        <v>473</v>
      </c>
      <c r="B778" s="27"/>
      <c r="C778" s="28" t="s">
        <v>972</v>
      </c>
      <c r="D778" s="28" t="s">
        <v>950</v>
      </c>
      <c r="E778" s="28" t="s">
        <v>502</v>
      </c>
      <c r="F778" s="29"/>
      <c r="G778" s="30">
        <f>SUM(G779)</f>
        <v>0</v>
      </c>
      <c r="H778" s="30">
        <f>SUM(H779)</f>
        <v>0</v>
      </c>
      <c r="I778" s="30" t="e">
        <f t="shared" si="18"/>
        <v>#DIV/0!</v>
      </c>
    </row>
    <row r="779" spans="1:9" ht="15" hidden="1">
      <c r="A779" s="131" t="s">
        <v>978</v>
      </c>
      <c r="B779" s="27"/>
      <c r="C779" s="28" t="s">
        <v>972</v>
      </c>
      <c r="D779" s="28" t="s">
        <v>950</v>
      </c>
      <c r="E779" s="28" t="s">
        <v>502</v>
      </c>
      <c r="F779" s="29" t="s">
        <v>979</v>
      </c>
      <c r="G779" s="30"/>
      <c r="H779" s="30"/>
      <c r="I779" s="30" t="e">
        <f aca="true" t="shared" si="20" ref="I779:I841">SUM(H779/G779*100)</f>
        <v>#DIV/0!</v>
      </c>
    </row>
    <row r="780" spans="1:10" s="64" customFormat="1" ht="109.5" customHeight="1" hidden="1">
      <c r="A780" s="131" t="s">
        <v>841</v>
      </c>
      <c r="B780" s="27"/>
      <c r="C780" s="28" t="s">
        <v>972</v>
      </c>
      <c r="D780" s="28" t="s">
        <v>950</v>
      </c>
      <c r="E780" s="28" t="s">
        <v>503</v>
      </c>
      <c r="F780" s="29"/>
      <c r="G780" s="30">
        <f>SUM(G781)</f>
        <v>0</v>
      </c>
      <c r="H780" s="30">
        <f>SUM(H781)</f>
        <v>0</v>
      </c>
      <c r="I780" s="30" t="e">
        <f t="shared" si="20"/>
        <v>#DIV/0!</v>
      </c>
      <c r="J780" s="150"/>
    </row>
    <row r="781" spans="1:10" s="64" customFormat="1" ht="19.5" customHeight="1" hidden="1">
      <c r="A781" s="131" t="s">
        <v>978</v>
      </c>
      <c r="B781" s="27"/>
      <c r="C781" s="28" t="s">
        <v>972</v>
      </c>
      <c r="D781" s="28" t="s">
        <v>950</v>
      </c>
      <c r="E781" s="28" t="s">
        <v>503</v>
      </c>
      <c r="F781" s="29" t="s">
        <v>979</v>
      </c>
      <c r="G781" s="30"/>
      <c r="H781" s="30"/>
      <c r="I781" s="30" t="e">
        <f t="shared" si="20"/>
        <v>#DIV/0!</v>
      </c>
      <c r="J781" s="150"/>
    </row>
    <row r="782" spans="1:9" ht="15">
      <c r="A782" s="142" t="s">
        <v>415</v>
      </c>
      <c r="B782" s="27"/>
      <c r="C782" s="28" t="s">
        <v>972</v>
      </c>
      <c r="D782" s="28" t="s">
        <v>950</v>
      </c>
      <c r="E782" s="28" t="s">
        <v>416</v>
      </c>
      <c r="F782" s="29"/>
      <c r="G782" s="30">
        <f>SUM(G783)</f>
        <v>32092.399999999998</v>
      </c>
      <c r="H782" s="30">
        <f>SUM(H783)</f>
        <v>16724.6</v>
      </c>
      <c r="I782" s="30">
        <f t="shared" si="20"/>
        <v>52.11389612493924</v>
      </c>
    </row>
    <row r="783" spans="1:10" ht="15">
      <c r="A783" s="131" t="s">
        <v>978</v>
      </c>
      <c r="B783" s="27"/>
      <c r="C783" s="28" t="s">
        <v>972</v>
      </c>
      <c r="D783" s="28" t="s">
        <v>950</v>
      </c>
      <c r="E783" s="28" t="s">
        <v>416</v>
      </c>
      <c r="F783" s="29" t="s">
        <v>979</v>
      </c>
      <c r="G783" s="30">
        <f>31939.8+100+52.6</f>
        <v>32092.399999999998</v>
      </c>
      <c r="H783" s="30">
        <v>16724.6</v>
      </c>
      <c r="I783" s="30">
        <f t="shared" si="20"/>
        <v>52.11389612493924</v>
      </c>
      <c r="J783" s="65">
        <f>SUM('[2]ведомствен.'!G761)</f>
        <v>32039.8</v>
      </c>
    </row>
    <row r="784" spans="1:9" ht="33" customHeight="1">
      <c r="A784" s="131" t="s">
        <v>504</v>
      </c>
      <c r="B784" s="27"/>
      <c r="C784" s="28" t="s">
        <v>972</v>
      </c>
      <c r="D784" s="28" t="s">
        <v>950</v>
      </c>
      <c r="E784" s="28" t="s">
        <v>505</v>
      </c>
      <c r="F784" s="29"/>
      <c r="G784" s="30">
        <f>SUM(G785)</f>
        <v>5513.7</v>
      </c>
      <c r="H784" s="30">
        <f>SUM(H785)</f>
        <v>4118.3</v>
      </c>
      <c r="I784" s="30">
        <f t="shared" si="20"/>
        <v>74.69213051127193</v>
      </c>
    </row>
    <row r="785" spans="1:10" ht="15">
      <c r="A785" s="131" t="s">
        <v>978</v>
      </c>
      <c r="B785" s="27"/>
      <c r="C785" s="28" t="s">
        <v>972</v>
      </c>
      <c r="D785" s="28" t="s">
        <v>950</v>
      </c>
      <c r="E785" s="28" t="s">
        <v>505</v>
      </c>
      <c r="F785" s="29" t="s">
        <v>979</v>
      </c>
      <c r="G785" s="30">
        <f>5789.7-276</f>
        <v>5513.7</v>
      </c>
      <c r="H785" s="30">
        <v>4118.3</v>
      </c>
      <c r="I785" s="30">
        <f t="shared" si="20"/>
        <v>74.69213051127193</v>
      </c>
      <c r="J785" s="65">
        <f>SUM('[2]ведомствен.'!G763)</f>
        <v>5789.7</v>
      </c>
    </row>
    <row r="786" spans="1:9" ht="57" hidden="1">
      <c r="A786" s="131" t="s">
        <v>897</v>
      </c>
      <c r="B786" s="27"/>
      <c r="C786" s="28" t="s">
        <v>972</v>
      </c>
      <c r="D786" s="28" t="s">
        <v>950</v>
      </c>
      <c r="E786" s="28" t="s">
        <v>418</v>
      </c>
      <c r="F786" s="29"/>
      <c r="G786" s="30">
        <f>SUM(G787)</f>
        <v>0</v>
      </c>
      <c r="H786" s="30">
        <f>SUM(H787)</f>
        <v>5628.5</v>
      </c>
      <c r="I786" s="30" t="e">
        <f t="shared" si="20"/>
        <v>#DIV/0!</v>
      </c>
    </row>
    <row r="787" spans="1:9" ht="57" hidden="1">
      <c r="A787" s="135" t="s">
        <v>419</v>
      </c>
      <c r="B787" s="27"/>
      <c r="C787" s="28" t="s">
        <v>972</v>
      </c>
      <c r="D787" s="28" t="s">
        <v>950</v>
      </c>
      <c r="E787" s="28" t="s">
        <v>420</v>
      </c>
      <c r="F787" s="29"/>
      <c r="G787" s="30">
        <f>SUM(G788)</f>
        <v>0</v>
      </c>
      <c r="H787" s="30">
        <f>SUM(H788)</f>
        <v>5628.5</v>
      </c>
      <c r="I787" s="30" t="e">
        <f t="shared" si="20"/>
        <v>#DIV/0!</v>
      </c>
    </row>
    <row r="788" spans="1:9" ht="15" hidden="1">
      <c r="A788" s="131" t="s">
        <v>978</v>
      </c>
      <c r="B788" s="33"/>
      <c r="C788" s="28" t="s">
        <v>972</v>
      </c>
      <c r="D788" s="28" t="s">
        <v>950</v>
      </c>
      <c r="E788" s="28" t="s">
        <v>420</v>
      </c>
      <c r="F788" s="34" t="s">
        <v>979</v>
      </c>
      <c r="G788" s="50"/>
      <c r="H788" s="50">
        <v>5628.5</v>
      </c>
      <c r="I788" s="30" t="e">
        <f t="shared" si="20"/>
        <v>#DIV/0!</v>
      </c>
    </row>
    <row r="789" spans="1:9" ht="40.5" customHeight="1">
      <c r="A789" s="135" t="s">
        <v>506</v>
      </c>
      <c r="B789" s="27"/>
      <c r="C789" s="28" t="s">
        <v>972</v>
      </c>
      <c r="D789" s="28" t="s">
        <v>950</v>
      </c>
      <c r="E789" s="28" t="s">
        <v>507</v>
      </c>
      <c r="F789" s="29"/>
      <c r="G789" s="30">
        <f>SUM(G790)</f>
        <v>149.7</v>
      </c>
      <c r="H789" s="30">
        <f>SUM(H790)</f>
        <v>12.8</v>
      </c>
      <c r="I789" s="30">
        <f t="shared" si="20"/>
        <v>8.550434201736808</v>
      </c>
    </row>
    <row r="790" spans="1:10" ht="23.25" customHeight="1">
      <c r="A790" s="131" t="s">
        <v>978</v>
      </c>
      <c r="B790" s="27"/>
      <c r="C790" s="28" t="s">
        <v>972</v>
      </c>
      <c r="D790" s="28" t="s">
        <v>950</v>
      </c>
      <c r="E790" s="28" t="s">
        <v>507</v>
      </c>
      <c r="F790" s="29" t="s">
        <v>979</v>
      </c>
      <c r="G790" s="30">
        <v>149.7</v>
      </c>
      <c r="H790" s="30">
        <v>12.8</v>
      </c>
      <c r="I790" s="30">
        <f t="shared" si="20"/>
        <v>8.550434201736808</v>
      </c>
      <c r="J790" s="65">
        <f>SUM('[2]ведомствен.'!G766)</f>
        <v>149.7</v>
      </c>
    </row>
    <row r="791" spans="1:9" ht="28.5">
      <c r="A791" s="142" t="s">
        <v>508</v>
      </c>
      <c r="B791" s="27"/>
      <c r="C791" s="28" t="s">
        <v>972</v>
      </c>
      <c r="D791" s="28" t="s">
        <v>950</v>
      </c>
      <c r="E791" s="28" t="s">
        <v>509</v>
      </c>
      <c r="F791" s="29"/>
      <c r="G791" s="30">
        <f>SUM(G792,G793)</f>
        <v>107801.8</v>
      </c>
      <c r="H791" s="30">
        <f>SUM(H792)</f>
        <v>90050.4</v>
      </c>
      <c r="I791" s="30">
        <f t="shared" si="20"/>
        <v>83.53329907292827</v>
      </c>
    </row>
    <row r="792" spans="1:10" ht="15">
      <c r="A792" s="131" t="s">
        <v>978</v>
      </c>
      <c r="B792" s="27"/>
      <c r="C792" s="28" t="s">
        <v>972</v>
      </c>
      <c r="D792" s="28" t="s">
        <v>950</v>
      </c>
      <c r="E792" s="28" t="s">
        <v>509</v>
      </c>
      <c r="F792" s="29" t="s">
        <v>979</v>
      </c>
      <c r="G792" s="30">
        <f>114301.8-6500-57.9</f>
        <v>107743.90000000001</v>
      </c>
      <c r="H792" s="30">
        <v>90050.4</v>
      </c>
      <c r="I792" s="30">
        <f t="shared" si="20"/>
        <v>83.57818864919497</v>
      </c>
      <c r="J792" s="65">
        <f>SUM('[2]ведомствен.'!G768)</f>
        <v>114301.8</v>
      </c>
    </row>
    <row r="793" spans="1:9" ht="15">
      <c r="A793" s="26" t="s">
        <v>947</v>
      </c>
      <c r="B793" s="27"/>
      <c r="C793" s="28" t="s">
        <v>972</v>
      </c>
      <c r="D793" s="28" t="s">
        <v>950</v>
      </c>
      <c r="E793" s="28" t="s">
        <v>509</v>
      </c>
      <c r="F793" s="29" t="s">
        <v>948</v>
      </c>
      <c r="G793" s="30">
        <v>57.9</v>
      </c>
      <c r="H793" s="30"/>
      <c r="I793" s="30"/>
    </row>
    <row r="794" spans="1:9" ht="42.75">
      <c r="A794" s="26" t="s">
        <v>510</v>
      </c>
      <c r="B794" s="27"/>
      <c r="C794" s="28" t="s">
        <v>972</v>
      </c>
      <c r="D794" s="28" t="s">
        <v>950</v>
      </c>
      <c r="E794" s="28" t="s">
        <v>511</v>
      </c>
      <c r="F794" s="29"/>
      <c r="G794" s="30">
        <f>SUM(G795)</f>
        <v>74550.7</v>
      </c>
      <c r="H794" s="30">
        <f>SUM(H795)</f>
        <v>56493.7</v>
      </c>
      <c r="I794" s="30">
        <f t="shared" si="20"/>
        <v>75.77889946036724</v>
      </c>
    </row>
    <row r="795" spans="1:10" ht="15">
      <c r="A795" s="131" t="s">
        <v>978</v>
      </c>
      <c r="B795" s="27"/>
      <c r="C795" s="28" t="s">
        <v>972</v>
      </c>
      <c r="D795" s="28" t="s">
        <v>950</v>
      </c>
      <c r="E795" s="28" t="s">
        <v>511</v>
      </c>
      <c r="F795" s="29" t="s">
        <v>979</v>
      </c>
      <c r="G795" s="30">
        <f>75142.5-591.8</f>
        <v>74550.7</v>
      </c>
      <c r="H795" s="30">
        <v>56493.7</v>
      </c>
      <c r="I795" s="30">
        <f t="shared" si="20"/>
        <v>75.77889946036724</v>
      </c>
      <c r="J795" s="65">
        <f>SUM('[2]ведомствен.'!G770)</f>
        <v>75142.5</v>
      </c>
    </row>
    <row r="796" spans="1:9" ht="28.5">
      <c r="A796" s="131" t="s">
        <v>512</v>
      </c>
      <c r="B796" s="27"/>
      <c r="C796" s="28" t="s">
        <v>972</v>
      </c>
      <c r="D796" s="28" t="s">
        <v>950</v>
      </c>
      <c r="E796" s="28" t="s">
        <v>513</v>
      </c>
      <c r="F796" s="29"/>
      <c r="G796" s="30">
        <f>SUM(G797+G801+G803+G813+G815+G811+G819)</f>
        <v>234557.40000000002</v>
      </c>
      <c r="H796" s="30">
        <f>SUM(H797+H801+H803+H813+H815+H811+H819)</f>
        <v>182903.19999999998</v>
      </c>
      <c r="I796" s="30">
        <f t="shared" si="20"/>
        <v>77.97801305778455</v>
      </c>
    </row>
    <row r="797" spans="1:9" ht="28.5">
      <c r="A797" s="135" t="s">
        <v>514</v>
      </c>
      <c r="B797" s="27"/>
      <c r="C797" s="28" t="s">
        <v>972</v>
      </c>
      <c r="D797" s="28" t="s">
        <v>950</v>
      </c>
      <c r="E797" s="28" t="s">
        <v>515</v>
      </c>
      <c r="F797" s="29"/>
      <c r="G797" s="30">
        <f>SUM(G798)</f>
        <v>49911.9</v>
      </c>
      <c r="H797" s="30">
        <f>SUM(H798)</f>
        <v>37224.7</v>
      </c>
      <c r="I797" s="30">
        <f t="shared" si="20"/>
        <v>74.58081138966858</v>
      </c>
    </row>
    <row r="798" spans="1:10" ht="15">
      <c r="A798" s="131" t="s">
        <v>978</v>
      </c>
      <c r="B798" s="27"/>
      <c r="C798" s="28" t="s">
        <v>972</v>
      </c>
      <c r="D798" s="28" t="s">
        <v>950</v>
      </c>
      <c r="E798" s="28" t="s">
        <v>515</v>
      </c>
      <c r="F798" s="29" t="s">
        <v>979</v>
      </c>
      <c r="G798" s="30">
        <f>52289.9-2378</f>
        <v>49911.9</v>
      </c>
      <c r="H798" s="30">
        <v>37224.7</v>
      </c>
      <c r="I798" s="30">
        <f t="shared" si="20"/>
        <v>74.58081138966858</v>
      </c>
      <c r="J798" s="65">
        <f>SUM('[2]ведомствен.'!G773)</f>
        <v>52289.9</v>
      </c>
    </row>
    <row r="799" spans="1:9" ht="57" customHeight="1" hidden="1">
      <c r="A799" s="131" t="s">
        <v>516</v>
      </c>
      <c r="B799" s="32"/>
      <c r="C799" s="28" t="s">
        <v>972</v>
      </c>
      <c r="D799" s="28" t="s">
        <v>950</v>
      </c>
      <c r="E799" s="28" t="s">
        <v>517</v>
      </c>
      <c r="F799" s="29"/>
      <c r="G799" s="30">
        <f>SUM(G800)</f>
        <v>0</v>
      </c>
      <c r="H799" s="30">
        <f>SUM(H800)</f>
        <v>0</v>
      </c>
      <c r="I799" s="30" t="e">
        <f t="shared" si="20"/>
        <v>#DIV/0!</v>
      </c>
    </row>
    <row r="800" spans="1:9" ht="15" customHeight="1" hidden="1">
      <c r="A800" s="131" t="s">
        <v>978</v>
      </c>
      <c r="B800" s="32"/>
      <c r="C800" s="28" t="s">
        <v>972</v>
      </c>
      <c r="D800" s="28" t="s">
        <v>950</v>
      </c>
      <c r="E800" s="28" t="s">
        <v>517</v>
      </c>
      <c r="F800" s="29" t="s">
        <v>979</v>
      </c>
      <c r="G800" s="30"/>
      <c r="H800" s="30"/>
      <c r="I800" s="30" t="e">
        <f t="shared" si="20"/>
        <v>#DIV/0!</v>
      </c>
    </row>
    <row r="801" spans="1:9" ht="72.75" customHeight="1">
      <c r="A801" s="157" t="s">
        <v>842</v>
      </c>
      <c r="B801" s="32"/>
      <c r="C801" s="28" t="s">
        <v>972</v>
      </c>
      <c r="D801" s="28" t="s">
        <v>950</v>
      </c>
      <c r="E801" s="28" t="s">
        <v>518</v>
      </c>
      <c r="F801" s="29"/>
      <c r="G801" s="30">
        <f>SUM(G802)</f>
        <v>37949.9</v>
      </c>
      <c r="H801" s="30">
        <f>SUM(H802)</f>
        <v>29554</v>
      </c>
      <c r="I801" s="30">
        <f t="shared" si="20"/>
        <v>77.87635804046914</v>
      </c>
    </row>
    <row r="802" spans="1:10" ht="15">
      <c r="A802" s="131" t="s">
        <v>978</v>
      </c>
      <c r="B802" s="32"/>
      <c r="C802" s="28" t="s">
        <v>972</v>
      </c>
      <c r="D802" s="28" t="s">
        <v>950</v>
      </c>
      <c r="E802" s="28" t="s">
        <v>518</v>
      </c>
      <c r="F802" s="29" t="s">
        <v>979</v>
      </c>
      <c r="G802" s="30">
        <f>38649.9-700</f>
        <v>37949.9</v>
      </c>
      <c r="H802" s="30">
        <v>29554</v>
      </c>
      <c r="I802" s="30">
        <f t="shared" si="20"/>
        <v>77.87635804046914</v>
      </c>
      <c r="J802" s="65">
        <f>SUM('[2]ведомствен.'!G777)</f>
        <v>38649.9</v>
      </c>
    </row>
    <row r="803" spans="1:9" ht="87.75" customHeight="1">
      <c r="A803" s="157" t="s">
        <v>843</v>
      </c>
      <c r="B803" s="32"/>
      <c r="C803" s="28" t="s">
        <v>972</v>
      </c>
      <c r="D803" s="28" t="s">
        <v>950</v>
      </c>
      <c r="E803" s="28" t="s">
        <v>519</v>
      </c>
      <c r="F803" s="29"/>
      <c r="G803" s="30">
        <f>SUM(G804)</f>
        <v>17958.1</v>
      </c>
      <c r="H803" s="30">
        <f>SUM(H804)</f>
        <v>37911</v>
      </c>
      <c r="I803" s="30">
        <f t="shared" si="20"/>
        <v>211.1080793625161</v>
      </c>
    </row>
    <row r="804" spans="1:10" ht="15">
      <c r="A804" s="131" t="s">
        <v>978</v>
      </c>
      <c r="B804" s="32"/>
      <c r="C804" s="28" t="s">
        <v>972</v>
      </c>
      <c r="D804" s="28" t="s">
        <v>950</v>
      </c>
      <c r="E804" s="28" t="s">
        <v>519</v>
      </c>
      <c r="F804" s="29" t="s">
        <v>979</v>
      </c>
      <c r="G804" s="30">
        <f>20008.1-2050</f>
        <v>17958.1</v>
      </c>
      <c r="H804" s="30">
        <v>37911</v>
      </c>
      <c r="I804" s="30">
        <f t="shared" si="20"/>
        <v>211.1080793625161</v>
      </c>
      <c r="J804" s="65">
        <f>SUM('[2]ведомствен.'!G779)</f>
        <v>20008.1</v>
      </c>
    </row>
    <row r="805" spans="1:9" ht="71.25" customHeight="1" hidden="1">
      <c r="A805" s="131" t="s">
        <v>520</v>
      </c>
      <c r="B805" s="32"/>
      <c r="C805" s="28" t="s">
        <v>972</v>
      </c>
      <c r="D805" s="28" t="s">
        <v>950</v>
      </c>
      <c r="E805" s="28" t="s">
        <v>518</v>
      </c>
      <c r="F805" s="29"/>
      <c r="G805" s="30">
        <f>SUM(G806)</f>
        <v>0</v>
      </c>
      <c r="H805" s="30">
        <f>SUM(H806)</f>
        <v>0</v>
      </c>
      <c r="I805" s="30" t="e">
        <f t="shared" si="20"/>
        <v>#DIV/0!</v>
      </c>
    </row>
    <row r="806" spans="1:9" ht="15" customHeight="1" hidden="1">
      <c r="A806" s="131" t="s">
        <v>978</v>
      </c>
      <c r="B806" s="32"/>
      <c r="C806" s="28" t="s">
        <v>972</v>
      </c>
      <c r="D806" s="28" t="s">
        <v>950</v>
      </c>
      <c r="E806" s="28" t="s">
        <v>518</v>
      </c>
      <c r="F806" s="29" t="s">
        <v>979</v>
      </c>
      <c r="G806" s="30"/>
      <c r="H806" s="30"/>
      <c r="I806" s="30" t="e">
        <f t="shared" si="20"/>
        <v>#DIV/0!</v>
      </c>
    </row>
    <row r="807" spans="1:9" ht="85.5" customHeight="1" hidden="1">
      <c r="A807" s="131" t="s">
        <v>521</v>
      </c>
      <c r="B807" s="32"/>
      <c r="C807" s="28" t="s">
        <v>972</v>
      </c>
      <c r="D807" s="28" t="s">
        <v>950</v>
      </c>
      <c r="E807" s="28" t="s">
        <v>519</v>
      </c>
      <c r="F807" s="29"/>
      <c r="G807" s="30">
        <f>SUM(G808)</f>
        <v>0</v>
      </c>
      <c r="H807" s="30">
        <f>SUM(H808)</f>
        <v>0</v>
      </c>
      <c r="I807" s="30" t="e">
        <f t="shared" si="20"/>
        <v>#DIV/0!</v>
      </c>
    </row>
    <row r="808" spans="1:9" ht="15" customHeight="1" hidden="1">
      <c r="A808" s="131" t="s">
        <v>978</v>
      </c>
      <c r="B808" s="32"/>
      <c r="C808" s="28" t="s">
        <v>972</v>
      </c>
      <c r="D808" s="28" t="s">
        <v>950</v>
      </c>
      <c r="E808" s="28" t="s">
        <v>519</v>
      </c>
      <c r="F808" s="29" t="s">
        <v>979</v>
      </c>
      <c r="G808" s="30"/>
      <c r="H808" s="30"/>
      <c r="I808" s="30" t="e">
        <f t="shared" si="20"/>
        <v>#DIV/0!</v>
      </c>
    </row>
    <row r="809" spans="1:9" ht="57" customHeight="1" hidden="1">
      <c r="A809" s="135" t="s">
        <v>522</v>
      </c>
      <c r="B809" s="27"/>
      <c r="C809" s="28" t="s">
        <v>972</v>
      </c>
      <c r="D809" s="28" t="s">
        <v>950</v>
      </c>
      <c r="E809" s="28" t="s">
        <v>523</v>
      </c>
      <c r="F809" s="29"/>
      <c r="G809" s="30">
        <f>SUM(G810)</f>
        <v>0</v>
      </c>
      <c r="H809" s="30">
        <f>SUM(H810)</f>
        <v>0</v>
      </c>
      <c r="I809" s="30" t="e">
        <f t="shared" si="20"/>
        <v>#DIV/0!</v>
      </c>
    </row>
    <row r="810" spans="1:9" ht="15" customHeight="1" hidden="1">
      <c r="A810" s="131" t="s">
        <v>978</v>
      </c>
      <c r="B810" s="27"/>
      <c r="C810" s="28" t="s">
        <v>972</v>
      </c>
      <c r="D810" s="28" t="s">
        <v>950</v>
      </c>
      <c r="E810" s="28" t="s">
        <v>523</v>
      </c>
      <c r="F810" s="29" t="s">
        <v>979</v>
      </c>
      <c r="G810" s="30"/>
      <c r="H810" s="30"/>
      <c r="I810" s="30" t="e">
        <f t="shared" si="20"/>
        <v>#DIV/0!</v>
      </c>
    </row>
    <row r="811" spans="1:9" ht="93.75" customHeight="1">
      <c r="A811" s="131" t="s">
        <v>844</v>
      </c>
      <c r="B811" s="27"/>
      <c r="C811" s="28" t="s">
        <v>972</v>
      </c>
      <c r="D811" s="28" t="s">
        <v>950</v>
      </c>
      <c r="E811" s="28" t="s">
        <v>524</v>
      </c>
      <c r="F811" s="29"/>
      <c r="G811" s="30">
        <f>SUM(G812)</f>
        <v>117514.6</v>
      </c>
      <c r="H811" s="30">
        <f>SUM(H812)</f>
        <v>70381.4</v>
      </c>
      <c r="I811" s="30">
        <f t="shared" si="20"/>
        <v>59.89162197718411</v>
      </c>
    </row>
    <row r="812" spans="1:10" ht="15">
      <c r="A812" s="131" t="s">
        <v>978</v>
      </c>
      <c r="B812" s="27"/>
      <c r="C812" s="28" t="s">
        <v>972</v>
      </c>
      <c r="D812" s="28" t="s">
        <v>950</v>
      </c>
      <c r="E812" s="28" t="s">
        <v>524</v>
      </c>
      <c r="F812" s="29" t="s">
        <v>979</v>
      </c>
      <c r="G812" s="30">
        <f>143335.2-32466.5+6645.9</f>
        <v>117514.6</v>
      </c>
      <c r="H812" s="30">
        <v>70381.4</v>
      </c>
      <c r="I812" s="30">
        <f t="shared" si="20"/>
        <v>59.89162197718411</v>
      </c>
      <c r="J812" s="65">
        <f>SUM('[2]ведомствен.'!G787)</f>
        <v>143335.2</v>
      </c>
    </row>
    <row r="813" spans="1:9" ht="85.5">
      <c r="A813" s="135" t="s">
        <v>845</v>
      </c>
      <c r="B813" s="27"/>
      <c r="C813" s="28" t="s">
        <v>972</v>
      </c>
      <c r="D813" s="28" t="s">
        <v>950</v>
      </c>
      <c r="E813" s="28" t="s">
        <v>525</v>
      </c>
      <c r="F813" s="29"/>
      <c r="G813" s="30">
        <f>SUM(G814)</f>
        <v>1761.6</v>
      </c>
      <c r="H813" s="30">
        <f>SUM(H814)</f>
        <v>1365.8</v>
      </c>
      <c r="I813" s="30">
        <f t="shared" si="20"/>
        <v>77.53178928247048</v>
      </c>
    </row>
    <row r="814" spans="1:10" ht="15">
      <c r="A814" s="131" t="s">
        <v>978</v>
      </c>
      <c r="B814" s="27"/>
      <c r="C814" s="28" t="s">
        <v>972</v>
      </c>
      <c r="D814" s="28" t="s">
        <v>950</v>
      </c>
      <c r="E814" s="28" t="s">
        <v>525</v>
      </c>
      <c r="F814" s="29" t="s">
        <v>979</v>
      </c>
      <c r="G814" s="30">
        <v>1761.6</v>
      </c>
      <c r="H814" s="30">
        <v>1365.8</v>
      </c>
      <c r="I814" s="30">
        <f t="shared" si="20"/>
        <v>77.53178928247048</v>
      </c>
      <c r="J814" s="65">
        <f>SUM('[2]ведомствен.'!G789)</f>
        <v>1761.6</v>
      </c>
    </row>
    <row r="815" spans="1:9" ht="87.75" customHeight="1">
      <c r="A815" s="135" t="s">
        <v>845</v>
      </c>
      <c r="B815" s="27"/>
      <c r="C815" s="28" t="s">
        <v>972</v>
      </c>
      <c r="D815" s="28" t="s">
        <v>950</v>
      </c>
      <c r="E815" s="28" t="s">
        <v>526</v>
      </c>
      <c r="F815" s="29"/>
      <c r="G815" s="30">
        <f>SUM(G816)</f>
        <v>419.8</v>
      </c>
      <c r="H815" s="30">
        <f>SUM(H816)</f>
        <v>1324.9</v>
      </c>
      <c r="I815" s="30">
        <f t="shared" si="20"/>
        <v>315.6026679371129</v>
      </c>
    </row>
    <row r="816" spans="1:10" ht="14.25" customHeight="1">
      <c r="A816" s="131" t="s">
        <v>978</v>
      </c>
      <c r="B816" s="27"/>
      <c r="C816" s="28" t="s">
        <v>972</v>
      </c>
      <c r="D816" s="28" t="s">
        <v>950</v>
      </c>
      <c r="E816" s="28" t="s">
        <v>526</v>
      </c>
      <c r="F816" s="29" t="s">
        <v>979</v>
      </c>
      <c r="G816" s="30">
        <f>319.8+100</f>
        <v>419.8</v>
      </c>
      <c r="H816" s="30">
        <v>1324.9</v>
      </c>
      <c r="I816" s="30">
        <f t="shared" si="20"/>
        <v>315.6026679371129</v>
      </c>
      <c r="J816" s="65">
        <f>SUM('[2]ведомствен.'!G791)</f>
        <v>319.8</v>
      </c>
    </row>
    <row r="817" spans="1:9" ht="28.5" customHeight="1" hidden="1">
      <c r="A817" s="131" t="s">
        <v>504</v>
      </c>
      <c r="B817" s="27"/>
      <c r="C817" s="28" t="s">
        <v>972</v>
      </c>
      <c r="D817" s="28" t="s">
        <v>950</v>
      </c>
      <c r="E817" s="28" t="s">
        <v>527</v>
      </c>
      <c r="F817" s="29"/>
      <c r="G817" s="30">
        <f>SUM(G818)</f>
        <v>0</v>
      </c>
      <c r="H817" s="30">
        <f>SUM(H818)</f>
        <v>0</v>
      </c>
      <c r="I817" s="30" t="e">
        <f t="shared" si="20"/>
        <v>#DIV/0!</v>
      </c>
    </row>
    <row r="818" spans="1:9" ht="15" customHeight="1" hidden="1">
      <c r="A818" s="131" t="s">
        <v>978</v>
      </c>
      <c r="B818" s="27"/>
      <c r="C818" s="28" t="s">
        <v>972</v>
      </c>
      <c r="D818" s="28" t="s">
        <v>950</v>
      </c>
      <c r="E818" s="28" t="s">
        <v>527</v>
      </c>
      <c r="F818" s="29" t="s">
        <v>979</v>
      </c>
      <c r="G818" s="30"/>
      <c r="H818" s="30"/>
      <c r="I818" s="30" t="e">
        <f t="shared" si="20"/>
        <v>#DIV/0!</v>
      </c>
    </row>
    <row r="819" spans="1:9" ht="114" customHeight="1">
      <c r="A819" s="131" t="s">
        <v>847</v>
      </c>
      <c r="B819" s="27"/>
      <c r="C819" s="28" t="s">
        <v>972</v>
      </c>
      <c r="D819" s="28" t="s">
        <v>950</v>
      </c>
      <c r="E819" s="28" t="s">
        <v>528</v>
      </c>
      <c r="F819" s="29"/>
      <c r="G819" s="30">
        <f>SUM(G820)</f>
        <v>9041.499999999998</v>
      </c>
      <c r="H819" s="30">
        <f>SUM(H820)</f>
        <v>5141.4</v>
      </c>
      <c r="I819" s="30">
        <f t="shared" si="20"/>
        <v>56.864458331029155</v>
      </c>
    </row>
    <row r="820" spans="1:10" ht="17.25" customHeight="1">
      <c r="A820" s="131" t="s">
        <v>978</v>
      </c>
      <c r="B820" s="27"/>
      <c r="C820" s="28" t="s">
        <v>972</v>
      </c>
      <c r="D820" s="28" t="s">
        <v>950</v>
      </c>
      <c r="E820" s="28" t="s">
        <v>528</v>
      </c>
      <c r="F820" s="29" t="s">
        <v>979</v>
      </c>
      <c r="G820" s="30">
        <f>16825.1-7783.6</f>
        <v>9041.499999999998</v>
      </c>
      <c r="H820" s="30">
        <v>5141.4</v>
      </c>
      <c r="I820" s="30">
        <f t="shared" si="20"/>
        <v>56.864458331029155</v>
      </c>
      <c r="J820" s="65">
        <f>SUM('[2]ведомствен.'!G795)</f>
        <v>16825.1</v>
      </c>
    </row>
    <row r="821" spans="1:10" ht="28.5" hidden="1">
      <c r="A821" s="26" t="s">
        <v>529</v>
      </c>
      <c r="B821" s="27"/>
      <c r="C821" s="28" t="s">
        <v>972</v>
      </c>
      <c r="D821" s="28" t="s">
        <v>950</v>
      </c>
      <c r="E821" s="28" t="s">
        <v>530</v>
      </c>
      <c r="F821" s="29"/>
      <c r="G821" s="30">
        <f>SUM(G822)</f>
        <v>0</v>
      </c>
      <c r="H821" s="30"/>
      <c r="I821" s="30"/>
      <c r="J821" s="3"/>
    </row>
    <row r="822" spans="1:10" ht="15" customHeight="1" hidden="1">
      <c r="A822" s="26" t="s">
        <v>978</v>
      </c>
      <c r="B822" s="27"/>
      <c r="C822" s="28" t="s">
        <v>972</v>
      </c>
      <c r="D822" s="28" t="s">
        <v>950</v>
      </c>
      <c r="E822" s="28" t="s">
        <v>530</v>
      </c>
      <c r="F822" s="29" t="s">
        <v>979</v>
      </c>
      <c r="G822" s="30">
        <f>211.9-211.9</f>
        <v>0</v>
      </c>
      <c r="H822" s="30"/>
      <c r="I822" s="30"/>
      <c r="J822" s="3">
        <f>SUM('[2]ведомствен.'!G797)</f>
        <v>211.9</v>
      </c>
    </row>
    <row r="823" spans="1:9" ht="18" customHeight="1">
      <c r="A823" s="131" t="s">
        <v>421</v>
      </c>
      <c r="B823" s="27"/>
      <c r="C823" s="28" t="s">
        <v>972</v>
      </c>
      <c r="D823" s="28" t="s">
        <v>950</v>
      </c>
      <c r="E823" s="28" t="s">
        <v>764</v>
      </c>
      <c r="F823" s="29"/>
      <c r="G823" s="30">
        <f>SUM(G824)</f>
        <v>4217.200000000001</v>
      </c>
      <c r="H823" s="30">
        <f>SUM(H824)</f>
        <v>2256.4</v>
      </c>
      <c r="I823" s="30">
        <f t="shared" si="20"/>
        <v>53.504695058332544</v>
      </c>
    </row>
    <row r="824" spans="1:10" ht="18" customHeight="1">
      <c r="A824" s="131" t="s">
        <v>978</v>
      </c>
      <c r="B824" s="27"/>
      <c r="C824" s="28" t="s">
        <v>972</v>
      </c>
      <c r="D824" s="28" t="s">
        <v>950</v>
      </c>
      <c r="E824" s="28" t="s">
        <v>764</v>
      </c>
      <c r="F824" s="29" t="s">
        <v>979</v>
      </c>
      <c r="G824" s="30">
        <f>4409.6-192.4</f>
        <v>4217.200000000001</v>
      </c>
      <c r="H824" s="30">
        <v>2256.4</v>
      </c>
      <c r="I824" s="30">
        <f t="shared" si="20"/>
        <v>53.504695058332544</v>
      </c>
      <c r="J824" s="65">
        <f>SUM('[2]ведомствен.'!G1196)</f>
        <v>4409.6</v>
      </c>
    </row>
    <row r="825" spans="1:9" ht="30.75" customHeight="1">
      <c r="A825" s="131" t="s">
        <v>531</v>
      </c>
      <c r="B825" s="27"/>
      <c r="C825" s="28" t="s">
        <v>972</v>
      </c>
      <c r="D825" s="28" t="s">
        <v>950</v>
      </c>
      <c r="E825" s="28" t="s">
        <v>532</v>
      </c>
      <c r="F825" s="29"/>
      <c r="G825" s="30">
        <f>SUM(G826)</f>
        <v>1944.5</v>
      </c>
      <c r="H825" s="30">
        <f>SUM(H826)</f>
        <v>927.6</v>
      </c>
      <c r="I825" s="30">
        <f t="shared" si="20"/>
        <v>47.703779892003084</v>
      </c>
    </row>
    <row r="826" spans="1:9" ht="15">
      <c r="A826" s="131" t="s">
        <v>413</v>
      </c>
      <c r="B826" s="27"/>
      <c r="C826" s="28" t="s">
        <v>972</v>
      </c>
      <c r="D826" s="28" t="s">
        <v>950</v>
      </c>
      <c r="E826" s="28" t="s">
        <v>533</v>
      </c>
      <c r="F826" s="29"/>
      <c r="G826" s="30">
        <f>SUM(G827:G828)</f>
        <v>1944.5</v>
      </c>
      <c r="H826" s="30">
        <f>SUM(H827:H827)</f>
        <v>927.6</v>
      </c>
      <c r="I826" s="30">
        <f t="shared" si="20"/>
        <v>47.703779892003084</v>
      </c>
    </row>
    <row r="827" spans="1:10" ht="14.25" customHeight="1">
      <c r="A827" s="131" t="s">
        <v>978</v>
      </c>
      <c r="B827" s="27"/>
      <c r="C827" s="28" t="s">
        <v>972</v>
      </c>
      <c r="D827" s="28" t="s">
        <v>950</v>
      </c>
      <c r="E827" s="28" t="s">
        <v>533</v>
      </c>
      <c r="F827" s="29" t="s">
        <v>979</v>
      </c>
      <c r="G827" s="30">
        <v>1744.6</v>
      </c>
      <c r="H827" s="30">
        <v>927.6</v>
      </c>
      <c r="I827" s="30">
        <f t="shared" si="20"/>
        <v>53.1697810386335</v>
      </c>
      <c r="J827" s="65">
        <f>SUM('[2]ведомствен.'!G800)</f>
        <v>1744.6</v>
      </c>
    </row>
    <row r="828" spans="1:10" ht="24.75" customHeight="1">
      <c r="A828" s="26" t="s">
        <v>947</v>
      </c>
      <c r="B828" s="27"/>
      <c r="C828" s="28" t="s">
        <v>972</v>
      </c>
      <c r="D828" s="28" t="s">
        <v>950</v>
      </c>
      <c r="E828" s="28" t="s">
        <v>533</v>
      </c>
      <c r="F828" s="29" t="s">
        <v>948</v>
      </c>
      <c r="G828" s="30">
        <f>200-0.1</f>
        <v>199.9</v>
      </c>
      <c r="H828" s="30"/>
      <c r="I828" s="30"/>
      <c r="J828" s="3">
        <f>SUM('[2]ведомствен.'!G801)</f>
        <v>200</v>
      </c>
    </row>
    <row r="829" spans="1:10" ht="63" customHeight="1" hidden="1">
      <c r="A829" s="26" t="s">
        <v>534</v>
      </c>
      <c r="B829" s="27"/>
      <c r="C829" s="28" t="s">
        <v>972</v>
      </c>
      <c r="D829" s="28" t="s">
        <v>950</v>
      </c>
      <c r="E829" s="28" t="s">
        <v>535</v>
      </c>
      <c r="F829" s="29"/>
      <c r="G829" s="30">
        <f>SUM(G830)</f>
        <v>0</v>
      </c>
      <c r="H829" s="30"/>
      <c r="I829" s="30"/>
      <c r="J829" s="3"/>
    </row>
    <row r="830" spans="1:10" ht="27.75" customHeight="1" hidden="1">
      <c r="A830" s="26" t="s">
        <v>529</v>
      </c>
      <c r="B830" s="27"/>
      <c r="C830" s="28" t="s">
        <v>972</v>
      </c>
      <c r="D830" s="28" t="s">
        <v>950</v>
      </c>
      <c r="E830" s="28" t="s">
        <v>536</v>
      </c>
      <c r="F830" s="29"/>
      <c r="G830" s="30">
        <f>SUM(G831)</f>
        <v>0</v>
      </c>
      <c r="H830" s="30"/>
      <c r="I830" s="30"/>
      <c r="J830" s="3"/>
    </row>
    <row r="831" spans="1:10" ht="14.25" customHeight="1" hidden="1">
      <c r="A831" s="26" t="s">
        <v>978</v>
      </c>
      <c r="B831" s="27"/>
      <c r="C831" s="28" t="s">
        <v>972</v>
      </c>
      <c r="D831" s="28" t="s">
        <v>950</v>
      </c>
      <c r="E831" s="28" t="s">
        <v>536</v>
      </c>
      <c r="F831" s="29" t="s">
        <v>979</v>
      </c>
      <c r="G831" s="30"/>
      <c r="H831" s="30"/>
      <c r="I831" s="30"/>
      <c r="J831" s="3">
        <f>SUM('[2]ведомствен.'!G804)</f>
        <v>0</v>
      </c>
    </row>
    <row r="832" spans="1:10" ht="14.25" customHeight="1">
      <c r="A832" s="26" t="s">
        <v>67</v>
      </c>
      <c r="B832" s="36"/>
      <c r="C832" s="28" t="s">
        <v>972</v>
      </c>
      <c r="D832" s="28" t="s">
        <v>950</v>
      </c>
      <c r="E832" s="28" t="s">
        <v>68</v>
      </c>
      <c r="F832" s="34"/>
      <c r="G832" s="50">
        <f>SUM(G833)</f>
        <v>10663.5</v>
      </c>
      <c r="H832" s="30"/>
      <c r="I832" s="30"/>
      <c r="J832" s="3"/>
    </row>
    <row r="833" spans="1:10" ht="60.75" customHeight="1">
      <c r="A833" s="26" t="s">
        <v>898</v>
      </c>
      <c r="B833" s="33"/>
      <c r="C833" s="28" t="s">
        <v>972</v>
      </c>
      <c r="D833" s="28" t="s">
        <v>950</v>
      </c>
      <c r="E833" s="28" t="s">
        <v>72</v>
      </c>
      <c r="F833" s="34"/>
      <c r="G833" s="50">
        <f>SUM(G834)+G836</f>
        <v>10663.5</v>
      </c>
      <c r="H833" s="30"/>
      <c r="I833" s="30"/>
      <c r="J833" s="3"/>
    </row>
    <row r="834" spans="1:10" s="59" customFormat="1" ht="30" customHeight="1">
      <c r="A834" s="132" t="s">
        <v>594</v>
      </c>
      <c r="B834" s="33"/>
      <c r="C834" s="28" t="s">
        <v>972</v>
      </c>
      <c r="D834" s="28" t="s">
        <v>950</v>
      </c>
      <c r="E834" s="28" t="s">
        <v>425</v>
      </c>
      <c r="F834" s="34"/>
      <c r="G834" s="50">
        <f>SUM(G835)</f>
        <v>8965.3</v>
      </c>
      <c r="H834" s="50"/>
      <c r="I834" s="30">
        <f t="shared" si="20"/>
        <v>0</v>
      </c>
      <c r="J834" s="143"/>
    </row>
    <row r="835" spans="1:10" s="59" customFormat="1" ht="21" customHeight="1">
      <c r="A835" s="131" t="s">
        <v>411</v>
      </c>
      <c r="B835" s="33"/>
      <c r="C835" s="28" t="s">
        <v>972</v>
      </c>
      <c r="D835" s="28" t="s">
        <v>950</v>
      </c>
      <c r="E835" s="28" t="s">
        <v>425</v>
      </c>
      <c r="F835" s="34" t="s">
        <v>412</v>
      </c>
      <c r="G835" s="50">
        <f>5568.8+3396.5</f>
        <v>8965.3</v>
      </c>
      <c r="H835" s="50"/>
      <c r="I835" s="30">
        <f t="shared" si="20"/>
        <v>0</v>
      </c>
      <c r="J835" s="143">
        <f>SUM('[2]ведомствен.'!G912)</f>
        <v>5568.8</v>
      </c>
    </row>
    <row r="836" spans="1:10" s="59" customFormat="1" ht="42.75">
      <c r="A836" s="131" t="s">
        <v>426</v>
      </c>
      <c r="B836" s="33"/>
      <c r="C836" s="28" t="s">
        <v>972</v>
      </c>
      <c r="D836" s="28" t="s">
        <v>950</v>
      </c>
      <c r="E836" s="28" t="s">
        <v>427</v>
      </c>
      <c r="F836" s="34"/>
      <c r="G836" s="50">
        <f>SUM(G837)</f>
        <v>1698.2</v>
      </c>
      <c r="H836" s="50">
        <f>SUM(H837)</f>
        <v>1957.2</v>
      </c>
      <c r="I836" s="30">
        <f t="shared" si="20"/>
        <v>115.25144270403958</v>
      </c>
      <c r="J836" s="143"/>
    </row>
    <row r="837" spans="1:10" s="59" customFormat="1" ht="15">
      <c r="A837" s="131" t="s">
        <v>411</v>
      </c>
      <c r="B837" s="33"/>
      <c r="C837" s="28" t="s">
        <v>972</v>
      </c>
      <c r="D837" s="28" t="s">
        <v>950</v>
      </c>
      <c r="E837" s="28" t="s">
        <v>427</v>
      </c>
      <c r="F837" s="34" t="s">
        <v>412</v>
      </c>
      <c r="G837" s="50">
        <v>1698.2</v>
      </c>
      <c r="H837" s="50">
        <v>1957.2</v>
      </c>
      <c r="I837" s="30">
        <f t="shared" si="20"/>
        <v>115.25144270403958</v>
      </c>
      <c r="J837" s="152">
        <f>SUM('[2]ведомствен.'!G637+'[2]ведомствен.'!G933)+'[2]ведомствен.'!G914</f>
        <v>1698.2</v>
      </c>
    </row>
    <row r="838" spans="1:9" ht="18" customHeight="1">
      <c r="A838" s="131" t="s">
        <v>20</v>
      </c>
      <c r="B838" s="27"/>
      <c r="C838" s="28" t="s">
        <v>972</v>
      </c>
      <c r="D838" s="28" t="s">
        <v>950</v>
      </c>
      <c r="E838" s="28" t="s">
        <v>21</v>
      </c>
      <c r="F838" s="29"/>
      <c r="G838" s="30">
        <f>SUM(G841+G839)</f>
        <v>10882.2</v>
      </c>
      <c r="H838" s="30">
        <f>SUM(H841+H839)</f>
        <v>3319.1</v>
      </c>
      <c r="I838" s="30">
        <f t="shared" si="20"/>
        <v>30.500266490231752</v>
      </c>
    </row>
    <row r="839" spans="1:9" ht="44.25" customHeight="1">
      <c r="A839" s="131" t="s">
        <v>537</v>
      </c>
      <c r="B839" s="27"/>
      <c r="C839" s="28" t="s">
        <v>972</v>
      </c>
      <c r="D839" s="28" t="s">
        <v>950</v>
      </c>
      <c r="E839" s="28" t="s">
        <v>538</v>
      </c>
      <c r="F839" s="29"/>
      <c r="G839" s="30">
        <f>SUM(G840)</f>
        <v>3869.6000000000004</v>
      </c>
      <c r="H839" s="30">
        <f>SUM(H840)</f>
        <v>3319.1</v>
      </c>
      <c r="I839" s="30">
        <f t="shared" si="20"/>
        <v>85.77372338226172</v>
      </c>
    </row>
    <row r="840" spans="1:10" ht="18.75" customHeight="1">
      <c r="A840" s="26" t="s">
        <v>413</v>
      </c>
      <c r="B840" s="36"/>
      <c r="C840" s="28" t="s">
        <v>972</v>
      </c>
      <c r="D840" s="28" t="s">
        <v>950</v>
      </c>
      <c r="E840" s="28" t="s">
        <v>538</v>
      </c>
      <c r="F840" s="29" t="s">
        <v>539</v>
      </c>
      <c r="G840" s="30">
        <f>3926.3-56.7</f>
        <v>3869.6000000000004</v>
      </c>
      <c r="H840" s="30">
        <v>3319.1</v>
      </c>
      <c r="I840" s="30">
        <f t="shared" si="20"/>
        <v>85.77372338226172</v>
      </c>
      <c r="J840" s="65">
        <f>SUM('[2]ведомствен.'!G807)</f>
        <v>3926.3</v>
      </c>
    </row>
    <row r="841" spans="1:9" ht="24.75" customHeight="1">
      <c r="A841" s="132" t="s">
        <v>947</v>
      </c>
      <c r="B841" s="27"/>
      <c r="C841" s="28" t="s">
        <v>972</v>
      </c>
      <c r="D841" s="28" t="s">
        <v>950</v>
      </c>
      <c r="E841" s="28" t="s">
        <v>21</v>
      </c>
      <c r="F841" s="29" t="s">
        <v>948</v>
      </c>
      <c r="G841" s="30">
        <f>SUM(G842:G842)</f>
        <v>7012.6</v>
      </c>
      <c r="H841" s="30">
        <f>SUM(H842:H842)</f>
        <v>0</v>
      </c>
      <c r="I841" s="30">
        <f t="shared" si="20"/>
        <v>0</v>
      </c>
    </row>
    <row r="842" spans="1:10" ht="42.75">
      <c r="A842" s="132" t="s">
        <v>595</v>
      </c>
      <c r="B842" s="27"/>
      <c r="C842" s="28" t="s">
        <v>972</v>
      </c>
      <c r="D842" s="28" t="s">
        <v>950</v>
      </c>
      <c r="E842" s="67" t="s">
        <v>119</v>
      </c>
      <c r="F842" s="29" t="s">
        <v>948</v>
      </c>
      <c r="G842" s="30">
        <f>SUM(G843:G844)</f>
        <v>7012.6</v>
      </c>
      <c r="H842" s="30"/>
      <c r="I842" s="30"/>
      <c r="J842" s="3"/>
    </row>
    <row r="843" spans="1:10" ht="75.75" customHeight="1">
      <c r="A843" s="131" t="s">
        <v>596</v>
      </c>
      <c r="B843" s="27"/>
      <c r="C843" s="28" t="s">
        <v>972</v>
      </c>
      <c r="D843" s="28" t="s">
        <v>950</v>
      </c>
      <c r="E843" s="67" t="s">
        <v>429</v>
      </c>
      <c r="F843" s="29" t="s">
        <v>948</v>
      </c>
      <c r="G843" s="50">
        <f>3650.9+2512.6</f>
        <v>6163.5</v>
      </c>
      <c r="H843" s="30"/>
      <c r="I843" s="30"/>
      <c r="J843" s="3">
        <f>SUM('[2]ведомствен.'!G918)</f>
        <v>3650.9</v>
      </c>
    </row>
    <row r="844" spans="1:10" ht="73.5" customHeight="1">
      <c r="A844" s="131" t="s">
        <v>597</v>
      </c>
      <c r="B844" s="27"/>
      <c r="C844" s="28" t="s">
        <v>972</v>
      </c>
      <c r="D844" s="28" t="s">
        <v>950</v>
      </c>
      <c r="E844" s="67" t="s">
        <v>431</v>
      </c>
      <c r="F844" s="29" t="s">
        <v>948</v>
      </c>
      <c r="G844" s="50">
        <v>849.1</v>
      </c>
      <c r="H844" s="30"/>
      <c r="I844" s="30"/>
      <c r="J844" s="3">
        <f>SUM('[2]ведомствен.'!G919)</f>
        <v>849.1</v>
      </c>
    </row>
    <row r="845" spans="1:9" ht="18.75" customHeight="1">
      <c r="A845" s="135" t="s">
        <v>540</v>
      </c>
      <c r="B845" s="27"/>
      <c r="C845" s="67" t="s">
        <v>972</v>
      </c>
      <c r="D845" s="67" t="s">
        <v>5</v>
      </c>
      <c r="E845" s="67"/>
      <c r="F845" s="34"/>
      <c r="G845" s="50">
        <f>SUM(G846+G851)</f>
        <v>52590.5</v>
      </c>
      <c r="H845" s="50">
        <f>SUM(H846+H851)</f>
        <v>34204.2</v>
      </c>
      <c r="I845" s="30">
        <f aca="true" t="shared" si="21" ref="I845:I878">SUM(H845/G845*100)</f>
        <v>65.03874273870755</v>
      </c>
    </row>
    <row r="846" spans="1:9" ht="15" customHeight="1">
      <c r="A846" s="135" t="s">
        <v>974</v>
      </c>
      <c r="B846" s="27"/>
      <c r="C846" s="67" t="s">
        <v>972</v>
      </c>
      <c r="D846" s="67" t="s">
        <v>5</v>
      </c>
      <c r="E846" s="67" t="s">
        <v>975</v>
      </c>
      <c r="F846" s="34"/>
      <c r="G846" s="30">
        <f>SUM(G849)</f>
        <v>7204</v>
      </c>
      <c r="H846" s="30">
        <f>SUM(H849)</f>
        <v>5628.5</v>
      </c>
      <c r="I846" s="30">
        <f t="shared" si="21"/>
        <v>78.13020544142142</v>
      </c>
    </row>
    <row r="847" spans="1:9" ht="57">
      <c r="A847" s="131" t="s">
        <v>897</v>
      </c>
      <c r="B847" s="27"/>
      <c r="C847" s="67" t="s">
        <v>972</v>
      </c>
      <c r="D847" s="67" t="s">
        <v>5</v>
      </c>
      <c r="E847" s="28" t="s">
        <v>418</v>
      </c>
      <c r="F847" s="29"/>
      <c r="G847" s="30">
        <f>SUM(G848)</f>
        <v>7204</v>
      </c>
      <c r="H847" s="30">
        <f>SUM(H848)</f>
        <v>5628.5</v>
      </c>
      <c r="I847" s="30">
        <f t="shared" si="21"/>
        <v>78.13020544142142</v>
      </c>
    </row>
    <row r="848" spans="1:9" ht="57">
      <c r="A848" s="135" t="s">
        <v>419</v>
      </c>
      <c r="B848" s="27"/>
      <c r="C848" s="67" t="s">
        <v>972</v>
      </c>
      <c r="D848" s="67" t="s">
        <v>5</v>
      </c>
      <c r="E848" s="28" t="s">
        <v>420</v>
      </c>
      <c r="F848" s="29"/>
      <c r="G848" s="30">
        <f>SUM(G849)</f>
        <v>7204</v>
      </c>
      <c r="H848" s="30">
        <f>SUM(H849)</f>
        <v>5628.5</v>
      </c>
      <c r="I848" s="30">
        <f t="shared" si="21"/>
        <v>78.13020544142142</v>
      </c>
    </row>
    <row r="849" spans="1:10" ht="13.5" customHeight="1">
      <c r="A849" s="131" t="s">
        <v>978</v>
      </c>
      <c r="B849" s="33"/>
      <c r="C849" s="67" t="s">
        <v>972</v>
      </c>
      <c r="D849" s="67" t="s">
        <v>5</v>
      </c>
      <c r="E849" s="28" t="s">
        <v>420</v>
      </c>
      <c r="F849" s="34" t="s">
        <v>979</v>
      </c>
      <c r="G849" s="50">
        <v>7204</v>
      </c>
      <c r="H849" s="50">
        <v>5628.5</v>
      </c>
      <c r="I849" s="30">
        <f t="shared" si="21"/>
        <v>78.13020544142142</v>
      </c>
      <c r="J849" s="65">
        <f>SUM('[2]ведомствен.'!G927)</f>
        <v>7204</v>
      </c>
    </row>
    <row r="850" spans="1:9" ht="15" customHeight="1" hidden="1">
      <c r="A850" s="131" t="s">
        <v>978</v>
      </c>
      <c r="B850" s="27"/>
      <c r="C850" s="67" t="s">
        <v>972</v>
      </c>
      <c r="D850" s="67" t="s">
        <v>5</v>
      </c>
      <c r="E850" s="67" t="s">
        <v>542</v>
      </c>
      <c r="F850" s="29" t="s">
        <v>979</v>
      </c>
      <c r="G850" s="30"/>
      <c r="H850" s="30"/>
      <c r="I850" s="30" t="e">
        <f t="shared" si="21"/>
        <v>#DIV/0!</v>
      </c>
    </row>
    <row r="851" spans="1:9" ht="21" customHeight="1">
      <c r="A851" s="131" t="s">
        <v>543</v>
      </c>
      <c r="B851" s="27"/>
      <c r="C851" s="67" t="s">
        <v>972</v>
      </c>
      <c r="D851" s="67" t="s">
        <v>5</v>
      </c>
      <c r="E851" s="67" t="s">
        <v>544</v>
      </c>
      <c r="F851" s="29"/>
      <c r="G851" s="30">
        <f>SUM(G855+G852)</f>
        <v>45386.5</v>
      </c>
      <c r="H851" s="30">
        <f>SUM(H855+H852)</f>
        <v>28575.699999999997</v>
      </c>
      <c r="I851" s="30">
        <f t="shared" si="21"/>
        <v>62.960792306082205</v>
      </c>
    </row>
    <row r="852" spans="1:9" ht="55.5" customHeight="1">
      <c r="A852" s="46" t="s">
        <v>765</v>
      </c>
      <c r="B852" s="27"/>
      <c r="C852" s="67" t="s">
        <v>972</v>
      </c>
      <c r="D852" s="67" t="s">
        <v>5</v>
      </c>
      <c r="E852" s="28" t="s">
        <v>766</v>
      </c>
      <c r="F852" s="29"/>
      <c r="G852" s="50">
        <f>SUM(G854)</f>
        <v>18438.3</v>
      </c>
      <c r="H852" s="50">
        <f>SUM(H854)</f>
        <v>11370.3</v>
      </c>
      <c r="I852" s="30">
        <f t="shared" si="21"/>
        <v>61.666748019069004</v>
      </c>
    </row>
    <row r="853" spans="1:9" ht="73.5" customHeight="1">
      <c r="A853" s="46" t="s">
        <v>767</v>
      </c>
      <c r="B853" s="27"/>
      <c r="C853" s="67" t="s">
        <v>972</v>
      </c>
      <c r="D853" s="67" t="s">
        <v>5</v>
      </c>
      <c r="E853" s="28" t="s">
        <v>768</v>
      </c>
      <c r="F853" s="29"/>
      <c r="G853" s="50">
        <f>SUM(G854)</f>
        <v>18438.3</v>
      </c>
      <c r="H853" s="50">
        <f>SUM(H854)</f>
        <v>11370.3</v>
      </c>
      <c r="I853" s="30">
        <f t="shared" si="21"/>
        <v>61.666748019069004</v>
      </c>
    </row>
    <row r="854" spans="1:10" ht="21" customHeight="1">
      <c r="A854" s="46" t="s">
        <v>978</v>
      </c>
      <c r="B854" s="27"/>
      <c r="C854" s="67" t="s">
        <v>972</v>
      </c>
      <c r="D854" s="67" t="s">
        <v>5</v>
      </c>
      <c r="E854" s="28" t="s">
        <v>768</v>
      </c>
      <c r="F854" s="29" t="s">
        <v>979</v>
      </c>
      <c r="G854" s="50">
        <f>19476+0.1-1037.8</f>
        <v>18438.3</v>
      </c>
      <c r="H854" s="50">
        <v>11370.3</v>
      </c>
      <c r="I854" s="30">
        <f t="shared" si="21"/>
        <v>61.666748019069004</v>
      </c>
      <c r="J854" s="65">
        <f>SUM('[2]ведомствен.'!G1201)</f>
        <v>19476.1</v>
      </c>
    </row>
    <row r="855" spans="1:9" ht="28.5">
      <c r="A855" s="131" t="s">
        <v>899</v>
      </c>
      <c r="B855" s="27"/>
      <c r="C855" s="67" t="s">
        <v>972</v>
      </c>
      <c r="D855" s="67" t="s">
        <v>5</v>
      </c>
      <c r="E855" s="67" t="s">
        <v>546</v>
      </c>
      <c r="F855" s="34"/>
      <c r="G855" s="30">
        <f>SUM(G856)</f>
        <v>26948.199999999997</v>
      </c>
      <c r="H855" s="30">
        <f>SUM(H856)</f>
        <v>17205.399999999998</v>
      </c>
      <c r="I855" s="30">
        <f t="shared" si="21"/>
        <v>63.84619380886293</v>
      </c>
    </row>
    <row r="856" spans="1:9" ht="70.5" customHeight="1">
      <c r="A856" s="131" t="s">
        <v>545</v>
      </c>
      <c r="B856" s="27"/>
      <c r="C856" s="67" t="s">
        <v>972</v>
      </c>
      <c r="D856" s="67" t="s">
        <v>5</v>
      </c>
      <c r="E856" s="67" t="s">
        <v>546</v>
      </c>
      <c r="F856" s="34"/>
      <c r="G856" s="30">
        <f>SUM(G861+G863+G857+G859)</f>
        <v>26948.199999999997</v>
      </c>
      <c r="H856" s="30">
        <f>SUM(H861+H863+H857+H859)</f>
        <v>17205.399999999998</v>
      </c>
      <c r="I856" s="30">
        <f t="shared" si="21"/>
        <v>63.84619380886293</v>
      </c>
    </row>
    <row r="857" spans="1:9" ht="26.25" customHeight="1">
      <c r="A857" s="131" t="s">
        <v>547</v>
      </c>
      <c r="B857" s="27"/>
      <c r="C857" s="67" t="s">
        <v>972</v>
      </c>
      <c r="D857" s="67" t="s">
        <v>5</v>
      </c>
      <c r="E857" s="67" t="s">
        <v>548</v>
      </c>
      <c r="F857" s="34"/>
      <c r="G857" s="30">
        <f>SUM(G858)</f>
        <v>1462</v>
      </c>
      <c r="H857" s="30">
        <f>SUM(H858)</f>
        <v>241.8</v>
      </c>
      <c r="I857" s="30">
        <f t="shared" si="21"/>
        <v>16.538987688098498</v>
      </c>
    </row>
    <row r="858" spans="1:10" ht="30" customHeight="1">
      <c r="A858" s="131" t="s">
        <v>549</v>
      </c>
      <c r="B858" s="27"/>
      <c r="C858" s="67" t="s">
        <v>972</v>
      </c>
      <c r="D858" s="67" t="s">
        <v>5</v>
      </c>
      <c r="E858" s="67" t="s">
        <v>548</v>
      </c>
      <c r="F858" s="34" t="s">
        <v>550</v>
      </c>
      <c r="G858" s="30">
        <f>1245.9+216.1</f>
        <v>1462</v>
      </c>
      <c r="H858" s="30">
        <v>241.8</v>
      </c>
      <c r="I858" s="30">
        <f t="shared" si="21"/>
        <v>16.538987688098498</v>
      </c>
      <c r="J858" s="65">
        <f>SUM('[2]ведомствен.'!G815)</f>
        <v>1245.9</v>
      </c>
    </row>
    <row r="859" spans="1:9" ht="26.25" customHeight="1">
      <c r="A859" s="131" t="s">
        <v>551</v>
      </c>
      <c r="B859" s="27"/>
      <c r="C859" s="67" t="s">
        <v>972</v>
      </c>
      <c r="D859" s="67" t="s">
        <v>5</v>
      </c>
      <c r="E859" s="67" t="s">
        <v>552</v>
      </c>
      <c r="F859" s="34"/>
      <c r="G859" s="30">
        <f>SUM(G860)</f>
        <v>1246.6</v>
      </c>
      <c r="H859" s="30">
        <f>SUM(H860)</f>
        <v>252</v>
      </c>
      <c r="I859" s="30">
        <f t="shared" si="21"/>
        <v>20.21498475854324</v>
      </c>
    </row>
    <row r="860" spans="1:10" ht="36.75" customHeight="1">
      <c r="A860" s="131" t="s">
        <v>549</v>
      </c>
      <c r="B860" s="27"/>
      <c r="C860" s="67" t="s">
        <v>972</v>
      </c>
      <c r="D860" s="67" t="s">
        <v>5</v>
      </c>
      <c r="E860" s="67" t="s">
        <v>552</v>
      </c>
      <c r="F860" s="34" t="s">
        <v>550</v>
      </c>
      <c r="G860" s="30">
        <f>1196.6+50</f>
        <v>1246.6</v>
      </c>
      <c r="H860" s="30">
        <v>252</v>
      </c>
      <c r="I860" s="30">
        <f t="shared" si="21"/>
        <v>20.21498475854324</v>
      </c>
      <c r="J860" s="65">
        <f>SUM('[2]ведомствен.'!G817)</f>
        <v>1196.6</v>
      </c>
    </row>
    <row r="861" spans="1:9" ht="32.25" customHeight="1" hidden="1">
      <c r="A861" s="131" t="s">
        <v>553</v>
      </c>
      <c r="B861" s="27"/>
      <c r="C861" s="67" t="s">
        <v>972</v>
      </c>
      <c r="D861" s="67" t="s">
        <v>5</v>
      </c>
      <c r="E861" s="67" t="s">
        <v>554</v>
      </c>
      <c r="F861" s="34"/>
      <c r="G861" s="30">
        <f>SUM(G862)</f>
        <v>0</v>
      </c>
      <c r="H861" s="30">
        <f>SUM(H862)</f>
        <v>0</v>
      </c>
      <c r="I861" s="30" t="e">
        <f t="shared" si="21"/>
        <v>#DIV/0!</v>
      </c>
    </row>
    <row r="862" spans="1:9" ht="28.5" customHeight="1" hidden="1">
      <c r="A862" s="131" t="s">
        <v>549</v>
      </c>
      <c r="B862" s="27"/>
      <c r="C862" s="67" t="s">
        <v>972</v>
      </c>
      <c r="D862" s="67" t="s">
        <v>5</v>
      </c>
      <c r="E862" s="67" t="s">
        <v>554</v>
      </c>
      <c r="F862" s="34" t="s">
        <v>550</v>
      </c>
      <c r="G862" s="30"/>
      <c r="H862" s="30"/>
      <c r="I862" s="30" t="e">
        <f t="shared" si="21"/>
        <v>#DIV/0!</v>
      </c>
    </row>
    <row r="863" spans="1:9" ht="28.5" customHeight="1">
      <c r="A863" s="131" t="s">
        <v>549</v>
      </c>
      <c r="B863" s="27"/>
      <c r="C863" s="67" t="s">
        <v>972</v>
      </c>
      <c r="D863" s="67" t="s">
        <v>5</v>
      </c>
      <c r="E863" s="67" t="s">
        <v>555</v>
      </c>
      <c r="F863" s="34"/>
      <c r="G863" s="30">
        <f>SUM(G864)</f>
        <v>24239.6</v>
      </c>
      <c r="H863" s="30">
        <f>SUM(H864)</f>
        <v>16711.6</v>
      </c>
      <c r="I863" s="30">
        <f t="shared" si="21"/>
        <v>68.94338190399182</v>
      </c>
    </row>
    <row r="864" spans="1:10" ht="63" customHeight="1">
      <c r="A864" s="131" t="s">
        <v>556</v>
      </c>
      <c r="B864" s="27"/>
      <c r="C864" s="67" t="s">
        <v>972</v>
      </c>
      <c r="D864" s="67" t="s">
        <v>5</v>
      </c>
      <c r="E864" s="67" t="s">
        <v>555</v>
      </c>
      <c r="F864" s="34" t="s">
        <v>550</v>
      </c>
      <c r="G864" s="30">
        <f>24039.6+200</f>
        <v>24239.6</v>
      </c>
      <c r="H864" s="30">
        <v>16711.6</v>
      </c>
      <c r="I864" s="30">
        <f t="shared" si="21"/>
        <v>68.94338190399182</v>
      </c>
      <c r="J864" s="65">
        <f>SUM('[2]ведомствен.'!G823)</f>
        <v>24039.6</v>
      </c>
    </row>
    <row r="865" spans="1:9" ht="19.5" customHeight="1">
      <c r="A865" s="132" t="s">
        <v>557</v>
      </c>
      <c r="B865" s="27"/>
      <c r="C865" s="67" t="s">
        <v>972</v>
      </c>
      <c r="D865" s="67" t="s">
        <v>983</v>
      </c>
      <c r="E865" s="67"/>
      <c r="F865" s="34"/>
      <c r="G865" s="50">
        <f>SUM(G866+G882)+G879</f>
        <v>30205.3</v>
      </c>
      <c r="H865" s="50" t="e">
        <f>SUM(H866+H908)</f>
        <v>#REF!</v>
      </c>
      <c r="I865" s="30" t="e">
        <f t="shared" si="21"/>
        <v>#REF!</v>
      </c>
    </row>
    <row r="866" spans="1:9" ht="42.75">
      <c r="A866" s="26" t="s">
        <v>943</v>
      </c>
      <c r="B866" s="27"/>
      <c r="C866" s="28" t="s">
        <v>972</v>
      </c>
      <c r="D866" s="28" t="s">
        <v>983</v>
      </c>
      <c r="E866" s="28" t="s">
        <v>944</v>
      </c>
      <c r="F866" s="29"/>
      <c r="G866" s="30">
        <f>SUM(G867)</f>
        <v>26205.3</v>
      </c>
      <c r="H866" s="30">
        <f>SUM(H867)</f>
        <v>15109.2</v>
      </c>
      <c r="I866" s="30">
        <f t="shared" si="21"/>
        <v>57.65703884328743</v>
      </c>
    </row>
    <row r="867" spans="1:9" ht="15">
      <c r="A867" s="26" t="s">
        <v>951</v>
      </c>
      <c r="B867" s="27"/>
      <c r="C867" s="28" t="s">
        <v>972</v>
      </c>
      <c r="D867" s="28" t="s">
        <v>983</v>
      </c>
      <c r="E867" s="28" t="s">
        <v>953</v>
      </c>
      <c r="F867" s="29"/>
      <c r="G867" s="30">
        <f>SUM(G868+G871+G877+G875)</f>
        <v>26205.3</v>
      </c>
      <c r="H867" s="30">
        <f>SUM(H868+H871+H877+H875)</f>
        <v>15109.2</v>
      </c>
      <c r="I867" s="30">
        <f t="shared" si="21"/>
        <v>57.65703884328743</v>
      </c>
    </row>
    <row r="868" spans="1:10" ht="14.25" customHeight="1">
      <c r="A868" s="132" t="s">
        <v>947</v>
      </c>
      <c r="B868" s="90"/>
      <c r="C868" s="28" t="s">
        <v>972</v>
      </c>
      <c r="D868" s="28" t="s">
        <v>983</v>
      </c>
      <c r="E868" s="28" t="s">
        <v>953</v>
      </c>
      <c r="F868" s="158" t="s">
        <v>948</v>
      </c>
      <c r="G868" s="30">
        <f>2223.4-37.6</f>
        <v>2185.8</v>
      </c>
      <c r="H868" s="30">
        <v>227.6</v>
      </c>
      <c r="I868" s="30">
        <f t="shared" si="21"/>
        <v>10.412663555677554</v>
      </c>
      <c r="J868" s="65">
        <f>SUM('[2]ведомствен.'!G827)</f>
        <v>2223.4</v>
      </c>
    </row>
    <row r="869" spans="1:9" ht="28.5" customHeight="1" hidden="1">
      <c r="A869" s="132" t="s">
        <v>558</v>
      </c>
      <c r="B869" s="90"/>
      <c r="C869" s="28" t="s">
        <v>972</v>
      </c>
      <c r="D869" s="28" t="s">
        <v>983</v>
      </c>
      <c r="E869" s="28" t="s">
        <v>559</v>
      </c>
      <c r="F869" s="158"/>
      <c r="G869" s="30">
        <f>SUM(G870)</f>
        <v>0</v>
      </c>
      <c r="H869" s="30">
        <f>SUM(H870)</f>
        <v>0</v>
      </c>
      <c r="I869" s="30" t="e">
        <f t="shared" si="21"/>
        <v>#DIV/0!</v>
      </c>
    </row>
    <row r="870" spans="1:9" ht="14.25" customHeight="1" hidden="1">
      <c r="A870" s="132" t="s">
        <v>947</v>
      </c>
      <c r="B870" s="90"/>
      <c r="C870" s="28" t="s">
        <v>972</v>
      </c>
      <c r="D870" s="28" t="s">
        <v>983</v>
      </c>
      <c r="E870" s="28" t="s">
        <v>559</v>
      </c>
      <c r="F870" s="158" t="s">
        <v>948</v>
      </c>
      <c r="G870" s="30"/>
      <c r="H870" s="30"/>
      <c r="I870" s="30" t="e">
        <f t="shared" si="21"/>
        <v>#DIV/0!</v>
      </c>
    </row>
    <row r="871" spans="1:9" ht="27" customHeight="1">
      <c r="A871" s="132" t="s">
        <v>560</v>
      </c>
      <c r="B871" s="90"/>
      <c r="C871" s="28" t="s">
        <v>972</v>
      </c>
      <c r="D871" s="28" t="s">
        <v>983</v>
      </c>
      <c r="E871" s="28" t="s">
        <v>561</v>
      </c>
      <c r="F871" s="158"/>
      <c r="G871" s="30">
        <f>SUM(G872)</f>
        <v>4033.7</v>
      </c>
      <c r="H871" s="30">
        <f>SUM(H872)</f>
        <v>2507.7</v>
      </c>
      <c r="I871" s="30">
        <f t="shared" si="21"/>
        <v>62.168728462701736</v>
      </c>
    </row>
    <row r="872" spans="1:10" ht="24" customHeight="1">
      <c r="A872" s="132" t="s">
        <v>947</v>
      </c>
      <c r="B872" s="48"/>
      <c r="C872" s="28" t="s">
        <v>972</v>
      </c>
      <c r="D872" s="28" t="s">
        <v>983</v>
      </c>
      <c r="E872" s="28" t="s">
        <v>561</v>
      </c>
      <c r="F872" s="158" t="s">
        <v>948</v>
      </c>
      <c r="G872" s="30">
        <v>4033.7</v>
      </c>
      <c r="H872" s="30">
        <v>2507.7</v>
      </c>
      <c r="I872" s="30">
        <f t="shared" si="21"/>
        <v>62.168728462701736</v>
      </c>
      <c r="J872" s="65">
        <f>SUM('[2]ведомствен.'!G831)</f>
        <v>4033.7</v>
      </c>
    </row>
    <row r="873" spans="1:9" ht="42.75" customHeight="1" hidden="1">
      <c r="A873" s="132" t="s">
        <v>562</v>
      </c>
      <c r="B873" s="48"/>
      <c r="C873" s="28" t="s">
        <v>972</v>
      </c>
      <c r="D873" s="28" t="s">
        <v>983</v>
      </c>
      <c r="E873" s="28" t="s">
        <v>563</v>
      </c>
      <c r="F873" s="158"/>
      <c r="G873" s="30"/>
      <c r="H873" s="30"/>
      <c r="I873" s="30" t="e">
        <f t="shared" si="21"/>
        <v>#DIV/0!</v>
      </c>
    </row>
    <row r="874" spans="1:10" s="87" customFormat="1" ht="18.75" customHeight="1" hidden="1">
      <c r="A874" s="159" t="s">
        <v>947</v>
      </c>
      <c r="B874" s="160"/>
      <c r="C874" s="161" t="s">
        <v>972</v>
      </c>
      <c r="D874" s="161" t="s">
        <v>983</v>
      </c>
      <c r="E874" s="161" t="s">
        <v>563</v>
      </c>
      <c r="F874" s="162" t="s">
        <v>948</v>
      </c>
      <c r="G874" s="103"/>
      <c r="H874" s="103"/>
      <c r="I874" s="30" t="e">
        <f t="shared" si="21"/>
        <v>#DIV/0!</v>
      </c>
      <c r="J874" s="163"/>
    </row>
    <row r="875" spans="1:9" ht="28.5">
      <c r="A875" s="132" t="s">
        <v>558</v>
      </c>
      <c r="B875" s="90"/>
      <c r="C875" s="28" t="s">
        <v>972</v>
      </c>
      <c r="D875" s="28" t="s">
        <v>983</v>
      </c>
      <c r="E875" s="28" t="s">
        <v>559</v>
      </c>
      <c r="F875" s="158"/>
      <c r="G875" s="30">
        <f>SUM(G876)</f>
        <v>16521.8</v>
      </c>
      <c r="H875" s="30">
        <f>SUM(H876)</f>
        <v>10267.1</v>
      </c>
      <c r="I875" s="30">
        <f t="shared" si="21"/>
        <v>62.14274473725624</v>
      </c>
    </row>
    <row r="876" spans="1:10" ht="14.25" customHeight="1">
      <c r="A876" s="132" t="s">
        <v>947</v>
      </c>
      <c r="B876" s="90"/>
      <c r="C876" s="28" t="s">
        <v>972</v>
      </c>
      <c r="D876" s="28" t="s">
        <v>983</v>
      </c>
      <c r="E876" s="28" t="s">
        <v>559</v>
      </c>
      <c r="F876" s="158" t="s">
        <v>948</v>
      </c>
      <c r="G876" s="30">
        <f>16396.8+125</f>
        <v>16521.8</v>
      </c>
      <c r="H876" s="30">
        <v>10267.1</v>
      </c>
      <c r="I876" s="30">
        <f t="shared" si="21"/>
        <v>62.14274473725624</v>
      </c>
      <c r="J876" s="65">
        <f>SUM('[2]ведомствен.'!G835)</f>
        <v>16396.8</v>
      </c>
    </row>
    <row r="877" spans="1:9" ht="42.75">
      <c r="A877" s="132" t="s">
        <v>562</v>
      </c>
      <c r="B877" s="48"/>
      <c r="C877" s="28" t="s">
        <v>972</v>
      </c>
      <c r="D877" s="28" t="s">
        <v>983</v>
      </c>
      <c r="E877" s="28" t="s">
        <v>564</v>
      </c>
      <c r="F877" s="158"/>
      <c r="G877" s="30">
        <f>SUM(G878)</f>
        <v>3464</v>
      </c>
      <c r="H877" s="30">
        <f>SUM(H878)</f>
        <v>2106.8</v>
      </c>
      <c r="I877" s="30">
        <f t="shared" si="21"/>
        <v>60.81986143187067</v>
      </c>
    </row>
    <row r="878" spans="1:10" s="87" customFormat="1" ht="18" customHeight="1">
      <c r="A878" s="159" t="s">
        <v>947</v>
      </c>
      <c r="B878" s="160"/>
      <c r="C878" s="161" t="s">
        <v>972</v>
      </c>
      <c r="D878" s="161" t="s">
        <v>983</v>
      </c>
      <c r="E878" s="28" t="s">
        <v>564</v>
      </c>
      <c r="F878" s="162" t="s">
        <v>948</v>
      </c>
      <c r="G878" s="103">
        <v>3464</v>
      </c>
      <c r="H878" s="103">
        <v>2106.8</v>
      </c>
      <c r="I878" s="30">
        <f t="shared" si="21"/>
        <v>60.81986143187067</v>
      </c>
      <c r="J878" s="65">
        <f>SUM('[2]ведомствен.'!G837)</f>
        <v>3464</v>
      </c>
    </row>
    <row r="879" spans="1:10" ht="22.5" customHeight="1">
      <c r="A879" s="26" t="s">
        <v>67</v>
      </c>
      <c r="B879" s="36"/>
      <c r="C879" s="28" t="s">
        <v>972</v>
      </c>
      <c r="D879" s="28" t="s">
        <v>983</v>
      </c>
      <c r="E879" s="28" t="s">
        <v>68</v>
      </c>
      <c r="F879" s="91"/>
      <c r="G879" s="30">
        <f>SUM(G880)</f>
        <v>3000</v>
      </c>
      <c r="H879" s="30"/>
      <c r="I879" s="30"/>
      <c r="J879" s="3"/>
    </row>
    <row r="880" spans="1:10" ht="77.25" customHeight="1">
      <c r="A880" s="44" t="s">
        <v>565</v>
      </c>
      <c r="B880" s="90"/>
      <c r="C880" s="28" t="s">
        <v>972</v>
      </c>
      <c r="D880" s="28" t="s">
        <v>983</v>
      </c>
      <c r="E880" s="28" t="s">
        <v>566</v>
      </c>
      <c r="F880" s="91"/>
      <c r="G880" s="30">
        <f>SUM(G881)</f>
        <v>3000</v>
      </c>
      <c r="H880" s="30"/>
      <c r="I880" s="30"/>
      <c r="J880" s="3"/>
    </row>
    <row r="881" spans="1:10" ht="32.25" customHeight="1">
      <c r="A881" s="44" t="s">
        <v>947</v>
      </c>
      <c r="B881" s="90"/>
      <c r="C881" s="28" t="s">
        <v>972</v>
      </c>
      <c r="D881" s="28" t="s">
        <v>983</v>
      </c>
      <c r="E881" s="28" t="s">
        <v>566</v>
      </c>
      <c r="F881" s="91" t="s">
        <v>948</v>
      </c>
      <c r="G881" s="30">
        <v>3000</v>
      </c>
      <c r="H881" s="30"/>
      <c r="I881" s="30"/>
      <c r="J881" s="3">
        <f>SUM('[2]ведомствен.'!G840)</f>
        <v>3000</v>
      </c>
    </row>
    <row r="882" spans="1:10" ht="18.75" customHeight="1">
      <c r="A882" s="131" t="s">
        <v>20</v>
      </c>
      <c r="B882" s="27"/>
      <c r="C882" s="28" t="s">
        <v>972</v>
      </c>
      <c r="D882" s="28" t="s">
        <v>983</v>
      </c>
      <c r="E882" s="28" t="s">
        <v>21</v>
      </c>
      <c r="F882" s="29"/>
      <c r="G882" s="30">
        <f>SUM(G883)</f>
        <v>1000</v>
      </c>
      <c r="H882" s="30"/>
      <c r="I882" s="30"/>
      <c r="J882" s="3"/>
    </row>
    <row r="883" spans="1:10" ht="72" customHeight="1">
      <c r="A883" s="132" t="s">
        <v>567</v>
      </c>
      <c r="B883" s="90"/>
      <c r="C883" s="28" t="s">
        <v>972</v>
      </c>
      <c r="D883" s="28" t="s">
        <v>983</v>
      </c>
      <c r="E883" s="28" t="s">
        <v>568</v>
      </c>
      <c r="F883" s="91"/>
      <c r="G883" s="30">
        <f>SUM(G884)</f>
        <v>1000</v>
      </c>
      <c r="H883" s="30"/>
      <c r="I883" s="30"/>
      <c r="J883" s="3"/>
    </row>
    <row r="884" spans="1:10" ht="20.25" customHeight="1">
      <c r="A884" s="132" t="s">
        <v>947</v>
      </c>
      <c r="B884" s="90"/>
      <c r="C884" s="28" t="s">
        <v>972</v>
      </c>
      <c r="D884" s="28" t="s">
        <v>983</v>
      </c>
      <c r="E884" s="28" t="s">
        <v>568</v>
      </c>
      <c r="F884" s="91" t="s">
        <v>948</v>
      </c>
      <c r="G884" s="30">
        <v>1000</v>
      </c>
      <c r="H884" s="30"/>
      <c r="I884" s="30"/>
      <c r="J884" s="3">
        <f>SUM('[2]ведомствен.'!G843)</f>
        <v>1000</v>
      </c>
    </row>
    <row r="885" spans="1:10" s="87" customFormat="1" ht="18" customHeight="1" hidden="1">
      <c r="A885" s="159"/>
      <c r="B885" s="160"/>
      <c r="C885" s="161"/>
      <c r="D885" s="161"/>
      <c r="E885" s="28"/>
      <c r="F885" s="162"/>
      <c r="G885" s="103"/>
      <c r="H885" s="103"/>
      <c r="I885" s="30"/>
      <c r="J885" s="65"/>
    </row>
    <row r="886" spans="1:10" s="87" customFormat="1" ht="18" customHeight="1" hidden="1">
      <c r="A886" s="159"/>
      <c r="B886" s="160"/>
      <c r="C886" s="161"/>
      <c r="D886" s="161"/>
      <c r="E886" s="28"/>
      <c r="F886" s="162"/>
      <c r="G886" s="103"/>
      <c r="H886" s="103"/>
      <c r="I886" s="30"/>
      <c r="J886" s="65"/>
    </row>
    <row r="887" spans="1:11" s="165" customFormat="1" ht="18" customHeight="1">
      <c r="A887" s="136" t="s">
        <v>390</v>
      </c>
      <c r="B887" s="84"/>
      <c r="C887" s="137" t="s">
        <v>432</v>
      </c>
      <c r="D887" s="137"/>
      <c r="E887" s="137"/>
      <c r="F887" s="138"/>
      <c r="G887" s="38">
        <f>SUM(G888+G892)</f>
        <v>23823.5</v>
      </c>
      <c r="H887" s="164"/>
      <c r="I887" s="38"/>
      <c r="J887" s="129"/>
      <c r="K887" s="165">
        <f>SUM('[2]ведомствен.'!G992+'[2]ведомствен.'!G643)</f>
        <v>23396.899999999998</v>
      </c>
    </row>
    <row r="888" spans="1:11" s="87" customFormat="1" ht="18" customHeight="1">
      <c r="A888" s="131" t="s">
        <v>625</v>
      </c>
      <c r="B888" s="27"/>
      <c r="C888" s="28" t="s">
        <v>432</v>
      </c>
      <c r="D888" s="28" t="s">
        <v>940</v>
      </c>
      <c r="E888" s="28"/>
      <c r="F888" s="29"/>
      <c r="G888" s="30">
        <f>SUM(G889)</f>
        <v>2938.4</v>
      </c>
      <c r="H888" s="103"/>
      <c r="I888" s="30"/>
      <c r="J888" s="65"/>
      <c r="K888" s="163">
        <f>SUM(J891:J903)</f>
        <v>23396.899999999998</v>
      </c>
    </row>
    <row r="889" spans="1:10" s="87" customFormat="1" ht="30.75" customHeight="1">
      <c r="A889" s="131" t="s">
        <v>391</v>
      </c>
      <c r="B889" s="27"/>
      <c r="C889" s="28" t="s">
        <v>432</v>
      </c>
      <c r="D889" s="28" t="s">
        <v>940</v>
      </c>
      <c r="E889" s="75" t="s">
        <v>392</v>
      </c>
      <c r="F889" s="29"/>
      <c r="G889" s="30">
        <f>SUM(G890)</f>
        <v>2938.4</v>
      </c>
      <c r="H889" s="103"/>
      <c r="I889" s="30"/>
      <c r="J889" s="65"/>
    </row>
    <row r="890" spans="1:10" s="87" customFormat="1" ht="27" customHeight="1">
      <c r="A890" s="131" t="s">
        <v>393</v>
      </c>
      <c r="B890" s="27"/>
      <c r="C890" s="28" t="s">
        <v>432</v>
      </c>
      <c r="D890" s="28" t="s">
        <v>940</v>
      </c>
      <c r="E890" s="75" t="s">
        <v>394</v>
      </c>
      <c r="F890" s="29"/>
      <c r="G890" s="30">
        <f>SUM(G891)</f>
        <v>2938.4</v>
      </c>
      <c r="H890" s="103"/>
      <c r="I890" s="30"/>
      <c r="J890" s="65"/>
    </row>
    <row r="891" spans="1:10" s="87" customFormat="1" ht="18" customHeight="1">
      <c r="A891" s="26" t="s">
        <v>947</v>
      </c>
      <c r="B891" s="27"/>
      <c r="C891" s="28" t="s">
        <v>432</v>
      </c>
      <c r="D891" s="28" t="s">
        <v>940</v>
      </c>
      <c r="E891" s="75" t="s">
        <v>394</v>
      </c>
      <c r="F891" s="29" t="s">
        <v>948</v>
      </c>
      <c r="G891" s="30">
        <f>2949.4-11</f>
        <v>2938.4</v>
      </c>
      <c r="H891" s="103"/>
      <c r="I891" s="30"/>
      <c r="J891" s="65">
        <f>SUM('[2]ведомствен.'!G998)</f>
        <v>2949.4</v>
      </c>
    </row>
    <row r="892" spans="1:10" s="87" customFormat="1" ht="18" customHeight="1">
      <c r="A892" s="131" t="s">
        <v>433</v>
      </c>
      <c r="B892" s="27"/>
      <c r="C892" s="28" t="s">
        <v>432</v>
      </c>
      <c r="D892" s="28" t="s">
        <v>31</v>
      </c>
      <c r="E892" s="28"/>
      <c r="F892" s="29"/>
      <c r="G892" s="30">
        <f>SUM(G893+G896+G901)+G898</f>
        <v>20885.1</v>
      </c>
      <c r="H892" s="103"/>
      <c r="I892" s="30"/>
      <c r="J892" s="65"/>
    </row>
    <row r="893" spans="1:10" s="87" customFormat="1" ht="42.75" customHeight="1">
      <c r="A893" s="26" t="s">
        <v>943</v>
      </c>
      <c r="B893" s="27"/>
      <c r="C893" s="28" t="s">
        <v>432</v>
      </c>
      <c r="D893" s="28" t="s">
        <v>31</v>
      </c>
      <c r="E893" s="28" t="s">
        <v>944</v>
      </c>
      <c r="F893" s="29"/>
      <c r="G893" s="30">
        <f>SUM(G894)</f>
        <v>3534.3</v>
      </c>
      <c r="H893" s="103"/>
      <c r="I893" s="30"/>
      <c r="J893" s="65"/>
    </row>
    <row r="894" spans="1:10" s="87" customFormat="1" ht="18" customHeight="1">
      <c r="A894" s="26" t="s">
        <v>951</v>
      </c>
      <c r="B894" s="27"/>
      <c r="C894" s="28" t="s">
        <v>432</v>
      </c>
      <c r="D894" s="28" t="s">
        <v>31</v>
      </c>
      <c r="E894" s="28" t="s">
        <v>953</v>
      </c>
      <c r="F894" s="29"/>
      <c r="G894" s="30">
        <f>SUM(G895)</f>
        <v>3534.3</v>
      </c>
      <c r="H894" s="103"/>
      <c r="I894" s="30"/>
      <c r="J894" s="65"/>
    </row>
    <row r="895" spans="1:10" s="87" customFormat="1" ht="15.75" customHeight="1">
      <c r="A895" s="26" t="s">
        <v>947</v>
      </c>
      <c r="B895" s="27"/>
      <c r="C895" s="28" t="s">
        <v>432</v>
      </c>
      <c r="D895" s="28" t="s">
        <v>31</v>
      </c>
      <c r="E895" s="28" t="s">
        <v>953</v>
      </c>
      <c r="F895" s="29" t="s">
        <v>948</v>
      </c>
      <c r="G895" s="30">
        <f>3395.9+138.4</f>
        <v>3534.3</v>
      </c>
      <c r="H895" s="103"/>
      <c r="I895" s="30"/>
      <c r="J895" s="65">
        <f>SUM('[2]ведомствен.'!G1000)</f>
        <v>3395.9</v>
      </c>
    </row>
    <row r="896" spans="1:10" s="87" customFormat="1" ht="18" customHeight="1" hidden="1">
      <c r="A896" s="26" t="s">
        <v>96</v>
      </c>
      <c r="B896" s="27"/>
      <c r="C896" s="28" t="s">
        <v>432</v>
      </c>
      <c r="D896" s="28" t="s">
        <v>31</v>
      </c>
      <c r="E896" s="28" t="s">
        <v>97</v>
      </c>
      <c r="F896" s="29"/>
      <c r="G896" s="30">
        <f>SUM(G897)</f>
        <v>0</v>
      </c>
      <c r="H896" s="103"/>
      <c r="I896" s="30"/>
      <c r="J896" s="65"/>
    </row>
    <row r="897" spans="1:10" s="87" customFormat="1" ht="18" customHeight="1" hidden="1">
      <c r="A897" s="26" t="s">
        <v>947</v>
      </c>
      <c r="B897" s="27"/>
      <c r="C897" s="28" t="s">
        <v>432</v>
      </c>
      <c r="D897" s="28" t="s">
        <v>31</v>
      </c>
      <c r="E897" s="28" t="s">
        <v>97</v>
      </c>
      <c r="F897" s="29" t="s">
        <v>948</v>
      </c>
      <c r="G897" s="30"/>
      <c r="H897" s="103"/>
      <c r="I897" s="30"/>
      <c r="J897" s="65"/>
    </row>
    <row r="898" spans="1:10" ht="15">
      <c r="A898" s="31" t="s">
        <v>67</v>
      </c>
      <c r="B898" s="27"/>
      <c r="C898" s="28" t="s">
        <v>432</v>
      </c>
      <c r="D898" s="28" t="s">
        <v>31</v>
      </c>
      <c r="E898" s="28" t="s">
        <v>68</v>
      </c>
      <c r="F898" s="29"/>
      <c r="G898" s="50">
        <f>SUM(G899)</f>
        <v>13649</v>
      </c>
      <c r="H898" s="30"/>
      <c r="I898" s="30"/>
      <c r="J898" s="3"/>
    </row>
    <row r="899" spans="1:10" ht="28.5">
      <c r="A899" s="26" t="s">
        <v>434</v>
      </c>
      <c r="B899" s="27"/>
      <c r="C899" s="28" t="s">
        <v>432</v>
      </c>
      <c r="D899" s="28" t="s">
        <v>31</v>
      </c>
      <c r="E899" s="28" t="s">
        <v>220</v>
      </c>
      <c r="F899" s="29"/>
      <c r="G899" s="50">
        <f>SUM(G900)</f>
        <v>13649</v>
      </c>
      <c r="H899" s="30"/>
      <c r="I899" s="30"/>
      <c r="J899" s="3"/>
    </row>
    <row r="900" spans="1:10" ht="15">
      <c r="A900" s="26" t="s">
        <v>195</v>
      </c>
      <c r="B900" s="27"/>
      <c r="C900" s="28" t="s">
        <v>432</v>
      </c>
      <c r="D900" s="28" t="s">
        <v>31</v>
      </c>
      <c r="E900" s="28" t="s">
        <v>220</v>
      </c>
      <c r="F900" s="29" t="s">
        <v>42</v>
      </c>
      <c r="G900" s="50">
        <v>13649</v>
      </c>
      <c r="H900" s="30"/>
      <c r="I900" s="30"/>
      <c r="J900" s="3">
        <f>SUM('[2]ведомствен.'!G647)</f>
        <v>13649</v>
      </c>
    </row>
    <row r="901" spans="1:10" ht="15">
      <c r="A901" s="131" t="s">
        <v>20</v>
      </c>
      <c r="B901" s="27"/>
      <c r="C901" s="28" t="s">
        <v>432</v>
      </c>
      <c r="D901" s="28" t="s">
        <v>31</v>
      </c>
      <c r="E901" s="28" t="s">
        <v>21</v>
      </c>
      <c r="F901" s="29"/>
      <c r="G901" s="50">
        <f>SUM(G902)</f>
        <v>3701.8</v>
      </c>
      <c r="H901" s="30" t="e">
        <f>SUM(H904)+H908+H910</f>
        <v>#REF!</v>
      </c>
      <c r="I901" s="30" t="e">
        <f>SUM(H901/G901*100)</f>
        <v>#REF!</v>
      </c>
      <c r="J901" s="3"/>
    </row>
    <row r="902" spans="1:10" ht="29.25" customHeight="1">
      <c r="A902" s="131" t="s">
        <v>336</v>
      </c>
      <c r="B902" s="27"/>
      <c r="C902" s="28" t="s">
        <v>432</v>
      </c>
      <c r="D902" s="28" t="s">
        <v>31</v>
      </c>
      <c r="E902" s="28" t="s">
        <v>92</v>
      </c>
      <c r="F902" s="34"/>
      <c r="G902" s="50">
        <f>SUM(G903)</f>
        <v>3701.8</v>
      </c>
      <c r="H902" s="50">
        <f>SUM(H903)</f>
        <v>1042.3</v>
      </c>
      <c r="I902" s="30">
        <f>SUM(H902/G902*100)</f>
        <v>28.15657247825382</v>
      </c>
      <c r="J902" s="3"/>
    </row>
    <row r="903" spans="1:10" ht="15" customHeight="1">
      <c r="A903" s="131" t="s">
        <v>195</v>
      </c>
      <c r="B903" s="27"/>
      <c r="C903" s="28" t="s">
        <v>432</v>
      </c>
      <c r="D903" s="28" t="s">
        <v>31</v>
      </c>
      <c r="E903" s="28" t="s">
        <v>92</v>
      </c>
      <c r="F903" s="34" t="s">
        <v>42</v>
      </c>
      <c r="G903" s="50">
        <f>3402.6+31.8+67.4+200</f>
        <v>3701.8</v>
      </c>
      <c r="H903" s="50">
        <v>1042.3</v>
      </c>
      <c r="I903" s="30">
        <f>SUM(H903/G903*100)</f>
        <v>28.15657247825382</v>
      </c>
      <c r="J903" s="3">
        <f>SUM('[2]ведомствен.'!G650+'[2]ведомствен.'!G943)</f>
        <v>3402.6</v>
      </c>
    </row>
    <row r="904" spans="1:10" s="87" customFormat="1" ht="18" customHeight="1" hidden="1">
      <c r="A904" s="159"/>
      <c r="B904" s="160"/>
      <c r="C904" s="161"/>
      <c r="D904" s="161"/>
      <c r="E904" s="28"/>
      <c r="F904" s="162"/>
      <c r="G904" s="103"/>
      <c r="H904" s="103"/>
      <c r="I904" s="30"/>
      <c r="J904" s="65"/>
    </row>
    <row r="905" spans="1:10" s="87" customFormat="1" ht="23.25" customHeight="1" hidden="1">
      <c r="A905" s="159"/>
      <c r="B905" s="160"/>
      <c r="C905" s="161"/>
      <c r="D905" s="161"/>
      <c r="E905" s="28"/>
      <c r="F905" s="162"/>
      <c r="G905" s="103"/>
      <c r="H905" s="103"/>
      <c r="I905" s="30"/>
      <c r="J905" s="65"/>
    </row>
    <row r="906" spans="1:10" s="165" customFormat="1" ht="30" customHeight="1">
      <c r="A906" s="136" t="s">
        <v>439</v>
      </c>
      <c r="B906" s="84"/>
      <c r="C906" s="137" t="s">
        <v>957</v>
      </c>
      <c r="D906" s="137" t="s">
        <v>445</v>
      </c>
      <c r="E906" s="137"/>
      <c r="F906" s="138"/>
      <c r="G906" s="38">
        <f>SUM(G907)</f>
        <v>1554</v>
      </c>
      <c r="H906" s="164"/>
      <c r="I906" s="38"/>
      <c r="J906" s="129"/>
    </row>
    <row r="907" spans="1:10" s="87" customFormat="1" ht="33" customHeight="1">
      <c r="A907" s="132" t="s">
        <v>446</v>
      </c>
      <c r="B907" s="27"/>
      <c r="C907" s="67" t="s">
        <v>957</v>
      </c>
      <c r="D907" s="67" t="s">
        <v>940</v>
      </c>
      <c r="E907" s="28"/>
      <c r="F907" s="29"/>
      <c r="G907" s="50">
        <f>SUM(G908)</f>
        <v>1554</v>
      </c>
      <c r="H907" s="103"/>
      <c r="I907" s="30"/>
      <c r="J907" s="65"/>
    </row>
    <row r="908" spans="1:10" s="87" customFormat="1" ht="18.75" customHeight="1">
      <c r="A908" s="26" t="s">
        <v>440</v>
      </c>
      <c r="B908" s="27"/>
      <c r="C908" s="67" t="s">
        <v>957</v>
      </c>
      <c r="D908" s="67" t="s">
        <v>940</v>
      </c>
      <c r="E908" s="28" t="s">
        <v>441</v>
      </c>
      <c r="F908" s="29"/>
      <c r="G908" s="30">
        <f>SUM(G910)</f>
        <v>1554</v>
      </c>
      <c r="H908" s="50" t="e">
        <f>SUM(H909)</f>
        <v>#REF!</v>
      </c>
      <c r="I908" s="30" t="e">
        <f>SUM(H908/G908*100)</f>
        <v>#REF!</v>
      </c>
      <c r="J908" s="163"/>
    </row>
    <row r="909" spans="1:10" s="87" customFormat="1" ht="18.75" customHeight="1">
      <c r="A909" s="26" t="s">
        <v>442</v>
      </c>
      <c r="B909" s="27"/>
      <c r="C909" s="67" t="s">
        <v>957</v>
      </c>
      <c r="D909" s="67" t="s">
        <v>940</v>
      </c>
      <c r="E909" s="28" t="s">
        <v>443</v>
      </c>
      <c r="F909" s="29"/>
      <c r="G909" s="30">
        <f>SUM(G910)</f>
        <v>1554</v>
      </c>
      <c r="H909" s="50" t="e">
        <f>SUM(H910)</f>
        <v>#REF!</v>
      </c>
      <c r="I909" s="30" t="e">
        <f>SUM(H909/G909*100)</f>
        <v>#REF!</v>
      </c>
      <c r="J909" s="163"/>
    </row>
    <row r="910" spans="1:10" s="87" customFormat="1" ht="20.25" customHeight="1" thickBot="1">
      <c r="A910" s="26" t="s">
        <v>306</v>
      </c>
      <c r="B910" s="27"/>
      <c r="C910" s="67" t="s">
        <v>957</v>
      </c>
      <c r="D910" s="67" t="s">
        <v>940</v>
      </c>
      <c r="E910" s="28" t="s">
        <v>443</v>
      </c>
      <c r="F910" s="29" t="s">
        <v>307</v>
      </c>
      <c r="G910" s="30">
        <f>1514.9+39.1</f>
        <v>1554</v>
      </c>
      <c r="H910" s="50" t="e">
        <f>SUM(#REF!)</f>
        <v>#REF!</v>
      </c>
      <c r="I910" s="30" t="e">
        <f>SUM(H910/G910*100)</f>
        <v>#REF!</v>
      </c>
      <c r="J910" s="163">
        <f>SUM('[2]ведомствен.'!G680)</f>
        <v>1514.9</v>
      </c>
    </row>
    <row r="911" spans="1:10" s="64" customFormat="1" ht="21.75" customHeight="1" thickBot="1">
      <c r="A911" s="166" t="s">
        <v>838</v>
      </c>
      <c r="B911" s="105"/>
      <c r="C911" s="106"/>
      <c r="D911" s="106"/>
      <c r="E911" s="106"/>
      <c r="F911" s="107"/>
      <c r="G911" s="108">
        <f>SUM(G13+G124+G186+G234+G390+G412+G580+G628+G724)+G906+G887</f>
        <v>3505597</v>
      </c>
      <c r="H911" s="108" t="e">
        <f>SUM(H13+H124+H186+H234+H390+H412+H580+H628+H724)</f>
        <v>#REF!</v>
      </c>
      <c r="I911" s="109" t="e">
        <f>SUM(H911/G911*100)</f>
        <v>#REF!</v>
      </c>
      <c r="J911" s="150">
        <f>SUM(J13:J910)</f>
        <v>3610751.700000002</v>
      </c>
    </row>
    <row r="912" spans="1:9" ht="28.5" customHeight="1" hidden="1">
      <c r="A912" s="167" t="s">
        <v>839</v>
      </c>
      <c r="B912" s="168"/>
      <c r="C912" s="169"/>
      <c r="D912" s="168"/>
      <c r="E912" s="168"/>
      <c r="F912" s="170"/>
      <c r="G912" s="171">
        <f>-76000-174.5-350</f>
        <v>-76524.5</v>
      </c>
      <c r="H912" s="171">
        <f>-76000-174.5-350</f>
        <v>-76524.5</v>
      </c>
      <c r="I912" s="171">
        <f>-76000-174.5-350</f>
        <v>-76524.5</v>
      </c>
    </row>
    <row r="913" spans="1:9" ht="15" customHeight="1" hidden="1">
      <c r="A913" s="172" t="s">
        <v>900</v>
      </c>
      <c r="B913" s="173"/>
      <c r="C913" s="174"/>
      <c r="D913" s="173"/>
      <c r="E913" s="173"/>
      <c r="F913" s="175"/>
      <c r="G913" s="176"/>
      <c r="H913" s="176"/>
      <c r="I913" s="176"/>
    </row>
    <row r="914" spans="1:9" ht="17.25" customHeight="1" hidden="1">
      <c r="A914" s="167" t="s">
        <v>900</v>
      </c>
      <c r="B914" s="169" t="s">
        <v>901</v>
      </c>
      <c r="C914" s="169" t="s">
        <v>445</v>
      </c>
      <c r="D914" s="169" t="s">
        <v>445</v>
      </c>
      <c r="E914" s="169" t="s">
        <v>763</v>
      </c>
      <c r="F914" s="177" t="s">
        <v>901</v>
      </c>
      <c r="G914" s="114"/>
      <c r="H914" s="114"/>
      <c r="I914" s="114"/>
    </row>
    <row r="915" spans="1:9" ht="30" customHeight="1" hidden="1">
      <c r="A915" s="178" t="s">
        <v>902</v>
      </c>
      <c r="B915" s="179" t="s">
        <v>901</v>
      </c>
      <c r="C915" s="179" t="s">
        <v>940</v>
      </c>
      <c r="D915" s="179" t="s">
        <v>950</v>
      </c>
      <c r="E915" s="179" t="s">
        <v>763</v>
      </c>
      <c r="F915" s="180"/>
      <c r="G915" s="181">
        <v>0</v>
      </c>
      <c r="H915" s="181">
        <v>0</v>
      </c>
      <c r="I915" s="181">
        <v>0</v>
      </c>
    </row>
    <row r="916" spans="1:9" ht="42" customHeight="1" hidden="1">
      <c r="A916" s="26" t="s">
        <v>903</v>
      </c>
      <c r="B916" s="182" t="s">
        <v>901</v>
      </c>
      <c r="C916" s="182" t="s">
        <v>940</v>
      </c>
      <c r="D916" s="182" t="s">
        <v>950</v>
      </c>
      <c r="E916" s="182" t="s">
        <v>904</v>
      </c>
      <c r="F916" s="183" t="s">
        <v>905</v>
      </c>
      <c r="G916" s="181">
        <v>62000</v>
      </c>
      <c r="H916" s="181">
        <v>62000</v>
      </c>
      <c r="I916" s="181">
        <v>62000</v>
      </c>
    </row>
    <row r="917" spans="1:9" ht="30.75" customHeight="1" hidden="1">
      <c r="A917" s="184" t="s">
        <v>906</v>
      </c>
      <c r="B917" s="182" t="s">
        <v>901</v>
      </c>
      <c r="C917" s="182" t="s">
        <v>940</v>
      </c>
      <c r="D917" s="182" t="s">
        <v>950</v>
      </c>
      <c r="E917" s="182" t="s">
        <v>904</v>
      </c>
      <c r="F917" s="183" t="s">
        <v>907</v>
      </c>
      <c r="G917" s="185">
        <v>62000</v>
      </c>
      <c r="H917" s="185">
        <v>62000</v>
      </c>
      <c r="I917" s="185">
        <v>62000</v>
      </c>
    </row>
    <row r="918" spans="1:9" ht="29.25" customHeight="1" hidden="1">
      <c r="A918" s="131" t="s">
        <v>908</v>
      </c>
      <c r="B918" s="182" t="s">
        <v>901</v>
      </c>
      <c r="C918" s="182" t="s">
        <v>983</v>
      </c>
      <c r="D918" s="182" t="s">
        <v>445</v>
      </c>
      <c r="E918" s="182" t="s">
        <v>763</v>
      </c>
      <c r="F918" s="183" t="s">
        <v>901</v>
      </c>
      <c r="G918" s="186"/>
      <c r="H918" s="186"/>
      <c r="I918" s="186"/>
    </row>
    <row r="919" spans="1:9" ht="18" customHeight="1" hidden="1">
      <c r="A919" s="187" t="s">
        <v>909</v>
      </c>
      <c r="B919" s="188" t="s">
        <v>901</v>
      </c>
      <c r="C919" s="188" t="s">
        <v>940</v>
      </c>
      <c r="D919" s="188" t="s">
        <v>31</v>
      </c>
      <c r="E919" s="188" t="s">
        <v>910</v>
      </c>
      <c r="F919" s="189" t="s">
        <v>901</v>
      </c>
      <c r="G919" s="190">
        <f>67475+1681.5+1571.6</f>
        <v>70728.1</v>
      </c>
      <c r="H919" s="190">
        <f>67475+1681.5+1571.6</f>
        <v>70728.1</v>
      </c>
      <c r="I919" s="190">
        <f>67475+1681.5+1571.6</f>
        <v>70728.1</v>
      </c>
    </row>
    <row r="920" spans="1:9" ht="28.5" customHeight="1" hidden="1">
      <c r="A920" s="132" t="s">
        <v>911</v>
      </c>
      <c r="B920" s="182" t="s">
        <v>901</v>
      </c>
      <c r="C920" s="188" t="s">
        <v>940</v>
      </c>
      <c r="D920" s="188" t="s">
        <v>983</v>
      </c>
      <c r="E920" s="188" t="s">
        <v>763</v>
      </c>
      <c r="F920" s="189" t="s">
        <v>901</v>
      </c>
      <c r="G920" s="50">
        <f>SUM(G921-G922)</f>
        <v>0</v>
      </c>
      <c r="H920" s="50">
        <f>SUM(H921-H922)</f>
        <v>0</v>
      </c>
      <c r="I920" s="50">
        <f>SUM(I921-I922)</f>
        <v>0</v>
      </c>
    </row>
    <row r="921" spans="1:9" ht="85.5" customHeight="1" hidden="1">
      <c r="A921" s="191" t="s">
        <v>912</v>
      </c>
      <c r="B921" s="182"/>
      <c r="C921" s="188" t="s">
        <v>940</v>
      </c>
      <c r="D921" s="188" t="s">
        <v>983</v>
      </c>
      <c r="E921" s="192" t="s">
        <v>913</v>
      </c>
      <c r="F921" s="193">
        <v>810</v>
      </c>
      <c r="G921" s="50">
        <v>10000</v>
      </c>
      <c r="H921" s="50">
        <v>10000</v>
      </c>
      <c r="I921" s="50">
        <v>10000</v>
      </c>
    </row>
    <row r="922" spans="1:9" ht="45" customHeight="1" hidden="1">
      <c r="A922" s="194" t="s">
        <v>914</v>
      </c>
      <c r="B922" s="195"/>
      <c r="C922" s="195" t="s">
        <v>940</v>
      </c>
      <c r="D922" s="195" t="s">
        <v>983</v>
      </c>
      <c r="E922" s="196" t="s">
        <v>915</v>
      </c>
      <c r="F922" s="197">
        <v>640</v>
      </c>
      <c r="G922" s="198">
        <v>10000</v>
      </c>
      <c r="H922" s="198">
        <v>10000</v>
      </c>
      <c r="I922" s="198">
        <v>10000</v>
      </c>
    </row>
  </sheetData>
  <mergeCells count="2">
    <mergeCell ref="F5:G5"/>
    <mergeCell ref="F1:G1"/>
  </mergeCells>
  <printOptions/>
  <pageMargins left="1.299212598425197" right="0.15748031496062992" top="0.15748031496062992" bottom="0.2362204724409449" header="0.5118110236220472" footer="0.2362204724409449"/>
  <pageSetup fitToHeight="1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5"/>
  <sheetViews>
    <sheetView workbookViewId="0" topLeftCell="A1">
      <pane xSplit="1" ySplit="10" topLeftCell="G133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5" sqref="G5:H5"/>
    </sheetView>
  </sheetViews>
  <sheetFormatPr defaultColWidth="9.00390625" defaultRowHeight="12.75"/>
  <cols>
    <col min="1" max="1" width="53.25390625" style="1" customWidth="1"/>
    <col min="2" max="2" width="6.875" style="2" customWidth="1"/>
    <col min="3" max="3" width="7.75390625" style="3" customWidth="1"/>
    <col min="4" max="4" width="6.875" style="3" customWidth="1"/>
    <col min="5" max="5" width="12.75390625" style="3" customWidth="1"/>
    <col min="6" max="6" width="10.125" style="3" customWidth="1"/>
    <col min="7" max="7" width="17.125" style="10" customWidth="1"/>
    <col min="8" max="8" width="36.25390625" style="10" hidden="1" customWidth="1"/>
    <col min="9" max="9" width="5.625" style="10" hidden="1" customWidth="1"/>
    <col min="10" max="10" width="9.125" style="3" customWidth="1"/>
    <col min="11" max="11" width="11.375" style="3" customWidth="1"/>
    <col min="12" max="16" width="9.125" style="3" customWidth="1"/>
    <col min="17" max="17" width="14.375" style="3" customWidth="1"/>
    <col min="18" max="18" width="6.375" style="3" customWidth="1"/>
    <col min="19" max="19" width="5.375" style="3" customWidth="1"/>
    <col min="20" max="20" width="5.875" style="3" customWidth="1"/>
    <col min="21" max="21" width="6.125" style="3" customWidth="1"/>
    <col min="22" max="16384" width="9.125" style="3" customWidth="1"/>
  </cols>
  <sheetData>
    <row r="1" spans="7:9" ht="12.75">
      <c r="G1" s="4" t="s">
        <v>477</v>
      </c>
      <c r="H1" s="5"/>
      <c r="I1" s="6"/>
    </row>
    <row r="2" spans="1:9" ht="12.75">
      <c r="A2" s="1" t="s">
        <v>917</v>
      </c>
      <c r="G2" s="7" t="s">
        <v>918</v>
      </c>
      <c r="H2" s="5"/>
      <c r="I2" s="6"/>
    </row>
    <row r="3" spans="7:9" ht="12.75">
      <c r="G3" s="7" t="s">
        <v>919</v>
      </c>
      <c r="H3" s="5"/>
      <c r="I3" s="6"/>
    </row>
    <row r="4" spans="6:9" ht="12.75">
      <c r="F4" s="7"/>
      <c r="G4" s="7" t="s">
        <v>920</v>
      </c>
      <c r="H4" s="5"/>
      <c r="I4" s="6"/>
    </row>
    <row r="5" spans="2:8" ht="12.75" customHeight="1">
      <c r="B5" s="8" t="s">
        <v>921</v>
      </c>
      <c r="F5" s="9"/>
      <c r="G5" s="244" t="s">
        <v>482</v>
      </c>
      <c r="H5" s="244"/>
    </row>
    <row r="6" ht="12.75">
      <c r="B6" s="8" t="s">
        <v>922</v>
      </c>
    </row>
    <row r="7" ht="12.75">
      <c r="B7" s="8" t="s">
        <v>923</v>
      </c>
    </row>
    <row r="8" ht="24" customHeight="1" thickBot="1">
      <c r="B8" s="11"/>
    </row>
    <row r="9" spans="1:9" ht="14.25">
      <c r="A9" s="12" t="s">
        <v>924</v>
      </c>
      <c r="B9" s="13" t="s">
        <v>925</v>
      </c>
      <c r="C9" s="14"/>
      <c r="D9" s="15"/>
      <c r="E9" s="15"/>
      <c r="F9" s="15"/>
      <c r="G9" s="16" t="s">
        <v>926</v>
      </c>
      <c r="H9" s="16" t="s">
        <v>927</v>
      </c>
      <c r="I9" s="16" t="s">
        <v>928</v>
      </c>
    </row>
    <row r="10" spans="1:9" ht="24.75" customHeight="1" thickBot="1">
      <c r="A10" s="17"/>
      <c r="B10" s="18" t="s">
        <v>929</v>
      </c>
      <c r="C10" s="19" t="s">
        <v>930</v>
      </c>
      <c r="D10" s="19" t="s">
        <v>931</v>
      </c>
      <c r="E10" s="19" t="s">
        <v>932</v>
      </c>
      <c r="F10" s="20" t="s">
        <v>933</v>
      </c>
      <c r="G10" s="21" t="s">
        <v>934</v>
      </c>
      <c r="H10" s="21" t="s">
        <v>935</v>
      </c>
      <c r="I10" s="21" t="s">
        <v>936</v>
      </c>
    </row>
    <row r="11" spans="1:9" ht="30">
      <c r="A11" s="22" t="s">
        <v>937</v>
      </c>
      <c r="B11" s="23" t="s">
        <v>938</v>
      </c>
      <c r="C11" s="24"/>
      <c r="D11" s="24"/>
      <c r="E11" s="24"/>
      <c r="F11" s="14"/>
      <c r="G11" s="25">
        <f>SUM(G12)+G27+G32</f>
        <v>17447</v>
      </c>
      <c r="H11" s="25">
        <f>SUM(H12)+H27+H32</f>
        <v>9763.699999999999</v>
      </c>
      <c r="I11" s="25">
        <f aca="true" t="shared" si="0" ref="I11:I44">SUM(H11/G11*100)</f>
        <v>55.96205651401387</v>
      </c>
    </row>
    <row r="12" spans="1:9" ht="15">
      <c r="A12" s="26" t="s">
        <v>939</v>
      </c>
      <c r="B12" s="27"/>
      <c r="C12" s="28" t="s">
        <v>940</v>
      </c>
      <c r="D12" s="28"/>
      <c r="E12" s="28"/>
      <c r="F12" s="29"/>
      <c r="G12" s="30">
        <f>SUM(G13+G17+G23)</f>
        <v>17447</v>
      </c>
      <c r="H12" s="30">
        <f>SUM(H13+H17+H23)</f>
        <v>9401.9</v>
      </c>
      <c r="I12" s="30">
        <f t="shared" si="0"/>
        <v>53.88834756691695</v>
      </c>
    </row>
    <row r="13" spans="1:9" ht="28.5">
      <c r="A13" s="26" t="s">
        <v>941</v>
      </c>
      <c r="B13" s="27"/>
      <c r="C13" s="28" t="s">
        <v>940</v>
      </c>
      <c r="D13" s="28" t="s">
        <v>942</v>
      </c>
      <c r="E13" s="28"/>
      <c r="F13" s="29"/>
      <c r="G13" s="30">
        <f>SUM(G14)</f>
        <v>1264</v>
      </c>
      <c r="H13" s="30">
        <f>SUM(H14)</f>
        <v>983.5</v>
      </c>
      <c r="I13" s="30">
        <f t="shared" si="0"/>
        <v>77.80854430379746</v>
      </c>
    </row>
    <row r="14" spans="1:9" ht="41.25" customHeight="1">
      <c r="A14" s="26" t="s">
        <v>943</v>
      </c>
      <c r="B14" s="27"/>
      <c r="C14" s="28" t="s">
        <v>940</v>
      </c>
      <c r="D14" s="28" t="s">
        <v>942</v>
      </c>
      <c r="E14" s="28" t="s">
        <v>944</v>
      </c>
      <c r="F14" s="29"/>
      <c r="G14" s="30">
        <f>SUM(G16:G16)</f>
        <v>1264</v>
      </c>
      <c r="H14" s="30">
        <f>SUM(H16:H16)</f>
        <v>983.5</v>
      </c>
      <c r="I14" s="30">
        <f t="shared" si="0"/>
        <v>77.80854430379746</v>
      </c>
    </row>
    <row r="15" spans="1:9" ht="16.5" customHeight="1">
      <c r="A15" s="26" t="s">
        <v>945</v>
      </c>
      <c r="B15" s="27"/>
      <c r="C15" s="28" t="s">
        <v>940</v>
      </c>
      <c r="D15" s="28" t="s">
        <v>942</v>
      </c>
      <c r="E15" s="28" t="s">
        <v>946</v>
      </c>
      <c r="F15" s="29"/>
      <c r="G15" s="30">
        <f>SUM(G16)</f>
        <v>1264</v>
      </c>
      <c r="H15" s="30">
        <f>SUM(H16)</f>
        <v>983.5</v>
      </c>
      <c r="I15" s="30">
        <f t="shared" si="0"/>
        <v>77.80854430379746</v>
      </c>
    </row>
    <row r="16" spans="1:9" ht="29.25" customHeight="1">
      <c r="A16" s="26" t="s">
        <v>947</v>
      </c>
      <c r="B16" s="27"/>
      <c r="C16" s="28" t="s">
        <v>940</v>
      </c>
      <c r="D16" s="28" t="s">
        <v>942</v>
      </c>
      <c r="E16" s="28" t="s">
        <v>946</v>
      </c>
      <c r="F16" s="29" t="s">
        <v>948</v>
      </c>
      <c r="G16" s="30">
        <f>1445.1+40.9+13.9-235.9</f>
        <v>1264</v>
      </c>
      <c r="H16" s="30">
        <v>983.5</v>
      </c>
      <c r="I16" s="30">
        <f t="shared" si="0"/>
        <v>77.80854430379746</v>
      </c>
    </row>
    <row r="17" spans="1:9" ht="59.25" customHeight="1">
      <c r="A17" s="26" t="s">
        <v>949</v>
      </c>
      <c r="B17" s="27"/>
      <c r="C17" s="28" t="s">
        <v>940</v>
      </c>
      <c r="D17" s="28" t="s">
        <v>950</v>
      </c>
      <c r="E17" s="28"/>
      <c r="F17" s="29"/>
      <c r="G17" s="30">
        <f>SUM(G18)</f>
        <v>15264.9</v>
      </c>
      <c r="H17" s="30">
        <f>SUM(H18)</f>
        <v>8231.8</v>
      </c>
      <c r="I17" s="30">
        <f t="shared" si="0"/>
        <v>53.92632771914654</v>
      </c>
    </row>
    <row r="18" spans="1:9" ht="42.75" customHeight="1">
      <c r="A18" s="26" t="s">
        <v>943</v>
      </c>
      <c r="B18" s="27"/>
      <c r="C18" s="28" t="s">
        <v>940</v>
      </c>
      <c r="D18" s="28" t="s">
        <v>950</v>
      </c>
      <c r="E18" s="28" t="s">
        <v>944</v>
      </c>
      <c r="F18" s="29"/>
      <c r="G18" s="30">
        <f>SUM(G19+G21)</f>
        <v>15264.9</v>
      </c>
      <c r="H18" s="30">
        <f>SUM(H19+H21)</f>
        <v>8231.8</v>
      </c>
      <c r="I18" s="30">
        <f t="shared" si="0"/>
        <v>53.92632771914654</v>
      </c>
    </row>
    <row r="19" spans="1:9" ht="15">
      <c r="A19" s="26" t="s">
        <v>951</v>
      </c>
      <c r="B19" s="27"/>
      <c r="C19" s="28" t="s">
        <v>952</v>
      </c>
      <c r="D19" s="28" t="s">
        <v>950</v>
      </c>
      <c r="E19" s="28" t="s">
        <v>953</v>
      </c>
      <c r="F19" s="29"/>
      <c r="G19" s="30">
        <f>SUM(G20)</f>
        <v>15264.9</v>
      </c>
      <c r="H19" s="30">
        <f>SUM(H20)</f>
        <v>8068.7</v>
      </c>
      <c r="I19" s="30">
        <f t="shared" si="0"/>
        <v>52.857863464549396</v>
      </c>
    </row>
    <row r="20" spans="1:9" ht="27.75" customHeight="1">
      <c r="A20" s="26" t="s">
        <v>947</v>
      </c>
      <c r="B20" s="27"/>
      <c r="C20" s="28" t="s">
        <v>940</v>
      </c>
      <c r="D20" s="28" t="s">
        <v>950</v>
      </c>
      <c r="E20" s="28" t="s">
        <v>953</v>
      </c>
      <c r="F20" s="29" t="s">
        <v>948</v>
      </c>
      <c r="G20" s="30">
        <f>13410.5+176.1+18+180.4+22.8+1355+60+140-97.9</f>
        <v>15264.9</v>
      </c>
      <c r="H20" s="30">
        <v>8068.7</v>
      </c>
      <c r="I20" s="30">
        <f t="shared" si="0"/>
        <v>52.857863464549396</v>
      </c>
    </row>
    <row r="21" spans="1:9" ht="28.5" customHeight="1" hidden="1">
      <c r="A21" s="26" t="s">
        <v>954</v>
      </c>
      <c r="B21" s="27"/>
      <c r="C21" s="28" t="s">
        <v>952</v>
      </c>
      <c r="D21" s="28" t="s">
        <v>950</v>
      </c>
      <c r="E21" s="28" t="s">
        <v>955</v>
      </c>
      <c r="F21" s="29"/>
      <c r="G21" s="30">
        <f>SUM(G22)</f>
        <v>0</v>
      </c>
      <c r="H21" s="30">
        <f>SUM(H22)</f>
        <v>163.1</v>
      </c>
      <c r="I21" s="30" t="e">
        <f t="shared" si="0"/>
        <v>#DIV/0!</v>
      </c>
    </row>
    <row r="22" spans="1:9" ht="29.25" customHeight="1" hidden="1">
      <c r="A22" s="26" t="s">
        <v>947</v>
      </c>
      <c r="B22" s="27"/>
      <c r="C22" s="28" t="s">
        <v>952</v>
      </c>
      <c r="D22" s="28" t="s">
        <v>950</v>
      </c>
      <c r="E22" s="28" t="s">
        <v>955</v>
      </c>
      <c r="F22" s="29" t="s">
        <v>948</v>
      </c>
      <c r="G22" s="30"/>
      <c r="H22" s="30">
        <v>163.1</v>
      </c>
      <c r="I22" s="30" t="e">
        <f t="shared" si="0"/>
        <v>#DIV/0!</v>
      </c>
    </row>
    <row r="23" spans="1:9" ht="15">
      <c r="A23" s="26" t="s">
        <v>956</v>
      </c>
      <c r="B23" s="27"/>
      <c r="C23" s="28" t="s">
        <v>940</v>
      </c>
      <c r="D23" s="28" t="s">
        <v>957</v>
      </c>
      <c r="E23" s="28"/>
      <c r="F23" s="29"/>
      <c r="G23" s="30">
        <f>SUM(G24)</f>
        <v>918.1</v>
      </c>
      <c r="H23" s="30">
        <f>SUM(H24)</f>
        <v>186.6</v>
      </c>
      <c r="I23" s="30">
        <f t="shared" si="0"/>
        <v>20.324583378716916</v>
      </c>
    </row>
    <row r="24" spans="1:9" ht="28.5">
      <c r="A24" s="31" t="s">
        <v>958</v>
      </c>
      <c r="B24" s="27"/>
      <c r="C24" s="28" t="s">
        <v>940</v>
      </c>
      <c r="D24" s="28" t="s">
        <v>957</v>
      </c>
      <c r="E24" s="28" t="s">
        <v>959</v>
      </c>
      <c r="F24" s="29"/>
      <c r="G24" s="30">
        <f>SUM(G26)</f>
        <v>918.1</v>
      </c>
      <c r="H24" s="30">
        <f>SUM(H26)</f>
        <v>186.6</v>
      </c>
      <c r="I24" s="30">
        <f t="shared" si="0"/>
        <v>20.324583378716916</v>
      </c>
    </row>
    <row r="25" spans="1:9" ht="15">
      <c r="A25" s="31" t="s">
        <v>960</v>
      </c>
      <c r="B25" s="27"/>
      <c r="C25" s="28" t="s">
        <v>940</v>
      </c>
      <c r="D25" s="28" t="s">
        <v>957</v>
      </c>
      <c r="E25" s="28" t="s">
        <v>961</v>
      </c>
      <c r="F25" s="29"/>
      <c r="G25" s="30">
        <f>SUM(G26)</f>
        <v>918.1</v>
      </c>
      <c r="H25" s="30">
        <f>SUM(H26)</f>
        <v>186.6</v>
      </c>
      <c r="I25" s="30">
        <f t="shared" si="0"/>
        <v>20.324583378716916</v>
      </c>
    </row>
    <row r="26" spans="1:9" ht="27" customHeight="1">
      <c r="A26" s="26" t="s">
        <v>947</v>
      </c>
      <c r="B26" s="27"/>
      <c r="C26" s="28" t="s">
        <v>940</v>
      </c>
      <c r="D26" s="28" t="s">
        <v>957</v>
      </c>
      <c r="E26" s="28" t="s">
        <v>961</v>
      </c>
      <c r="F26" s="29" t="s">
        <v>948</v>
      </c>
      <c r="G26" s="30">
        <f>750.7+110-60+117.4</f>
        <v>918.1</v>
      </c>
      <c r="H26" s="30">
        <v>186.6</v>
      </c>
      <c r="I26" s="30">
        <f t="shared" si="0"/>
        <v>20.324583378716916</v>
      </c>
    </row>
    <row r="27" spans="1:9" ht="15" hidden="1">
      <c r="A27" s="26" t="s">
        <v>962</v>
      </c>
      <c r="B27" s="27"/>
      <c r="C27" s="28" t="s">
        <v>963</v>
      </c>
      <c r="D27" s="28"/>
      <c r="E27" s="28"/>
      <c r="F27" s="29"/>
      <c r="G27" s="30">
        <f aca="true" t="shared" si="1" ref="G27:H30">SUM(G28)</f>
        <v>0</v>
      </c>
      <c r="H27" s="30">
        <f t="shared" si="1"/>
        <v>0</v>
      </c>
      <c r="I27" s="30" t="e">
        <f t="shared" si="0"/>
        <v>#DIV/0!</v>
      </c>
    </row>
    <row r="28" spans="1:9" ht="15" hidden="1">
      <c r="A28" s="26" t="s">
        <v>964</v>
      </c>
      <c r="B28" s="32"/>
      <c r="C28" s="28" t="s">
        <v>963</v>
      </c>
      <c r="D28" s="28" t="s">
        <v>963</v>
      </c>
      <c r="E28" s="28"/>
      <c r="F28" s="29"/>
      <c r="G28" s="30">
        <f t="shared" si="1"/>
        <v>0</v>
      </c>
      <c r="H28" s="30">
        <f t="shared" si="1"/>
        <v>0</v>
      </c>
      <c r="I28" s="30" t="e">
        <f t="shared" si="0"/>
        <v>#DIV/0!</v>
      </c>
    </row>
    <row r="29" spans="1:9" ht="28.5" hidden="1">
      <c r="A29" s="31" t="s">
        <v>965</v>
      </c>
      <c r="B29" s="32"/>
      <c r="C29" s="28" t="s">
        <v>963</v>
      </c>
      <c r="D29" s="28" t="s">
        <v>963</v>
      </c>
      <c r="E29" s="28" t="s">
        <v>966</v>
      </c>
      <c r="F29" s="29"/>
      <c r="G29" s="30">
        <f t="shared" si="1"/>
        <v>0</v>
      </c>
      <c r="H29" s="30">
        <f t="shared" si="1"/>
        <v>0</v>
      </c>
      <c r="I29" s="30" t="e">
        <f t="shared" si="0"/>
        <v>#DIV/0!</v>
      </c>
    </row>
    <row r="30" spans="1:9" ht="19.5" customHeight="1" hidden="1">
      <c r="A30" s="31" t="s">
        <v>967</v>
      </c>
      <c r="B30" s="32"/>
      <c r="C30" s="28" t="s">
        <v>963</v>
      </c>
      <c r="D30" s="28" t="s">
        <v>963</v>
      </c>
      <c r="E30" s="28" t="s">
        <v>968</v>
      </c>
      <c r="F30" s="29"/>
      <c r="G30" s="30">
        <f t="shared" si="1"/>
        <v>0</v>
      </c>
      <c r="H30" s="30">
        <f t="shared" si="1"/>
        <v>0</v>
      </c>
      <c r="I30" s="30" t="e">
        <f t="shared" si="0"/>
        <v>#DIV/0!</v>
      </c>
    </row>
    <row r="31" spans="1:9" ht="18" customHeight="1" hidden="1">
      <c r="A31" s="26" t="s">
        <v>969</v>
      </c>
      <c r="B31" s="32"/>
      <c r="C31" s="28" t="s">
        <v>963</v>
      </c>
      <c r="D31" s="28" t="s">
        <v>963</v>
      </c>
      <c r="E31" s="28" t="s">
        <v>968</v>
      </c>
      <c r="F31" s="29" t="s">
        <v>970</v>
      </c>
      <c r="G31" s="30"/>
      <c r="H31" s="30"/>
      <c r="I31" s="30" t="e">
        <f t="shared" si="0"/>
        <v>#DIV/0!</v>
      </c>
    </row>
    <row r="32" spans="1:9" ht="18" customHeight="1" hidden="1">
      <c r="A32" s="26" t="s">
        <v>971</v>
      </c>
      <c r="B32" s="27"/>
      <c r="C32" s="28" t="s">
        <v>972</v>
      </c>
      <c r="D32" s="28"/>
      <c r="E32" s="28"/>
      <c r="F32" s="29"/>
      <c r="G32" s="30">
        <f>SUM(G36)</f>
        <v>0</v>
      </c>
      <c r="H32" s="30">
        <f>SUM(H36)</f>
        <v>361.8</v>
      </c>
      <c r="I32" s="30" t="e">
        <f t="shared" si="0"/>
        <v>#DIV/0!</v>
      </c>
    </row>
    <row r="33" spans="1:9" ht="18" customHeight="1" hidden="1">
      <c r="A33" s="31" t="s">
        <v>973</v>
      </c>
      <c r="B33" s="27"/>
      <c r="C33" s="28" t="s">
        <v>972</v>
      </c>
      <c r="D33" s="28" t="s">
        <v>950</v>
      </c>
      <c r="E33" s="28"/>
      <c r="F33" s="29"/>
      <c r="G33" s="30">
        <f aca="true" t="shared" si="2" ref="G33:H35">SUM(G34)</f>
        <v>0</v>
      </c>
      <c r="H33" s="30">
        <f t="shared" si="2"/>
        <v>361.8</v>
      </c>
      <c r="I33" s="30" t="e">
        <f t="shared" si="0"/>
        <v>#DIV/0!</v>
      </c>
    </row>
    <row r="34" spans="1:9" ht="24" customHeight="1" hidden="1">
      <c r="A34" s="26" t="s">
        <v>974</v>
      </c>
      <c r="B34" s="27"/>
      <c r="C34" s="28" t="s">
        <v>972</v>
      </c>
      <c r="D34" s="28" t="s">
        <v>950</v>
      </c>
      <c r="E34" s="28" t="s">
        <v>975</v>
      </c>
      <c r="F34" s="29"/>
      <c r="G34" s="30">
        <f t="shared" si="2"/>
        <v>0</v>
      </c>
      <c r="H34" s="30">
        <f t="shared" si="2"/>
        <v>361.8</v>
      </c>
      <c r="I34" s="30" t="e">
        <f t="shared" si="0"/>
        <v>#DIV/0!</v>
      </c>
    </row>
    <row r="35" spans="1:9" ht="44.25" customHeight="1" hidden="1">
      <c r="A35" s="26" t="s">
        <v>976</v>
      </c>
      <c r="B35" s="32"/>
      <c r="C35" s="28" t="s">
        <v>972</v>
      </c>
      <c r="D35" s="28" t="s">
        <v>950</v>
      </c>
      <c r="E35" s="28" t="s">
        <v>977</v>
      </c>
      <c r="F35" s="29"/>
      <c r="G35" s="30">
        <f t="shared" si="2"/>
        <v>0</v>
      </c>
      <c r="H35" s="30">
        <f t="shared" si="2"/>
        <v>361.8</v>
      </c>
      <c r="I35" s="30" t="e">
        <f t="shared" si="0"/>
        <v>#DIV/0!</v>
      </c>
    </row>
    <row r="36" spans="1:9" ht="18" customHeight="1" hidden="1">
      <c r="A36" s="26" t="s">
        <v>978</v>
      </c>
      <c r="B36" s="33"/>
      <c r="C36" s="28" t="s">
        <v>972</v>
      </c>
      <c r="D36" s="28" t="s">
        <v>950</v>
      </c>
      <c r="E36" s="28" t="s">
        <v>977</v>
      </c>
      <c r="F36" s="34" t="s">
        <v>979</v>
      </c>
      <c r="G36" s="30"/>
      <c r="H36" s="30">
        <v>361.8</v>
      </c>
      <c r="I36" s="30" t="e">
        <f t="shared" si="0"/>
        <v>#DIV/0!</v>
      </c>
    </row>
    <row r="37" spans="1:9" ht="30" customHeight="1">
      <c r="A37" s="35" t="s">
        <v>980</v>
      </c>
      <c r="B37" s="36" t="s">
        <v>981</v>
      </c>
      <c r="C37" s="28"/>
      <c r="D37" s="28"/>
      <c r="E37" s="28"/>
      <c r="F37" s="29"/>
      <c r="G37" s="37">
        <f aca="true" t="shared" si="3" ref="G37:H39">SUM(G38)</f>
        <v>4974.500000000001</v>
      </c>
      <c r="H37" s="37">
        <f t="shared" si="3"/>
        <v>2707.1</v>
      </c>
      <c r="I37" s="38">
        <f t="shared" si="0"/>
        <v>54.41953965222635</v>
      </c>
    </row>
    <row r="38" spans="1:9" ht="15">
      <c r="A38" s="26" t="s">
        <v>939</v>
      </c>
      <c r="B38" s="27"/>
      <c r="C38" s="28" t="s">
        <v>940</v>
      </c>
      <c r="D38" s="28"/>
      <c r="E38" s="28"/>
      <c r="F38" s="29"/>
      <c r="G38" s="30">
        <f t="shared" si="3"/>
        <v>4974.500000000001</v>
      </c>
      <c r="H38" s="30">
        <f t="shared" si="3"/>
        <v>2707.1</v>
      </c>
      <c r="I38" s="30">
        <f t="shared" si="0"/>
        <v>54.41953965222635</v>
      </c>
    </row>
    <row r="39" spans="1:9" ht="42.75">
      <c r="A39" s="31" t="s">
        <v>982</v>
      </c>
      <c r="B39" s="27"/>
      <c r="C39" s="28" t="s">
        <v>940</v>
      </c>
      <c r="D39" s="28" t="s">
        <v>983</v>
      </c>
      <c r="E39" s="28"/>
      <c r="F39" s="29"/>
      <c r="G39" s="30">
        <f t="shared" si="3"/>
        <v>4974.500000000001</v>
      </c>
      <c r="H39" s="30">
        <f t="shared" si="3"/>
        <v>2707.1</v>
      </c>
      <c r="I39" s="30">
        <f t="shared" si="0"/>
        <v>54.41953965222635</v>
      </c>
    </row>
    <row r="40" spans="1:9" ht="42.75" customHeight="1">
      <c r="A40" s="26" t="s">
        <v>943</v>
      </c>
      <c r="B40" s="27"/>
      <c r="C40" s="28" t="s">
        <v>940</v>
      </c>
      <c r="D40" s="28" t="s">
        <v>983</v>
      </c>
      <c r="E40" s="28" t="s">
        <v>944</v>
      </c>
      <c r="F40" s="29"/>
      <c r="G40" s="30">
        <f>SUM(G41+G43)</f>
        <v>4974.500000000001</v>
      </c>
      <c r="H40" s="30">
        <f>SUM(H41+H43)</f>
        <v>2707.1</v>
      </c>
      <c r="I40" s="30">
        <f t="shared" si="0"/>
        <v>54.41953965222635</v>
      </c>
    </row>
    <row r="41" spans="1:9" ht="19.5" customHeight="1">
      <c r="A41" s="26" t="s">
        <v>951</v>
      </c>
      <c r="B41" s="27"/>
      <c r="C41" s="28" t="s">
        <v>940</v>
      </c>
      <c r="D41" s="28" t="s">
        <v>983</v>
      </c>
      <c r="E41" s="28" t="s">
        <v>953</v>
      </c>
      <c r="F41" s="29"/>
      <c r="G41" s="30">
        <f>SUM(G42)</f>
        <v>3986.8000000000006</v>
      </c>
      <c r="H41" s="30">
        <f>SUM(H42)</f>
        <v>2155.5</v>
      </c>
      <c r="I41" s="30">
        <f t="shared" si="0"/>
        <v>54.06591752784187</v>
      </c>
    </row>
    <row r="42" spans="1:9" ht="28.5">
      <c r="A42" s="26" t="s">
        <v>947</v>
      </c>
      <c r="B42" s="27"/>
      <c r="C42" s="28" t="s">
        <v>940</v>
      </c>
      <c r="D42" s="28" t="s">
        <v>983</v>
      </c>
      <c r="E42" s="28" t="s">
        <v>953</v>
      </c>
      <c r="F42" s="29" t="s">
        <v>948</v>
      </c>
      <c r="G42" s="30">
        <f>3368.8+271.8+301.9+15.8+28.4+0.1</f>
        <v>3986.8000000000006</v>
      </c>
      <c r="H42" s="30">
        <v>2155.5</v>
      </c>
      <c r="I42" s="30">
        <f t="shared" si="0"/>
        <v>54.06591752784187</v>
      </c>
    </row>
    <row r="43" spans="1:9" ht="28.5">
      <c r="A43" s="26" t="s">
        <v>0</v>
      </c>
      <c r="B43" s="27"/>
      <c r="C43" s="28" t="s">
        <v>952</v>
      </c>
      <c r="D43" s="28" t="s">
        <v>983</v>
      </c>
      <c r="E43" s="28" t="s">
        <v>1</v>
      </c>
      <c r="F43" s="29"/>
      <c r="G43" s="30">
        <f>SUM(G44)</f>
        <v>987.6999999999999</v>
      </c>
      <c r="H43" s="30">
        <f>SUM(H44)</f>
        <v>551.6</v>
      </c>
      <c r="I43" s="30">
        <f t="shared" si="0"/>
        <v>55.846917080085056</v>
      </c>
    </row>
    <row r="44" spans="1:9" ht="32.25" customHeight="1">
      <c r="A44" s="26" t="s">
        <v>947</v>
      </c>
      <c r="B44" s="27"/>
      <c r="C44" s="28" t="s">
        <v>952</v>
      </c>
      <c r="D44" s="28" t="s">
        <v>983</v>
      </c>
      <c r="E44" s="28" t="s">
        <v>1</v>
      </c>
      <c r="F44" s="29" t="s">
        <v>948</v>
      </c>
      <c r="G44" s="30">
        <f>721.8+42.8+223.2-0.1</f>
        <v>987.6999999999999</v>
      </c>
      <c r="H44" s="30">
        <v>551.6</v>
      </c>
      <c r="I44" s="30">
        <f t="shared" si="0"/>
        <v>55.846917080085056</v>
      </c>
    </row>
    <row r="45" spans="1:9" ht="29.25" customHeight="1">
      <c r="A45" s="35" t="s">
        <v>2</v>
      </c>
      <c r="B45" s="36" t="s">
        <v>3</v>
      </c>
      <c r="C45" s="28"/>
      <c r="D45" s="28"/>
      <c r="E45" s="28"/>
      <c r="F45" s="29"/>
      <c r="G45" s="37">
        <f>SUM(G46+G64)+G205</f>
        <v>634062.2000000001</v>
      </c>
      <c r="H45" s="30"/>
      <c r="I45" s="30"/>
    </row>
    <row r="46" spans="1:9" ht="17.25" customHeight="1">
      <c r="A46" s="26" t="s">
        <v>4</v>
      </c>
      <c r="B46" s="39"/>
      <c r="C46" s="40" t="s">
        <v>5</v>
      </c>
      <c r="D46" s="40"/>
      <c r="E46" s="40"/>
      <c r="F46" s="41"/>
      <c r="G46" s="42">
        <f>SUM(G47)+G60</f>
        <v>73981.40000000001</v>
      </c>
      <c r="H46" s="30"/>
      <c r="I46" s="30"/>
    </row>
    <row r="47" spans="1:9" ht="17.25" customHeight="1">
      <c r="A47" s="26" t="s">
        <v>6</v>
      </c>
      <c r="B47" s="39"/>
      <c r="C47" s="40" t="s">
        <v>5</v>
      </c>
      <c r="D47" s="40" t="s">
        <v>7</v>
      </c>
      <c r="E47" s="40"/>
      <c r="F47" s="41"/>
      <c r="G47" s="42">
        <f>SUM(G51)+G48+G57</f>
        <v>73981.40000000001</v>
      </c>
      <c r="H47" s="30"/>
      <c r="I47" s="30"/>
    </row>
    <row r="48" spans="1:9" ht="31.5" customHeight="1">
      <c r="A48" s="26" t="s">
        <v>8</v>
      </c>
      <c r="B48" s="39"/>
      <c r="C48" s="40" t="s">
        <v>5</v>
      </c>
      <c r="D48" s="40" t="s">
        <v>7</v>
      </c>
      <c r="E48" s="40" t="s">
        <v>9</v>
      </c>
      <c r="F48" s="41"/>
      <c r="G48" s="42">
        <f>SUM(G49)+G50</f>
        <v>32666.6</v>
      </c>
      <c r="H48" s="30"/>
      <c r="I48" s="30"/>
    </row>
    <row r="49" spans="1:9" ht="17.25" customHeight="1">
      <c r="A49" s="26" t="s">
        <v>10</v>
      </c>
      <c r="B49" s="39"/>
      <c r="C49" s="40" t="s">
        <v>5</v>
      </c>
      <c r="D49" s="40" t="s">
        <v>7</v>
      </c>
      <c r="E49" s="40" t="s">
        <v>9</v>
      </c>
      <c r="F49" s="41" t="s">
        <v>11</v>
      </c>
      <c r="G49" s="42">
        <f>32760-93.4</f>
        <v>32666.6</v>
      </c>
      <c r="H49" s="30"/>
      <c r="I49" s="30"/>
    </row>
    <row r="50" spans="1:9" ht="35.25" customHeight="1" hidden="1">
      <c r="A50" s="26" t="s">
        <v>947</v>
      </c>
      <c r="B50" s="39"/>
      <c r="C50" s="40" t="s">
        <v>5</v>
      </c>
      <c r="D50" s="40" t="s">
        <v>7</v>
      </c>
      <c r="E50" s="40" t="s">
        <v>9</v>
      </c>
      <c r="F50" s="41" t="s">
        <v>948</v>
      </c>
      <c r="G50" s="42"/>
      <c r="H50" s="30"/>
      <c r="I50" s="30"/>
    </row>
    <row r="51" spans="1:9" ht="16.5" customHeight="1">
      <c r="A51" s="26" t="s">
        <v>12</v>
      </c>
      <c r="B51" s="39"/>
      <c r="C51" s="40" t="s">
        <v>5</v>
      </c>
      <c r="D51" s="40" t="s">
        <v>7</v>
      </c>
      <c r="E51" s="40" t="s">
        <v>13</v>
      </c>
      <c r="F51" s="41"/>
      <c r="G51" s="42">
        <f>SUM(G52)</f>
        <v>40845</v>
      </c>
      <c r="H51" s="30"/>
      <c r="I51" s="30"/>
    </row>
    <row r="52" spans="1:9" ht="35.25" customHeight="1">
      <c r="A52" s="26" t="s">
        <v>14</v>
      </c>
      <c r="B52" s="39"/>
      <c r="C52" s="40" t="s">
        <v>5</v>
      </c>
      <c r="D52" s="40" t="s">
        <v>7</v>
      </c>
      <c r="E52" s="40" t="s">
        <v>15</v>
      </c>
      <c r="F52" s="41"/>
      <c r="G52" s="42">
        <f>SUM(G53+G54)</f>
        <v>40845</v>
      </c>
      <c r="H52" s="30"/>
      <c r="I52" s="30"/>
    </row>
    <row r="53" spans="1:9" ht="18" customHeight="1">
      <c r="A53" s="26" t="s">
        <v>10</v>
      </c>
      <c r="B53" s="39"/>
      <c r="C53" s="40" t="s">
        <v>5</v>
      </c>
      <c r="D53" s="40" t="s">
        <v>7</v>
      </c>
      <c r="E53" s="40" t="s">
        <v>15</v>
      </c>
      <c r="F53" s="41" t="s">
        <v>11</v>
      </c>
      <c r="G53" s="42">
        <f>37788.4+3056.6</f>
        <v>40845</v>
      </c>
      <c r="H53" s="30"/>
      <c r="I53" s="30"/>
    </row>
    <row r="54" spans="1:9" ht="69.75" customHeight="1" hidden="1">
      <c r="A54" s="26" t="s">
        <v>16</v>
      </c>
      <c r="B54" s="39"/>
      <c r="C54" s="40" t="s">
        <v>5</v>
      </c>
      <c r="D54" s="40" t="s">
        <v>7</v>
      </c>
      <c r="E54" s="40" t="s">
        <v>17</v>
      </c>
      <c r="F54" s="41"/>
      <c r="G54" s="42">
        <f>SUM(G55)</f>
        <v>0</v>
      </c>
      <c r="H54" s="30"/>
      <c r="I54" s="30"/>
    </row>
    <row r="55" spans="1:9" ht="17.25" customHeight="1" hidden="1">
      <c r="A55" s="26" t="s">
        <v>10</v>
      </c>
      <c r="B55" s="39"/>
      <c r="C55" s="40" t="s">
        <v>5</v>
      </c>
      <c r="D55" s="40" t="s">
        <v>7</v>
      </c>
      <c r="E55" s="40" t="s">
        <v>17</v>
      </c>
      <c r="F55" s="41" t="s">
        <v>11</v>
      </c>
      <c r="G55" s="42"/>
      <c r="H55" s="30"/>
      <c r="I55" s="30"/>
    </row>
    <row r="56" spans="1:9" ht="19.5" customHeight="1" hidden="1">
      <c r="A56" s="26" t="s">
        <v>18</v>
      </c>
      <c r="B56" s="39"/>
      <c r="C56" s="40" t="s">
        <v>5</v>
      </c>
      <c r="D56" s="40" t="s">
        <v>19</v>
      </c>
      <c r="E56" s="40"/>
      <c r="F56" s="41"/>
      <c r="G56" s="42" t="e">
        <f>SUM(#REF!+#REF!+#REF!+G57)</f>
        <v>#REF!</v>
      </c>
      <c r="H56" s="30"/>
      <c r="I56" s="30"/>
    </row>
    <row r="57" spans="1:9" ht="24.75" customHeight="1">
      <c r="A57" s="26" t="s">
        <v>20</v>
      </c>
      <c r="B57" s="40"/>
      <c r="C57" s="40" t="s">
        <v>5</v>
      </c>
      <c r="D57" s="40" t="s">
        <v>7</v>
      </c>
      <c r="E57" s="40" t="s">
        <v>21</v>
      </c>
      <c r="F57" s="41"/>
      <c r="G57" s="42">
        <f>SUM(G59)</f>
        <v>469.8</v>
      </c>
      <c r="H57" s="30"/>
      <c r="I57" s="30"/>
    </row>
    <row r="58" spans="1:9" ht="42" customHeight="1">
      <c r="A58" s="26" t="s">
        <v>22</v>
      </c>
      <c r="B58" s="40"/>
      <c r="C58" s="40" t="s">
        <v>5</v>
      </c>
      <c r="D58" s="40" t="s">
        <v>7</v>
      </c>
      <c r="E58" s="40" t="s">
        <v>23</v>
      </c>
      <c r="F58" s="41"/>
      <c r="G58" s="42">
        <f>SUM(G59)</f>
        <v>469.8</v>
      </c>
      <c r="H58" s="30"/>
      <c r="I58" s="30"/>
    </row>
    <row r="59" spans="1:9" ht="28.5" customHeight="1">
      <c r="A59" s="26" t="s">
        <v>947</v>
      </c>
      <c r="B59" s="40"/>
      <c r="C59" s="40" t="s">
        <v>5</v>
      </c>
      <c r="D59" s="40" t="s">
        <v>7</v>
      </c>
      <c r="E59" s="40" t="s">
        <v>23</v>
      </c>
      <c r="F59" s="41" t="s">
        <v>948</v>
      </c>
      <c r="G59" s="42">
        <f>500-30.2</f>
        <v>469.8</v>
      </c>
      <c r="H59" s="30"/>
      <c r="I59" s="30"/>
    </row>
    <row r="60" spans="1:9" ht="28.5" customHeight="1" hidden="1">
      <c r="A60" s="26" t="s">
        <v>24</v>
      </c>
      <c r="B60" s="40"/>
      <c r="C60" s="40" t="s">
        <v>5</v>
      </c>
      <c r="D60" s="40" t="s">
        <v>25</v>
      </c>
      <c r="E60" s="40"/>
      <c r="F60" s="41"/>
      <c r="G60" s="42">
        <f>SUM(G61)</f>
        <v>0</v>
      </c>
      <c r="H60" s="30"/>
      <c r="I60" s="30"/>
    </row>
    <row r="61" spans="1:9" ht="23.25" customHeight="1" hidden="1">
      <c r="A61" s="26" t="s">
        <v>26</v>
      </c>
      <c r="B61" s="40"/>
      <c r="C61" s="40" t="s">
        <v>5</v>
      </c>
      <c r="D61" s="40" t="s">
        <v>25</v>
      </c>
      <c r="E61" s="40" t="s">
        <v>27</v>
      </c>
      <c r="F61" s="41"/>
      <c r="G61" s="42">
        <f>SUM(G62)</f>
        <v>0</v>
      </c>
      <c r="H61" s="30"/>
      <c r="I61" s="30"/>
    </row>
    <row r="62" spans="1:9" ht="28.5" customHeight="1" hidden="1">
      <c r="A62" s="26" t="s">
        <v>28</v>
      </c>
      <c r="B62" s="40"/>
      <c r="C62" s="40" t="s">
        <v>5</v>
      </c>
      <c r="D62" s="40" t="s">
        <v>25</v>
      </c>
      <c r="E62" s="40" t="s">
        <v>29</v>
      </c>
      <c r="F62" s="41"/>
      <c r="G62" s="42">
        <f>SUM(G63)</f>
        <v>0</v>
      </c>
      <c r="H62" s="30"/>
      <c r="I62" s="30"/>
    </row>
    <row r="63" spans="1:9" ht="28.5" customHeight="1" hidden="1">
      <c r="A63" s="26" t="s">
        <v>947</v>
      </c>
      <c r="B63" s="40"/>
      <c r="C63" s="40" t="s">
        <v>5</v>
      </c>
      <c r="D63" s="40" t="s">
        <v>25</v>
      </c>
      <c r="E63" s="40" t="s">
        <v>29</v>
      </c>
      <c r="F63" s="41" t="s">
        <v>948</v>
      </c>
      <c r="G63" s="42"/>
      <c r="H63" s="30"/>
      <c r="I63" s="30"/>
    </row>
    <row r="64" spans="1:9" s="43" customFormat="1" ht="18" customHeight="1">
      <c r="A64" s="26" t="s">
        <v>30</v>
      </c>
      <c r="B64" s="27"/>
      <c r="C64" s="28" t="s">
        <v>31</v>
      </c>
      <c r="D64" s="28"/>
      <c r="E64" s="28"/>
      <c r="F64" s="29"/>
      <c r="G64" s="30">
        <f>SUM(G65+G117+G144+G172)</f>
        <v>551705.5</v>
      </c>
      <c r="H64" s="30" t="e">
        <f>SUM(H65+H117+H144+H172)</f>
        <v>#REF!</v>
      </c>
      <c r="I64" s="30" t="e">
        <f aca="true" t="shared" si="4" ref="I64:I104">SUM(H64/G64*100)</f>
        <v>#REF!</v>
      </c>
    </row>
    <row r="65" spans="1:9" s="43" customFormat="1" ht="15">
      <c r="A65" s="26" t="s">
        <v>32</v>
      </c>
      <c r="B65" s="27"/>
      <c r="C65" s="28" t="s">
        <v>31</v>
      </c>
      <c r="D65" s="28" t="s">
        <v>940</v>
      </c>
      <c r="E65" s="28"/>
      <c r="F65" s="29"/>
      <c r="G65" s="30">
        <f>SUM(G86+G108+G78+G91+G66+G105)</f>
        <v>26551.4</v>
      </c>
      <c r="H65" s="30">
        <f>SUM(H86+H108+H78+H91+H66)</f>
        <v>24076.4</v>
      </c>
      <c r="I65" s="30">
        <f t="shared" si="4"/>
        <v>90.67845763311915</v>
      </c>
    </row>
    <row r="66" spans="1:9" ht="49.5" customHeight="1">
      <c r="A66" s="44" t="s">
        <v>33</v>
      </c>
      <c r="B66" s="45"/>
      <c r="C66" s="28" t="s">
        <v>31</v>
      </c>
      <c r="D66" s="28" t="s">
        <v>940</v>
      </c>
      <c r="E66" s="28" t="s">
        <v>34</v>
      </c>
      <c r="F66" s="29"/>
      <c r="G66" s="30">
        <f>SUM(G67+G74)</f>
        <v>26524.4</v>
      </c>
      <c r="H66" s="30">
        <f>SUM(H67+H74)</f>
        <v>23798.300000000003</v>
      </c>
      <c r="I66" s="30">
        <f t="shared" si="4"/>
        <v>89.72229343547828</v>
      </c>
    </row>
    <row r="67" spans="1:9" ht="92.25" customHeight="1">
      <c r="A67" s="44" t="s">
        <v>35</v>
      </c>
      <c r="B67" s="45"/>
      <c r="C67" s="28" t="s">
        <v>31</v>
      </c>
      <c r="D67" s="28" t="s">
        <v>940</v>
      </c>
      <c r="E67" s="28" t="s">
        <v>36</v>
      </c>
      <c r="F67" s="29"/>
      <c r="G67" s="30">
        <f>SUM(G68+G70+G72)</f>
        <v>18877.4</v>
      </c>
      <c r="H67" s="30">
        <f>SUM(H68+H70+H72)</f>
        <v>20414.4</v>
      </c>
      <c r="I67" s="30">
        <f t="shared" si="4"/>
        <v>108.1420110820346</v>
      </c>
    </row>
    <row r="68" spans="1:9" ht="78" customHeight="1">
      <c r="A68" s="44" t="s">
        <v>37</v>
      </c>
      <c r="B68" s="45"/>
      <c r="C68" s="28" t="s">
        <v>31</v>
      </c>
      <c r="D68" s="28" t="s">
        <v>940</v>
      </c>
      <c r="E68" s="28" t="s">
        <v>38</v>
      </c>
      <c r="F68" s="29"/>
      <c r="G68" s="30">
        <f>SUM(G69)</f>
        <v>18877.4</v>
      </c>
      <c r="H68" s="30">
        <f>SUM(H69)</f>
        <v>15652.8</v>
      </c>
      <c r="I68" s="30">
        <f t="shared" si="4"/>
        <v>82.91819848072296</v>
      </c>
    </row>
    <row r="69" spans="1:9" ht="15">
      <c r="A69" s="26" t="s">
        <v>10</v>
      </c>
      <c r="B69" s="27"/>
      <c r="C69" s="28" t="s">
        <v>31</v>
      </c>
      <c r="D69" s="28" t="s">
        <v>940</v>
      </c>
      <c r="E69" s="28" t="s">
        <v>38</v>
      </c>
      <c r="F69" s="29" t="s">
        <v>11</v>
      </c>
      <c r="G69" s="30">
        <v>18877.4</v>
      </c>
      <c r="H69" s="30">
        <v>15652.8</v>
      </c>
      <c r="I69" s="30">
        <f t="shared" si="4"/>
        <v>82.91819848072296</v>
      </c>
    </row>
    <row r="70" spans="1:9" ht="71.25" hidden="1">
      <c r="A70" s="44" t="s">
        <v>39</v>
      </c>
      <c r="B70" s="45"/>
      <c r="C70" s="28" t="s">
        <v>31</v>
      </c>
      <c r="D70" s="28" t="s">
        <v>940</v>
      </c>
      <c r="E70" s="28" t="s">
        <v>40</v>
      </c>
      <c r="F70" s="29"/>
      <c r="G70" s="30">
        <f>SUM(G71)</f>
        <v>0</v>
      </c>
      <c r="H70" s="30">
        <f>SUM(H71)</f>
        <v>0</v>
      </c>
      <c r="I70" s="30" t="e">
        <f t="shared" si="4"/>
        <v>#DIV/0!</v>
      </c>
    </row>
    <row r="71" spans="1:9" ht="15" hidden="1">
      <c r="A71" s="46" t="s">
        <v>41</v>
      </c>
      <c r="B71" s="45"/>
      <c r="C71" s="28" t="s">
        <v>31</v>
      </c>
      <c r="D71" s="28" t="s">
        <v>940</v>
      </c>
      <c r="E71" s="28" t="s">
        <v>40</v>
      </c>
      <c r="F71" s="29" t="s">
        <v>42</v>
      </c>
      <c r="G71" s="30"/>
      <c r="H71" s="30"/>
      <c r="I71" s="30" t="e">
        <f t="shared" si="4"/>
        <v>#DIV/0!</v>
      </c>
    </row>
    <row r="72" spans="1:9" ht="92.25" customHeight="1" hidden="1">
      <c r="A72" s="44" t="s">
        <v>43</v>
      </c>
      <c r="B72" s="45"/>
      <c r="C72" s="28" t="s">
        <v>31</v>
      </c>
      <c r="D72" s="28" t="s">
        <v>940</v>
      </c>
      <c r="E72" s="28" t="s">
        <v>44</v>
      </c>
      <c r="F72" s="29"/>
      <c r="G72" s="30">
        <f>SUM(G73)</f>
        <v>0</v>
      </c>
      <c r="H72" s="30">
        <f>SUM(H73)</f>
        <v>4761.6</v>
      </c>
      <c r="I72" s="30" t="e">
        <f t="shared" si="4"/>
        <v>#DIV/0!</v>
      </c>
    </row>
    <row r="73" spans="1:9" ht="15" hidden="1">
      <c r="A73" s="46" t="s">
        <v>41</v>
      </c>
      <c r="B73" s="45"/>
      <c r="C73" s="28" t="s">
        <v>31</v>
      </c>
      <c r="D73" s="28" t="s">
        <v>940</v>
      </c>
      <c r="E73" s="28" t="s">
        <v>44</v>
      </c>
      <c r="F73" s="29" t="s">
        <v>42</v>
      </c>
      <c r="G73" s="30"/>
      <c r="H73" s="30">
        <v>4761.6</v>
      </c>
      <c r="I73" s="30" t="e">
        <f t="shared" si="4"/>
        <v>#DIV/0!</v>
      </c>
    </row>
    <row r="74" spans="1:9" ht="57">
      <c r="A74" s="26" t="s">
        <v>45</v>
      </c>
      <c r="B74" s="45"/>
      <c r="C74" s="28" t="s">
        <v>31</v>
      </c>
      <c r="D74" s="28" t="s">
        <v>940</v>
      </c>
      <c r="E74" s="28" t="s">
        <v>46</v>
      </c>
      <c r="F74" s="29"/>
      <c r="G74" s="30">
        <v>7647</v>
      </c>
      <c r="H74" s="30">
        <f>SUM(H75)+H81+H84</f>
        <v>3383.9</v>
      </c>
      <c r="I74" s="30">
        <f t="shared" si="4"/>
        <v>44.25134039492612</v>
      </c>
    </row>
    <row r="75" spans="1:9" ht="33" customHeight="1">
      <c r="A75" s="26" t="s">
        <v>47</v>
      </c>
      <c r="B75" s="45"/>
      <c r="C75" s="28" t="s">
        <v>31</v>
      </c>
      <c r="D75" s="28" t="s">
        <v>940</v>
      </c>
      <c r="E75" s="28" t="s">
        <v>48</v>
      </c>
      <c r="F75" s="29"/>
      <c r="G75" s="30">
        <v>7647</v>
      </c>
      <c r="H75" s="30">
        <f>SUM(H76+H77)</f>
        <v>1562</v>
      </c>
      <c r="I75" s="30">
        <f t="shared" si="4"/>
        <v>20.426310971622858</v>
      </c>
    </row>
    <row r="76" spans="1:9" ht="21" customHeight="1">
      <c r="A76" s="47" t="s">
        <v>10</v>
      </c>
      <c r="B76" s="45"/>
      <c r="C76" s="28" t="s">
        <v>31</v>
      </c>
      <c r="D76" s="28" t="s">
        <v>940</v>
      </c>
      <c r="E76" s="28" t="s">
        <v>48</v>
      </c>
      <c r="F76" s="29" t="s">
        <v>11</v>
      </c>
      <c r="G76" s="30">
        <v>7647</v>
      </c>
      <c r="H76" s="30">
        <v>233.9</v>
      </c>
      <c r="I76" s="30">
        <f t="shared" si="4"/>
        <v>3.0587158362756637</v>
      </c>
    </row>
    <row r="77" spans="1:9" ht="30.75" customHeight="1" hidden="1">
      <c r="A77" s="47" t="s">
        <v>49</v>
      </c>
      <c r="B77" s="45"/>
      <c r="C77" s="28" t="s">
        <v>31</v>
      </c>
      <c r="D77" s="28" t="s">
        <v>940</v>
      </c>
      <c r="E77" s="28" t="s">
        <v>48</v>
      </c>
      <c r="F77" s="29" t="s">
        <v>50</v>
      </c>
      <c r="G77" s="30"/>
      <c r="H77" s="30">
        <v>1328.1</v>
      </c>
      <c r="I77" s="30" t="e">
        <f t="shared" si="4"/>
        <v>#DIV/0!</v>
      </c>
    </row>
    <row r="78" spans="1:9" ht="0.75" customHeight="1" hidden="1">
      <c r="A78" s="26" t="s">
        <v>51</v>
      </c>
      <c r="B78" s="27"/>
      <c r="C78" s="28" t="s">
        <v>31</v>
      </c>
      <c r="D78" s="28" t="s">
        <v>940</v>
      </c>
      <c r="E78" s="28" t="s">
        <v>52</v>
      </c>
      <c r="F78" s="29"/>
      <c r="G78" s="30">
        <f>SUM(G79)</f>
        <v>0</v>
      </c>
      <c r="H78" s="30">
        <f>SUM(H79)</f>
        <v>0</v>
      </c>
      <c r="I78" s="30" t="e">
        <f t="shared" si="4"/>
        <v>#DIV/0!</v>
      </c>
    </row>
    <row r="79" spans="1:9" ht="18" customHeight="1" hidden="1">
      <c r="A79" s="26" t="s">
        <v>53</v>
      </c>
      <c r="B79" s="27"/>
      <c r="C79" s="28" t="s">
        <v>31</v>
      </c>
      <c r="D79" s="28" t="s">
        <v>940</v>
      </c>
      <c r="E79" s="28" t="s">
        <v>54</v>
      </c>
      <c r="F79" s="29"/>
      <c r="G79" s="30">
        <f>SUM(G80)</f>
        <v>0</v>
      </c>
      <c r="H79" s="30">
        <f>SUM(H80)</f>
        <v>0</v>
      </c>
      <c r="I79" s="30" t="e">
        <f t="shared" si="4"/>
        <v>#DIV/0!</v>
      </c>
    </row>
    <row r="80" spans="1:9" ht="25.5" customHeight="1" hidden="1">
      <c r="A80" s="26" t="s">
        <v>41</v>
      </c>
      <c r="B80" s="27"/>
      <c r="C80" s="28" t="s">
        <v>31</v>
      </c>
      <c r="D80" s="28" t="s">
        <v>940</v>
      </c>
      <c r="E80" s="28" t="s">
        <v>54</v>
      </c>
      <c r="F80" s="29" t="s">
        <v>42</v>
      </c>
      <c r="G80" s="30"/>
      <c r="H80" s="30"/>
      <c r="I80" s="30" t="e">
        <f t="shared" si="4"/>
        <v>#DIV/0!</v>
      </c>
    </row>
    <row r="81" spans="1:9" ht="43.5" customHeight="1" hidden="1">
      <c r="A81" s="26" t="s">
        <v>55</v>
      </c>
      <c r="B81" s="27"/>
      <c r="C81" s="28" t="s">
        <v>31</v>
      </c>
      <c r="D81" s="28" t="s">
        <v>940</v>
      </c>
      <c r="E81" s="28" t="s">
        <v>56</v>
      </c>
      <c r="F81" s="29"/>
      <c r="G81" s="30">
        <f>SUM(G82+G83)</f>
        <v>0</v>
      </c>
      <c r="H81" s="30">
        <f>SUM(H82+H83)</f>
        <v>0</v>
      </c>
      <c r="I81" s="30" t="e">
        <f t="shared" si="4"/>
        <v>#DIV/0!</v>
      </c>
    </row>
    <row r="82" spans="1:9" ht="19.5" customHeight="1" hidden="1">
      <c r="A82" s="46" t="s">
        <v>41</v>
      </c>
      <c r="B82" s="27"/>
      <c r="C82" s="28" t="s">
        <v>31</v>
      </c>
      <c r="D82" s="28" t="s">
        <v>940</v>
      </c>
      <c r="E82" s="28" t="s">
        <v>56</v>
      </c>
      <c r="F82" s="29" t="s">
        <v>42</v>
      </c>
      <c r="G82" s="30"/>
      <c r="H82" s="30"/>
      <c r="I82" s="30" t="e">
        <f t="shared" si="4"/>
        <v>#DIV/0!</v>
      </c>
    </row>
    <row r="83" spans="1:9" ht="29.25" customHeight="1" hidden="1">
      <c r="A83" s="46" t="s">
        <v>57</v>
      </c>
      <c r="B83" s="27"/>
      <c r="C83" s="28" t="s">
        <v>31</v>
      </c>
      <c r="D83" s="28" t="s">
        <v>940</v>
      </c>
      <c r="E83" s="28" t="s">
        <v>56</v>
      </c>
      <c r="F83" s="29" t="s">
        <v>58</v>
      </c>
      <c r="G83" s="30"/>
      <c r="H83" s="30"/>
      <c r="I83" s="30" t="e">
        <f t="shared" si="4"/>
        <v>#DIV/0!</v>
      </c>
    </row>
    <row r="84" spans="1:9" ht="63" customHeight="1" hidden="1">
      <c r="A84" s="26" t="s">
        <v>59</v>
      </c>
      <c r="B84" s="27"/>
      <c r="C84" s="28" t="s">
        <v>31</v>
      </c>
      <c r="D84" s="28" t="s">
        <v>940</v>
      </c>
      <c r="E84" s="28" t="s">
        <v>60</v>
      </c>
      <c r="F84" s="29"/>
      <c r="G84" s="30">
        <f>SUM(G85)</f>
        <v>0</v>
      </c>
      <c r="H84" s="30">
        <f>SUM(H85)</f>
        <v>1821.9</v>
      </c>
      <c r="I84" s="30" t="e">
        <f t="shared" si="4"/>
        <v>#DIV/0!</v>
      </c>
    </row>
    <row r="85" spans="1:9" ht="19.5" customHeight="1" hidden="1">
      <c r="A85" s="46" t="s">
        <v>41</v>
      </c>
      <c r="B85" s="27"/>
      <c r="C85" s="28" t="s">
        <v>31</v>
      </c>
      <c r="D85" s="28" t="s">
        <v>940</v>
      </c>
      <c r="E85" s="28" t="s">
        <v>60</v>
      </c>
      <c r="F85" s="29" t="s">
        <v>42</v>
      </c>
      <c r="G85" s="30"/>
      <c r="H85" s="30">
        <v>1821.9</v>
      </c>
      <c r="I85" s="30" t="e">
        <f t="shared" si="4"/>
        <v>#DIV/0!</v>
      </c>
    </row>
    <row r="86" spans="1:9" ht="15.75" customHeight="1" hidden="1">
      <c r="A86" s="26" t="s">
        <v>61</v>
      </c>
      <c r="B86" s="27"/>
      <c r="C86" s="28" t="s">
        <v>31</v>
      </c>
      <c r="D86" s="28" t="s">
        <v>940</v>
      </c>
      <c r="E86" s="28" t="s">
        <v>62</v>
      </c>
      <c r="F86" s="29"/>
      <c r="G86" s="30">
        <f>SUM(G87+G89)</f>
        <v>0</v>
      </c>
      <c r="H86" s="30">
        <f>SUM(H87+H89)</f>
        <v>0</v>
      </c>
      <c r="I86" s="30" t="e">
        <f t="shared" si="4"/>
        <v>#DIV/0!</v>
      </c>
    </row>
    <row r="87" spans="1:9" ht="42.75" customHeight="1" hidden="1">
      <c r="A87" s="31" t="s">
        <v>63</v>
      </c>
      <c r="B87" s="27"/>
      <c r="C87" s="28" t="s">
        <v>31</v>
      </c>
      <c r="D87" s="28" t="s">
        <v>940</v>
      </c>
      <c r="E87" s="28" t="s">
        <v>64</v>
      </c>
      <c r="F87" s="29"/>
      <c r="G87" s="30">
        <f>SUM(G88)</f>
        <v>0</v>
      </c>
      <c r="H87" s="30">
        <f>SUM(H88)</f>
        <v>0</v>
      </c>
      <c r="I87" s="30" t="e">
        <f t="shared" si="4"/>
        <v>#DIV/0!</v>
      </c>
    </row>
    <row r="88" spans="1:9" ht="20.25" customHeight="1" hidden="1">
      <c r="A88" s="26" t="s">
        <v>10</v>
      </c>
      <c r="B88" s="27"/>
      <c r="C88" s="28" t="s">
        <v>31</v>
      </c>
      <c r="D88" s="28" t="s">
        <v>940</v>
      </c>
      <c r="E88" s="28" t="s">
        <v>64</v>
      </c>
      <c r="F88" s="29" t="s">
        <v>11</v>
      </c>
      <c r="G88" s="30"/>
      <c r="H88" s="30"/>
      <c r="I88" s="30" t="e">
        <f t="shared" si="4"/>
        <v>#DIV/0!</v>
      </c>
    </row>
    <row r="89" spans="1:9" ht="44.25" customHeight="1" hidden="1">
      <c r="A89" s="31" t="s">
        <v>65</v>
      </c>
      <c r="B89" s="27"/>
      <c r="C89" s="28" t="s">
        <v>31</v>
      </c>
      <c r="D89" s="28" t="s">
        <v>940</v>
      </c>
      <c r="E89" s="28" t="s">
        <v>66</v>
      </c>
      <c r="F89" s="29"/>
      <c r="G89" s="30">
        <f>SUM(G90)</f>
        <v>0</v>
      </c>
      <c r="H89" s="30">
        <f>SUM(H90)</f>
        <v>0</v>
      </c>
      <c r="I89" s="30" t="e">
        <f t="shared" si="4"/>
        <v>#DIV/0!</v>
      </c>
    </row>
    <row r="90" spans="1:9" ht="30" customHeight="1" hidden="1">
      <c r="A90" s="26" t="s">
        <v>947</v>
      </c>
      <c r="B90" s="48"/>
      <c r="C90" s="28" t="s">
        <v>31</v>
      </c>
      <c r="D90" s="28" t="s">
        <v>940</v>
      </c>
      <c r="E90" s="28" t="s">
        <v>66</v>
      </c>
      <c r="F90" s="49" t="s">
        <v>948</v>
      </c>
      <c r="G90" s="50"/>
      <c r="H90" s="50"/>
      <c r="I90" s="30" t="e">
        <f t="shared" si="4"/>
        <v>#DIV/0!</v>
      </c>
    </row>
    <row r="91" spans="1:9" ht="17.25" customHeight="1" hidden="1">
      <c r="A91" s="31" t="s">
        <v>67</v>
      </c>
      <c r="B91" s="51"/>
      <c r="C91" s="52" t="s">
        <v>31</v>
      </c>
      <c r="D91" s="52" t="s">
        <v>940</v>
      </c>
      <c r="E91" s="52" t="s">
        <v>68</v>
      </c>
      <c r="F91" s="53"/>
      <c r="G91" s="54">
        <f>SUM(G95)+G100+G92</f>
        <v>0</v>
      </c>
      <c r="H91" s="54">
        <f>SUM(H95)+H100+H92</f>
        <v>0</v>
      </c>
      <c r="I91" s="30" t="e">
        <f t="shared" si="4"/>
        <v>#DIV/0!</v>
      </c>
    </row>
    <row r="92" spans="1:9" ht="46.5" customHeight="1" hidden="1">
      <c r="A92" s="31" t="s">
        <v>69</v>
      </c>
      <c r="B92" s="51"/>
      <c r="C92" s="52" t="s">
        <v>31</v>
      </c>
      <c r="D92" s="52" t="s">
        <v>940</v>
      </c>
      <c r="E92" s="52" t="s">
        <v>70</v>
      </c>
      <c r="F92" s="53"/>
      <c r="G92" s="54">
        <f>SUM(G93)</f>
        <v>0</v>
      </c>
      <c r="H92" s="54">
        <f>SUM(H93)</f>
        <v>0</v>
      </c>
      <c r="I92" s="30" t="e">
        <f t="shared" si="4"/>
        <v>#DIV/0!</v>
      </c>
    </row>
    <row r="93" spans="1:9" ht="19.5" customHeight="1" hidden="1">
      <c r="A93" s="31" t="s">
        <v>41</v>
      </c>
      <c r="B93" s="51"/>
      <c r="C93" s="52" t="s">
        <v>31</v>
      </c>
      <c r="D93" s="52" t="s">
        <v>940</v>
      </c>
      <c r="E93" s="52" t="s">
        <v>70</v>
      </c>
      <c r="F93" s="53" t="s">
        <v>42</v>
      </c>
      <c r="G93" s="54"/>
      <c r="H93" s="54"/>
      <c r="I93" s="30" t="e">
        <f t="shared" si="4"/>
        <v>#DIV/0!</v>
      </c>
    </row>
    <row r="94" spans="1:9" ht="26.25" customHeight="1" hidden="1">
      <c r="A94" s="31"/>
      <c r="B94" s="51"/>
      <c r="C94" s="51"/>
      <c r="D94" s="51"/>
      <c r="E94" s="51"/>
      <c r="F94" s="53"/>
      <c r="G94" s="54"/>
      <c r="H94" s="54"/>
      <c r="I94" s="30" t="e">
        <f t="shared" si="4"/>
        <v>#DIV/0!</v>
      </c>
    </row>
    <row r="95" spans="1:9" ht="18" customHeight="1" hidden="1">
      <c r="A95" s="26" t="s">
        <v>71</v>
      </c>
      <c r="B95" s="51"/>
      <c r="C95" s="52" t="s">
        <v>31</v>
      </c>
      <c r="D95" s="52" t="s">
        <v>940</v>
      </c>
      <c r="E95" s="52" t="s">
        <v>72</v>
      </c>
      <c r="F95" s="53"/>
      <c r="G95" s="54">
        <f>SUM(G96+G98)</f>
        <v>0</v>
      </c>
      <c r="H95" s="54">
        <f>SUM(H96+H98)</f>
        <v>0</v>
      </c>
      <c r="I95" s="30" t="e">
        <f t="shared" si="4"/>
        <v>#DIV/0!</v>
      </c>
    </row>
    <row r="96" spans="1:9" ht="42.75" hidden="1">
      <c r="A96" s="31" t="s">
        <v>73</v>
      </c>
      <c r="B96" s="55"/>
      <c r="C96" s="52" t="s">
        <v>31</v>
      </c>
      <c r="D96" s="52" t="s">
        <v>940</v>
      </c>
      <c r="E96" s="52" t="s">
        <v>74</v>
      </c>
      <c r="F96" s="53"/>
      <c r="G96" s="54">
        <f>SUM(G97)</f>
        <v>0</v>
      </c>
      <c r="H96" s="54">
        <f>SUM(H97)</f>
        <v>0</v>
      </c>
      <c r="I96" s="30" t="e">
        <f t="shared" si="4"/>
        <v>#DIV/0!</v>
      </c>
    </row>
    <row r="97" spans="1:9" ht="15" hidden="1">
      <c r="A97" s="26" t="s">
        <v>41</v>
      </c>
      <c r="B97" s="51"/>
      <c r="C97" s="52" t="s">
        <v>31</v>
      </c>
      <c r="D97" s="52" t="s">
        <v>940</v>
      </c>
      <c r="E97" s="52" t="s">
        <v>74</v>
      </c>
      <c r="F97" s="56" t="s">
        <v>42</v>
      </c>
      <c r="G97" s="30"/>
      <c r="H97" s="30"/>
      <c r="I97" s="30" t="e">
        <f t="shared" si="4"/>
        <v>#DIV/0!</v>
      </c>
    </row>
    <row r="98" spans="1:9" ht="28.5" hidden="1">
      <c r="A98" s="26" t="s">
        <v>75</v>
      </c>
      <c r="B98" s="51"/>
      <c r="C98" s="52" t="s">
        <v>31</v>
      </c>
      <c r="D98" s="52" t="s">
        <v>940</v>
      </c>
      <c r="E98" s="52" t="s">
        <v>76</v>
      </c>
      <c r="F98" s="56"/>
      <c r="G98" s="30">
        <f>SUM(G99)</f>
        <v>0</v>
      </c>
      <c r="H98" s="30">
        <f>SUM(H99)</f>
        <v>0</v>
      </c>
      <c r="I98" s="30" t="e">
        <f t="shared" si="4"/>
        <v>#DIV/0!</v>
      </c>
    </row>
    <row r="99" spans="1:9" ht="28.5" hidden="1">
      <c r="A99" s="26" t="s">
        <v>947</v>
      </c>
      <c r="B99" s="48"/>
      <c r="C99" s="28" t="s">
        <v>31</v>
      </c>
      <c r="D99" s="28" t="s">
        <v>940</v>
      </c>
      <c r="E99" s="52" t="s">
        <v>76</v>
      </c>
      <c r="F99" s="56" t="s">
        <v>948</v>
      </c>
      <c r="G99" s="30"/>
      <c r="H99" s="30"/>
      <c r="I99" s="30" t="e">
        <f t="shared" si="4"/>
        <v>#DIV/0!</v>
      </c>
    </row>
    <row r="100" spans="1:9" ht="28.5" hidden="1">
      <c r="A100" s="26" t="s">
        <v>77</v>
      </c>
      <c r="B100" s="48"/>
      <c r="C100" s="28" t="s">
        <v>31</v>
      </c>
      <c r="D100" s="28" t="s">
        <v>940</v>
      </c>
      <c r="E100" s="57" t="s">
        <v>78</v>
      </c>
      <c r="F100" s="56"/>
      <c r="G100" s="30"/>
      <c r="H100" s="30"/>
      <c r="I100" s="30" t="e">
        <f t="shared" si="4"/>
        <v>#DIV/0!</v>
      </c>
    </row>
    <row r="101" spans="1:9" ht="42.75" hidden="1">
      <c r="A101" s="26" t="s">
        <v>79</v>
      </c>
      <c r="B101" s="48"/>
      <c r="C101" s="28" t="s">
        <v>31</v>
      </c>
      <c r="D101" s="28" t="s">
        <v>940</v>
      </c>
      <c r="E101" s="57" t="s">
        <v>80</v>
      </c>
      <c r="F101" s="56"/>
      <c r="G101" s="30">
        <f>SUM(G102)</f>
        <v>0</v>
      </c>
      <c r="H101" s="30">
        <f>SUM(H102)</f>
        <v>0</v>
      </c>
      <c r="I101" s="30" t="e">
        <f t="shared" si="4"/>
        <v>#DIV/0!</v>
      </c>
    </row>
    <row r="102" spans="1:9" ht="15" hidden="1">
      <c r="A102" s="26" t="s">
        <v>10</v>
      </c>
      <c r="B102" s="48"/>
      <c r="C102" s="28" t="s">
        <v>31</v>
      </c>
      <c r="D102" s="28" t="s">
        <v>940</v>
      </c>
      <c r="E102" s="52" t="s">
        <v>80</v>
      </c>
      <c r="F102" s="56" t="s">
        <v>11</v>
      </c>
      <c r="G102" s="30"/>
      <c r="H102" s="30"/>
      <c r="I102" s="30" t="e">
        <f t="shared" si="4"/>
        <v>#DIV/0!</v>
      </c>
    </row>
    <row r="103" spans="1:9" ht="42.75" hidden="1">
      <c r="A103" s="26" t="s">
        <v>81</v>
      </c>
      <c r="B103" s="48"/>
      <c r="C103" s="28" t="s">
        <v>31</v>
      </c>
      <c r="D103" s="28" t="s">
        <v>940</v>
      </c>
      <c r="E103" s="57" t="s">
        <v>82</v>
      </c>
      <c r="F103" s="56"/>
      <c r="G103" s="30">
        <f>SUM(G104)</f>
        <v>0</v>
      </c>
      <c r="H103" s="30">
        <f>SUM(H104)</f>
        <v>0</v>
      </c>
      <c r="I103" s="30" t="e">
        <f t="shared" si="4"/>
        <v>#DIV/0!</v>
      </c>
    </row>
    <row r="104" spans="1:9" ht="15" customHeight="1" hidden="1">
      <c r="A104" s="26" t="s">
        <v>10</v>
      </c>
      <c r="B104" s="48"/>
      <c r="C104" s="28" t="s">
        <v>31</v>
      </c>
      <c r="D104" s="28" t="s">
        <v>940</v>
      </c>
      <c r="E104" s="52" t="s">
        <v>82</v>
      </c>
      <c r="F104" s="56" t="s">
        <v>11</v>
      </c>
      <c r="G104" s="30"/>
      <c r="H104" s="30"/>
      <c r="I104" s="30" t="e">
        <f t="shared" si="4"/>
        <v>#DIV/0!</v>
      </c>
    </row>
    <row r="105" spans="1:9" ht="15">
      <c r="A105" s="26" t="s">
        <v>61</v>
      </c>
      <c r="B105" s="48"/>
      <c r="C105" s="28" t="s">
        <v>31</v>
      </c>
      <c r="D105" s="28" t="s">
        <v>940</v>
      </c>
      <c r="E105" s="52" t="s">
        <v>571</v>
      </c>
      <c r="F105" s="56"/>
      <c r="G105" s="30">
        <f>SUM(G106)</f>
        <v>27</v>
      </c>
      <c r="H105" s="30"/>
      <c r="I105" s="30"/>
    </row>
    <row r="106" spans="1:9" ht="28.5">
      <c r="A106" s="26" t="s">
        <v>570</v>
      </c>
      <c r="B106" s="48"/>
      <c r="C106" s="28" t="s">
        <v>31</v>
      </c>
      <c r="D106" s="28" t="s">
        <v>940</v>
      </c>
      <c r="E106" s="57" t="s">
        <v>569</v>
      </c>
      <c r="F106" s="56"/>
      <c r="G106" s="30">
        <f>SUM(G107)</f>
        <v>27</v>
      </c>
      <c r="H106" s="30"/>
      <c r="I106" s="30"/>
    </row>
    <row r="107" spans="1:9" ht="27.75" customHeight="1">
      <c r="A107" s="26" t="s">
        <v>947</v>
      </c>
      <c r="B107" s="48"/>
      <c r="C107" s="28" t="s">
        <v>31</v>
      </c>
      <c r="D107" s="28" t="s">
        <v>940</v>
      </c>
      <c r="E107" s="57" t="s">
        <v>569</v>
      </c>
      <c r="F107" s="49" t="s">
        <v>948</v>
      </c>
      <c r="G107" s="30">
        <f>22+5</f>
        <v>27</v>
      </c>
      <c r="H107" s="30"/>
      <c r="I107" s="30"/>
    </row>
    <row r="108" spans="1:9" ht="15" hidden="1">
      <c r="A108" s="46" t="s">
        <v>20</v>
      </c>
      <c r="B108" s="51"/>
      <c r="C108" s="51" t="s">
        <v>31</v>
      </c>
      <c r="D108" s="51" t="s">
        <v>940</v>
      </c>
      <c r="E108" s="51" t="s">
        <v>21</v>
      </c>
      <c r="F108" s="56"/>
      <c r="G108" s="30">
        <f>SUM(G109+G112)+G115</f>
        <v>0</v>
      </c>
      <c r="H108" s="30">
        <f>SUM(H109+H112)+H115</f>
        <v>278.1</v>
      </c>
      <c r="I108" s="30" t="e">
        <f aca="true" t="shared" si="5" ref="I108:I148">SUM(H108/G108*100)</f>
        <v>#DIV/0!</v>
      </c>
    </row>
    <row r="109" spans="1:9" ht="0.75" customHeight="1" hidden="1">
      <c r="A109" s="26" t="s">
        <v>947</v>
      </c>
      <c r="B109" s="51"/>
      <c r="C109" s="51" t="s">
        <v>31</v>
      </c>
      <c r="D109" s="51" t="s">
        <v>940</v>
      </c>
      <c r="E109" s="51" t="s">
        <v>21</v>
      </c>
      <c r="F109" s="56" t="s">
        <v>948</v>
      </c>
      <c r="G109" s="58">
        <f>SUM(G110:G111)</f>
        <v>0</v>
      </c>
      <c r="H109" s="58">
        <f>SUM(H110:H111)</f>
        <v>0</v>
      </c>
      <c r="I109" s="30" t="e">
        <f t="shared" si="5"/>
        <v>#DIV/0!</v>
      </c>
    </row>
    <row r="110" spans="1:9" ht="15" hidden="1">
      <c r="A110" s="46" t="s">
        <v>84</v>
      </c>
      <c r="B110" s="51"/>
      <c r="C110" s="51" t="s">
        <v>31</v>
      </c>
      <c r="D110" s="51" t="s">
        <v>940</v>
      </c>
      <c r="E110" s="51" t="s">
        <v>85</v>
      </c>
      <c r="F110" s="56" t="s">
        <v>948</v>
      </c>
      <c r="G110" s="58"/>
      <c r="H110" s="58"/>
      <c r="I110" s="30" t="e">
        <f t="shared" si="5"/>
        <v>#DIV/0!</v>
      </c>
    </row>
    <row r="111" spans="1:9" s="59" customFormat="1" ht="15" hidden="1">
      <c r="A111" s="46" t="s">
        <v>86</v>
      </c>
      <c r="B111" s="51"/>
      <c r="C111" s="51" t="s">
        <v>31</v>
      </c>
      <c r="D111" s="51" t="s">
        <v>940</v>
      </c>
      <c r="E111" s="51" t="s">
        <v>87</v>
      </c>
      <c r="F111" s="56" t="s">
        <v>948</v>
      </c>
      <c r="G111" s="58"/>
      <c r="H111" s="58"/>
      <c r="I111" s="30" t="e">
        <f t="shared" si="5"/>
        <v>#DIV/0!</v>
      </c>
    </row>
    <row r="112" spans="1:9" s="59" customFormat="1" ht="15" hidden="1">
      <c r="A112" s="46" t="s">
        <v>41</v>
      </c>
      <c r="B112" s="51"/>
      <c r="C112" s="51" t="s">
        <v>31</v>
      </c>
      <c r="D112" s="51" t="s">
        <v>940</v>
      </c>
      <c r="E112" s="51" t="s">
        <v>21</v>
      </c>
      <c r="F112" s="56" t="s">
        <v>42</v>
      </c>
      <c r="G112" s="50">
        <f>SUM(G113)</f>
        <v>0</v>
      </c>
      <c r="H112" s="50">
        <f>SUM(H113)</f>
        <v>167.7</v>
      </c>
      <c r="I112" s="30" t="e">
        <f t="shared" si="5"/>
        <v>#DIV/0!</v>
      </c>
    </row>
    <row r="113" spans="1:9" ht="42.75" hidden="1">
      <c r="A113" s="26" t="s">
        <v>88</v>
      </c>
      <c r="B113" s="51"/>
      <c r="C113" s="57" t="s">
        <v>31</v>
      </c>
      <c r="D113" s="57" t="s">
        <v>940</v>
      </c>
      <c r="E113" s="57" t="s">
        <v>89</v>
      </c>
      <c r="F113" s="49" t="s">
        <v>42</v>
      </c>
      <c r="G113" s="30">
        <f>SUM(G114)</f>
        <v>0</v>
      </c>
      <c r="H113" s="30">
        <f>SUM(H114)</f>
        <v>167.7</v>
      </c>
      <c r="I113" s="30" t="e">
        <f t="shared" si="5"/>
        <v>#DIV/0!</v>
      </c>
    </row>
    <row r="114" spans="1:9" ht="42.75" hidden="1">
      <c r="A114" s="31" t="s">
        <v>73</v>
      </c>
      <c r="B114" s="51"/>
      <c r="C114" s="57" t="s">
        <v>31</v>
      </c>
      <c r="D114" s="57" t="s">
        <v>940</v>
      </c>
      <c r="E114" s="57" t="s">
        <v>90</v>
      </c>
      <c r="F114" s="49" t="s">
        <v>42</v>
      </c>
      <c r="G114" s="30"/>
      <c r="H114" s="30">
        <v>167.7</v>
      </c>
      <c r="I114" s="30" t="e">
        <f t="shared" si="5"/>
        <v>#DIV/0!</v>
      </c>
    </row>
    <row r="115" spans="1:9" ht="42.75" hidden="1">
      <c r="A115" s="47" t="s">
        <v>91</v>
      </c>
      <c r="B115" s="51"/>
      <c r="C115" s="57" t="s">
        <v>31</v>
      </c>
      <c r="D115" s="57" t="s">
        <v>940</v>
      </c>
      <c r="E115" s="57" t="s">
        <v>92</v>
      </c>
      <c r="F115" s="49"/>
      <c r="G115" s="30">
        <f>SUM(G116)</f>
        <v>0</v>
      </c>
      <c r="H115" s="30">
        <f>SUM(H116)</f>
        <v>110.4</v>
      </c>
      <c r="I115" s="30" t="e">
        <f t="shared" si="5"/>
        <v>#DIV/0!</v>
      </c>
    </row>
    <row r="116" spans="1:9" ht="15" hidden="1">
      <c r="A116" s="46" t="s">
        <v>41</v>
      </c>
      <c r="B116" s="51"/>
      <c r="C116" s="57" t="s">
        <v>31</v>
      </c>
      <c r="D116" s="57" t="s">
        <v>940</v>
      </c>
      <c r="E116" s="57" t="s">
        <v>92</v>
      </c>
      <c r="F116" s="49" t="s">
        <v>42</v>
      </c>
      <c r="G116" s="30"/>
      <c r="H116" s="30">
        <v>110.4</v>
      </c>
      <c r="I116" s="30" t="e">
        <f t="shared" si="5"/>
        <v>#DIV/0!</v>
      </c>
    </row>
    <row r="117" spans="1:9" ht="20.25" customHeight="1">
      <c r="A117" s="26" t="s">
        <v>93</v>
      </c>
      <c r="B117" s="27"/>
      <c r="C117" s="28" t="s">
        <v>31</v>
      </c>
      <c r="D117" s="28" t="s">
        <v>942</v>
      </c>
      <c r="E117" s="28"/>
      <c r="F117" s="29"/>
      <c r="G117" s="30">
        <f>SUM(G124+G136)+G118+G132+G121</f>
        <v>45652.4</v>
      </c>
      <c r="H117" s="30">
        <f>SUM(H124+H136)+H118+H132+H121</f>
        <v>24530.6</v>
      </c>
      <c r="I117" s="30">
        <f t="shared" si="5"/>
        <v>53.73342912968431</v>
      </c>
    </row>
    <row r="118" spans="1:9" ht="18" customHeight="1" hidden="1">
      <c r="A118" s="26" t="s">
        <v>94</v>
      </c>
      <c r="B118" s="27"/>
      <c r="C118" s="28" t="s">
        <v>31</v>
      </c>
      <c r="D118" s="28" t="s">
        <v>942</v>
      </c>
      <c r="E118" s="28" t="s">
        <v>95</v>
      </c>
      <c r="F118" s="29"/>
      <c r="G118" s="30">
        <f>SUM(G119)</f>
        <v>0</v>
      </c>
      <c r="H118" s="30">
        <f>SUM(H119)</f>
        <v>0</v>
      </c>
      <c r="I118" s="30" t="e">
        <f t="shared" si="5"/>
        <v>#DIV/0!</v>
      </c>
    </row>
    <row r="119" spans="1:9" ht="15.75" customHeight="1" hidden="1">
      <c r="A119" s="26" t="s">
        <v>96</v>
      </c>
      <c r="B119" s="27"/>
      <c r="C119" s="28" t="s">
        <v>31</v>
      </c>
      <c r="D119" s="28" t="s">
        <v>942</v>
      </c>
      <c r="E119" s="28" t="s">
        <v>97</v>
      </c>
      <c r="F119" s="29"/>
      <c r="G119" s="30">
        <f>SUM(G120)</f>
        <v>0</v>
      </c>
      <c r="H119" s="30">
        <f>SUM(H120)</f>
        <v>0</v>
      </c>
      <c r="I119" s="30" t="e">
        <f t="shared" si="5"/>
        <v>#DIV/0!</v>
      </c>
    </row>
    <row r="120" spans="1:9" ht="15.75" customHeight="1" hidden="1">
      <c r="A120" s="26" t="s">
        <v>947</v>
      </c>
      <c r="B120" s="27"/>
      <c r="C120" s="28" t="s">
        <v>31</v>
      </c>
      <c r="D120" s="28" t="s">
        <v>942</v>
      </c>
      <c r="E120" s="28" t="s">
        <v>97</v>
      </c>
      <c r="F120" s="29" t="s">
        <v>948</v>
      </c>
      <c r="G120" s="30"/>
      <c r="H120" s="30"/>
      <c r="I120" s="30" t="e">
        <f t="shared" si="5"/>
        <v>#DIV/0!</v>
      </c>
    </row>
    <row r="121" spans="1:9" ht="27.75" customHeight="1" hidden="1">
      <c r="A121" s="26" t="s">
        <v>98</v>
      </c>
      <c r="B121" s="27"/>
      <c r="C121" s="28" t="s">
        <v>31</v>
      </c>
      <c r="D121" s="28" t="s">
        <v>942</v>
      </c>
      <c r="E121" s="28" t="s">
        <v>99</v>
      </c>
      <c r="F121" s="29"/>
      <c r="G121" s="30">
        <f>SUM(G122)</f>
        <v>0</v>
      </c>
      <c r="H121" s="30">
        <f>SUM(H122)</f>
        <v>9483.6</v>
      </c>
      <c r="I121" s="30" t="e">
        <f t="shared" si="5"/>
        <v>#DIV/0!</v>
      </c>
    </row>
    <row r="122" spans="1:9" ht="33" customHeight="1" hidden="1">
      <c r="A122" s="26" t="s">
        <v>100</v>
      </c>
      <c r="B122" s="27"/>
      <c r="C122" s="28" t="s">
        <v>31</v>
      </c>
      <c r="D122" s="28" t="s">
        <v>942</v>
      </c>
      <c r="E122" s="28" t="s">
        <v>101</v>
      </c>
      <c r="F122" s="29"/>
      <c r="G122" s="30">
        <f>SUM(G123)</f>
        <v>0</v>
      </c>
      <c r="H122" s="30">
        <f>SUM(H123)</f>
        <v>9483.6</v>
      </c>
      <c r="I122" s="30" t="e">
        <f t="shared" si="5"/>
        <v>#DIV/0!</v>
      </c>
    </row>
    <row r="123" spans="1:9" ht="15.75" customHeight="1" hidden="1">
      <c r="A123" s="26" t="s">
        <v>10</v>
      </c>
      <c r="B123" s="27"/>
      <c r="C123" s="28" t="s">
        <v>31</v>
      </c>
      <c r="D123" s="28" t="s">
        <v>942</v>
      </c>
      <c r="E123" s="28" t="s">
        <v>101</v>
      </c>
      <c r="F123" s="29" t="s">
        <v>11</v>
      </c>
      <c r="G123" s="30"/>
      <c r="H123" s="30">
        <v>9483.6</v>
      </c>
      <c r="I123" s="30" t="e">
        <f t="shared" si="5"/>
        <v>#DIV/0!</v>
      </c>
    </row>
    <row r="124" spans="1:9" ht="18" customHeight="1">
      <c r="A124" s="60" t="s">
        <v>102</v>
      </c>
      <c r="B124" s="27"/>
      <c r="C124" s="28" t="s">
        <v>31</v>
      </c>
      <c r="D124" s="28" t="s">
        <v>942</v>
      </c>
      <c r="E124" s="28" t="s">
        <v>103</v>
      </c>
      <c r="F124" s="29"/>
      <c r="G124" s="30">
        <f>SUM(G125+G127+G129)</f>
        <v>45652.4</v>
      </c>
      <c r="H124" s="30">
        <f>SUM(H125+H127+H129)</f>
        <v>15047</v>
      </c>
      <c r="I124" s="30">
        <f t="shared" si="5"/>
        <v>32.959932007955764</v>
      </c>
    </row>
    <row r="125" spans="1:9" ht="57" hidden="1">
      <c r="A125" s="46" t="s">
        <v>104</v>
      </c>
      <c r="B125" s="27"/>
      <c r="C125" s="28" t="s">
        <v>31</v>
      </c>
      <c r="D125" s="28" t="s">
        <v>942</v>
      </c>
      <c r="E125" s="28" t="s">
        <v>105</v>
      </c>
      <c r="F125" s="29"/>
      <c r="G125" s="30">
        <f>SUM(G126)</f>
        <v>0</v>
      </c>
      <c r="H125" s="30">
        <f>SUM(H126)</f>
        <v>0</v>
      </c>
      <c r="I125" s="30" t="e">
        <f t="shared" si="5"/>
        <v>#DIV/0!</v>
      </c>
    </row>
    <row r="126" spans="1:9" s="61" customFormat="1" ht="15" hidden="1">
      <c r="A126" s="26" t="s">
        <v>10</v>
      </c>
      <c r="B126" s="27"/>
      <c r="C126" s="28" t="s">
        <v>31</v>
      </c>
      <c r="D126" s="28" t="s">
        <v>942</v>
      </c>
      <c r="E126" s="28" t="s">
        <v>105</v>
      </c>
      <c r="F126" s="29" t="s">
        <v>11</v>
      </c>
      <c r="G126" s="30"/>
      <c r="H126" s="30"/>
      <c r="I126" s="30" t="e">
        <f t="shared" si="5"/>
        <v>#DIV/0!</v>
      </c>
    </row>
    <row r="127" spans="1:9" ht="57" hidden="1">
      <c r="A127" s="46" t="s">
        <v>106</v>
      </c>
      <c r="B127" s="27"/>
      <c r="C127" s="28" t="s">
        <v>31</v>
      </c>
      <c r="D127" s="28" t="s">
        <v>942</v>
      </c>
      <c r="E127" s="28" t="s">
        <v>107</v>
      </c>
      <c r="F127" s="29"/>
      <c r="G127" s="30">
        <f>SUM(G128)</f>
        <v>0</v>
      </c>
      <c r="H127" s="30">
        <f>SUM(H128)</f>
        <v>0</v>
      </c>
      <c r="I127" s="30" t="e">
        <f t="shared" si="5"/>
        <v>#DIV/0!</v>
      </c>
    </row>
    <row r="128" spans="1:9" s="61" customFormat="1" ht="20.25" customHeight="1" hidden="1">
      <c r="A128" s="26" t="s">
        <v>10</v>
      </c>
      <c r="B128" s="27"/>
      <c r="C128" s="28" t="s">
        <v>31</v>
      </c>
      <c r="D128" s="28" t="s">
        <v>942</v>
      </c>
      <c r="E128" s="28" t="s">
        <v>107</v>
      </c>
      <c r="F128" s="29" t="s">
        <v>11</v>
      </c>
      <c r="G128" s="30"/>
      <c r="H128" s="30"/>
      <c r="I128" s="30" t="e">
        <f t="shared" si="5"/>
        <v>#DIV/0!</v>
      </c>
    </row>
    <row r="129" spans="1:9" ht="14.25" customHeight="1">
      <c r="A129" s="31" t="s">
        <v>108</v>
      </c>
      <c r="B129" s="27"/>
      <c r="C129" s="28" t="s">
        <v>31</v>
      </c>
      <c r="D129" s="28" t="s">
        <v>942</v>
      </c>
      <c r="E129" s="28" t="s">
        <v>109</v>
      </c>
      <c r="F129" s="29"/>
      <c r="G129" s="30">
        <f>SUM(G130:G131)</f>
        <v>45652.4</v>
      </c>
      <c r="H129" s="30">
        <f>SUM(H130:H131)</f>
        <v>15047</v>
      </c>
      <c r="I129" s="30">
        <f t="shared" si="5"/>
        <v>32.959932007955764</v>
      </c>
    </row>
    <row r="130" spans="1:9" ht="15" customHeight="1">
      <c r="A130" s="26" t="s">
        <v>10</v>
      </c>
      <c r="B130" s="27"/>
      <c r="C130" s="28" t="s">
        <v>31</v>
      </c>
      <c r="D130" s="28" t="s">
        <v>942</v>
      </c>
      <c r="E130" s="28" t="s">
        <v>109</v>
      </c>
      <c r="F130" s="29" t="s">
        <v>11</v>
      </c>
      <c r="G130" s="50">
        <f>7900+10557.7-7000-83.4-14.6+3050.3</f>
        <v>14410</v>
      </c>
      <c r="H130" s="50">
        <f>878+4272.1+2990.6</f>
        <v>8140.700000000001</v>
      </c>
      <c r="I130" s="30">
        <f t="shared" si="5"/>
        <v>56.49340735600278</v>
      </c>
    </row>
    <row r="131" spans="1:9" ht="27" customHeight="1">
      <c r="A131" s="26" t="s">
        <v>947</v>
      </c>
      <c r="B131" s="27"/>
      <c r="C131" s="28" t="s">
        <v>31</v>
      </c>
      <c r="D131" s="28" t="s">
        <v>942</v>
      </c>
      <c r="E131" s="28" t="s">
        <v>109</v>
      </c>
      <c r="F131" s="29" t="s">
        <v>948</v>
      </c>
      <c r="G131" s="50">
        <f>29981.7+1277.7-17</f>
        <v>31242.4</v>
      </c>
      <c r="H131" s="50">
        <v>6906.3</v>
      </c>
      <c r="I131" s="30">
        <f t="shared" si="5"/>
        <v>22.105536066371343</v>
      </c>
    </row>
    <row r="132" spans="1:9" ht="17.25" customHeight="1" hidden="1">
      <c r="A132" s="31" t="s">
        <v>67</v>
      </c>
      <c r="B132" s="51"/>
      <c r="C132" s="28" t="s">
        <v>31</v>
      </c>
      <c r="D132" s="28" t="s">
        <v>942</v>
      </c>
      <c r="E132" s="57" t="s">
        <v>68</v>
      </c>
      <c r="F132" s="29"/>
      <c r="G132" s="50">
        <f aca="true" t="shared" si="6" ref="G132:H134">SUM(G133)</f>
        <v>0</v>
      </c>
      <c r="H132" s="50">
        <f t="shared" si="6"/>
        <v>0</v>
      </c>
      <c r="I132" s="30" t="e">
        <f t="shared" si="5"/>
        <v>#DIV/0!</v>
      </c>
    </row>
    <row r="133" spans="1:9" ht="15.75" customHeight="1" hidden="1">
      <c r="A133" s="26" t="s">
        <v>71</v>
      </c>
      <c r="B133" s="51"/>
      <c r="C133" s="28" t="s">
        <v>31</v>
      </c>
      <c r="D133" s="28" t="s">
        <v>942</v>
      </c>
      <c r="E133" s="57" t="s">
        <v>72</v>
      </c>
      <c r="F133" s="29"/>
      <c r="G133" s="50">
        <f t="shared" si="6"/>
        <v>0</v>
      </c>
      <c r="H133" s="50">
        <f t="shared" si="6"/>
        <v>0</v>
      </c>
      <c r="I133" s="30" t="e">
        <f t="shared" si="5"/>
        <v>#DIV/0!</v>
      </c>
    </row>
    <row r="134" spans="1:9" ht="13.5" customHeight="1" hidden="1">
      <c r="A134" s="31" t="s">
        <v>110</v>
      </c>
      <c r="B134" s="27"/>
      <c r="C134" s="28" t="s">
        <v>31</v>
      </c>
      <c r="D134" s="28" t="s">
        <v>942</v>
      </c>
      <c r="E134" s="57" t="s">
        <v>111</v>
      </c>
      <c r="F134" s="29"/>
      <c r="G134" s="50">
        <f t="shared" si="6"/>
        <v>0</v>
      </c>
      <c r="H134" s="50">
        <f t="shared" si="6"/>
        <v>0</v>
      </c>
      <c r="I134" s="30" t="e">
        <f t="shared" si="5"/>
        <v>#DIV/0!</v>
      </c>
    </row>
    <row r="135" spans="1:9" ht="28.5" customHeight="1" hidden="1">
      <c r="A135" s="26" t="s">
        <v>947</v>
      </c>
      <c r="B135" s="27"/>
      <c r="C135" s="28" t="s">
        <v>31</v>
      </c>
      <c r="D135" s="28" t="s">
        <v>942</v>
      </c>
      <c r="E135" s="57" t="s">
        <v>111</v>
      </c>
      <c r="F135" s="29" t="s">
        <v>948</v>
      </c>
      <c r="G135" s="50"/>
      <c r="H135" s="50"/>
      <c r="I135" s="30" t="e">
        <f t="shared" si="5"/>
        <v>#DIV/0!</v>
      </c>
    </row>
    <row r="136" spans="1:9" ht="15" hidden="1">
      <c r="A136" s="46" t="s">
        <v>20</v>
      </c>
      <c r="B136" s="62"/>
      <c r="C136" s="51" t="s">
        <v>31</v>
      </c>
      <c r="D136" s="51" t="s">
        <v>942</v>
      </c>
      <c r="E136" s="51" t="s">
        <v>21</v>
      </c>
      <c r="F136" s="56"/>
      <c r="G136" s="50">
        <f>SUM(G137)</f>
        <v>0</v>
      </c>
      <c r="H136" s="50">
        <f>SUM(H137)</f>
        <v>0</v>
      </c>
      <c r="I136" s="30" t="e">
        <f t="shared" si="5"/>
        <v>#DIV/0!</v>
      </c>
    </row>
    <row r="137" spans="1:9" s="59" customFormat="1" ht="57" hidden="1">
      <c r="A137" s="26" t="s">
        <v>112</v>
      </c>
      <c r="B137" s="62"/>
      <c r="C137" s="57" t="s">
        <v>31</v>
      </c>
      <c r="D137" s="57" t="s">
        <v>942</v>
      </c>
      <c r="E137" s="57" t="s">
        <v>113</v>
      </c>
      <c r="F137" s="29"/>
      <c r="G137" s="50">
        <f>SUM(G138)+G139+G141+G140</f>
        <v>0</v>
      </c>
      <c r="H137" s="50">
        <f>SUM(H138)+H139+H141</f>
        <v>0</v>
      </c>
      <c r="I137" s="30" t="e">
        <f t="shared" si="5"/>
        <v>#DIV/0!</v>
      </c>
    </row>
    <row r="138" spans="1:9" ht="42.75" hidden="1">
      <c r="A138" s="26" t="s">
        <v>114</v>
      </c>
      <c r="B138" s="62"/>
      <c r="C138" s="57" t="s">
        <v>31</v>
      </c>
      <c r="D138" s="57" t="s">
        <v>942</v>
      </c>
      <c r="E138" s="57" t="s">
        <v>115</v>
      </c>
      <c r="F138" s="29" t="s">
        <v>948</v>
      </c>
      <c r="G138" s="50">
        <f>600-600</f>
        <v>0</v>
      </c>
      <c r="H138" s="50">
        <f>600-600</f>
        <v>0</v>
      </c>
      <c r="I138" s="30" t="e">
        <f t="shared" si="5"/>
        <v>#DIV/0!</v>
      </c>
    </row>
    <row r="139" spans="1:9" ht="28.5" hidden="1">
      <c r="A139" s="46" t="s">
        <v>116</v>
      </c>
      <c r="B139" s="62"/>
      <c r="C139" s="57" t="s">
        <v>31</v>
      </c>
      <c r="D139" s="57" t="s">
        <v>942</v>
      </c>
      <c r="E139" s="57" t="s">
        <v>117</v>
      </c>
      <c r="F139" s="29" t="s">
        <v>948</v>
      </c>
      <c r="G139" s="50">
        <f>900-900</f>
        <v>0</v>
      </c>
      <c r="H139" s="50">
        <f>900-900</f>
        <v>0</v>
      </c>
      <c r="I139" s="30" t="e">
        <f t="shared" si="5"/>
        <v>#DIV/0!</v>
      </c>
    </row>
    <row r="140" spans="1:9" ht="28.5" hidden="1">
      <c r="A140" s="26" t="s">
        <v>947</v>
      </c>
      <c r="B140" s="62"/>
      <c r="C140" s="57" t="s">
        <v>31</v>
      </c>
      <c r="D140" s="57" t="s">
        <v>942</v>
      </c>
      <c r="E140" s="57" t="s">
        <v>113</v>
      </c>
      <c r="F140" s="29" t="s">
        <v>948</v>
      </c>
      <c r="G140" s="50">
        <f>5825.2-5825.2</f>
        <v>0</v>
      </c>
      <c r="H140" s="50"/>
      <c r="I140" s="30" t="e">
        <f t="shared" si="5"/>
        <v>#DIV/0!</v>
      </c>
    </row>
    <row r="141" spans="1:9" ht="42.75" hidden="1">
      <c r="A141" s="47" t="s">
        <v>118</v>
      </c>
      <c r="B141" s="62"/>
      <c r="C141" s="57" t="s">
        <v>31</v>
      </c>
      <c r="D141" s="57" t="s">
        <v>942</v>
      </c>
      <c r="E141" s="57" t="s">
        <v>119</v>
      </c>
      <c r="F141" s="29"/>
      <c r="G141" s="50">
        <f>SUM(G142)</f>
        <v>0</v>
      </c>
      <c r="H141" s="50">
        <f>SUM(H142)</f>
        <v>0</v>
      </c>
      <c r="I141" s="30" t="e">
        <f t="shared" si="5"/>
        <v>#DIV/0!</v>
      </c>
    </row>
    <row r="142" spans="1:9" ht="28.5" hidden="1">
      <c r="A142" s="46" t="s">
        <v>110</v>
      </c>
      <c r="B142" s="62"/>
      <c r="C142" s="57" t="s">
        <v>31</v>
      </c>
      <c r="D142" s="57" t="s">
        <v>942</v>
      </c>
      <c r="E142" s="57" t="s">
        <v>120</v>
      </c>
      <c r="F142" s="29"/>
      <c r="G142" s="50">
        <f>SUM(G143)</f>
        <v>0</v>
      </c>
      <c r="H142" s="50">
        <f>SUM(H143)</f>
        <v>0</v>
      </c>
      <c r="I142" s="30" t="e">
        <f t="shared" si="5"/>
        <v>#DIV/0!</v>
      </c>
    </row>
    <row r="143" spans="1:9" ht="28.5" hidden="1">
      <c r="A143" s="26" t="s">
        <v>947</v>
      </c>
      <c r="B143" s="62"/>
      <c r="C143" s="57" t="s">
        <v>31</v>
      </c>
      <c r="D143" s="57" t="s">
        <v>942</v>
      </c>
      <c r="E143" s="57" t="s">
        <v>120</v>
      </c>
      <c r="F143" s="29" t="s">
        <v>948</v>
      </c>
      <c r="G143" s="50">
        <f>4200.9-4200.9</f>
        <v>0</v>
      </c>
      <c r="H143" s="50">
        <f>4200.9-4200.9</f>
        <v>0</v>
      </c>
      <c r="I143" s="30" t="e">
        <f t="shared" si="5"/>
        <v>#DIV/0!</v>
      </c>
    </row>
    <row r="144" spans="1:9" s="63" customFormat="1" ht="16.5" customHeight="1">
      <c r="A144" s="26" t="s">
        <v>121</v>
      </c>
      <c r="B144" s="27"/>
      <c r="C144" s="28" t="s">
        <v>31</v>
      </c>
      <c r="D144" s="28" t="s">
        <v>950</v>
      </c>
      <c r="E144" s="28"/>
      <c r="F144" s="29"/>
      <c r="G144" s="30">
        <f>SUM(G147+G165)+G145</f>
        <v>459265.29999999993</v>
      </c>
      <c r="H144" s="30">
        <f>SUM(H147+H165)+H145</f>
        <v>71482.59999999999</v>
      </c>
      <c r="I144" s="30">
        <f t="shared" si="5"/>
        <v>15.564554953313477</v>
      </c>
    </row>
    <row r="145" spans="1:9" s="64" customFormat="1" ht="76.5" customHeight="1" hidden="1">
      <c r="A145" s="26" t="s">
        <v>122</v>
      </c>
      <c r="B145" s="27"/>
      <c r="C145" s="28" t="s">
        <v>31</v>
      </c>
      <c r="D145" s="28" t="s">
        <v>950</v>
      </c>
      <c r="E145" s="28" t="s">
        <v>123</v>
      </c>
      <c r="F145" s="29"/>
      <c r="G145" s="30">
        <f>SUM(G146)</f>
        <v>0</v>
      </c>
      <c r="H145" s="30">
        <f>SUM(H146)</f>
        <v>0</v>
      </c>
      <c r="I145" s="30" t="e">
        <f t="shared" si="5"/>
        <v>#DIV/0!</v>
      </c>
    </row>
    <row r="146" spans="1:9" s="64" customFormat="1" ht="61.5" customHeight="1" hidden="1">
      <c r="A146" s="26" t="s">
        <v>124</v>
      </c>
      <c r="B146" s="27"/>
      <c r="C146" s="28" t="s">
        <v>31</v>
      </c>
      <c r="D146" s="28" t="s">
        <v>950</v>
      </c>
      <c r="E146" s="28" t="s">
        <v>123</v>
      </c>
      <c r="F146" s="29" t="s">
        <v>125</v>
      </c>
      <c r="G146" s="30"/>
      <c r="H146" s="30"/>
      <c r="I146" s="30" t="e">
        <f t="shared" si="5"/>
        <v>#DIV/0!</v>
      </c>
    </row>
    <row r="147" spans="1:9" s="64" customFormat="1" ht="18.75" customHeight="1">
      <c r="A147" s="26" t="s">
        <v>121</v>
      </c>
      <c r="B147" s="51"/>
      <c r="C147" s="28" t="s">
        <v>31</v>
      </c>
      <c r="D147" s="28" t="s">
        <v>950</v>
      </c>
      <c r="E147" s="57" t="s">
        <v>126</v>
      </c>
      <c r="F147" s="49"/>
      <c r="G147" s="30">
        <f>SUM(G148+G153+G159+G162)+G157</f>
        <v>453802.79999999993</v>
      </c>
      <c r="H147" s="30">
        <f>SUM(H148+H153+H159+H162)+H157</f>
        <v>71087.2</v>
      </c>
      <c r="I147" s="30">
        <f t="shared" si="5"/>
        <v>15.664777740463482</v>
      </c>
    </row>
    <row r="148" spans="1:9" s="64" customFormat="1" ht="15.75" customHeight="1">
      <c r="A148" s="46" t="s">
        <v>127</v>
      </c>
      <c r="B148" s="62"/>
      <c r="C148" s="28" t="s">
        <v>31</v>
      </c>
      <c r="D148" s="28" t="s">
        <v>950</v>
      </c>
      <c r="E148" s="57" t="s">
        <v>128</v>
      </c>
      <c r="F148" s="49"/>
      <c r="G148" s="30">
        <f>SUM(G149:G151)</f>
        <v>49846.799999999996</v>
      </c>
      <c r="H148" s="30">
        <f>SUM(H150:H151)</f>
        <v>20816.7</v>
      </c>
      <c r="I148" s="30">
        <f t="shared" si="5"/>
        <v>41.7613567972267</v>
      </c>
    </row>
    <row r="149" spans="1:9" s="64" customFormat="1" ht="15.75" customHeight="1">
      <c r="A149" s="26" t="s">
        <v>10</v>
      </c>
      <c r="B149" s="62"/>
      <c r="C149" s="28" t="s">
        <v>31</v>
      </c>
      <c r="D149" s="28" t="s">
        <v>950</v>
      </c>
      <c r="E149" s="57" t="s">
        <v>128</v>
      </c>
      <c r="F149" s="49" t="s">
        <v>11</v>
      </c>
      <c r="G149" s="30">
        <f>12317.4+91.3-0.1+3091.6</f>
        <v>15500.199999999999</v>
      </c>
      <c r="H149" s="30"/>
      <c r="I149" s="30"/>
    </row>
    <row r="150" spans="1:9" s="64" customFormat="1" ht="28.5">
      <c r="A150" s="26" t="s">
        <v>947</v>
      </c>
      <c r="B150" s="62"/>
      <c r="C150" s="28" t="s">
        <v>31</v>
      </c>
      <c r="D150" s="28" t="s">
        <v>950</v>
      </c>
      <c r="E150" s="57" t="s">
        <v>128</v>
      </c>
      <c r="F150" s="49" t="s">
        <v>948</v>
      </c>
      <c r="G150" s="30">
        <f>38000-3653.4</f>
        <v>34346.6</v>
      </c>
      <c r="H150" s="30">
        <v>20816.7</v>
      </c>
      <c r="I150" s="30">
        <f>SUM(H150/G150*100)</f>
        <v>60.60774574484811</v>
      </c>
    </row>
    <row r="151" spans="1:9" s="64" customFormat="1" ht="59.25" customHeight="1" hidden="1">
      <c r="A151" s="26" t="s">
        <v>129</v>
      </c>
      <c r="B151" s="62"/>
      <c r="C151" s="28" t="s">
        <v>31</v>
      </c>
      <c r="D151" s="28" t="s">
        <v>950</v>
      </c>
      <c r="E151" s="57" t="s">
        <v>130</v>
      </c>
      <c r="F151" s="49"/>
      <c r="G151" s="30">
        <f>SUM(G152)</f>
        <v>0</v>
      </c>
      <c r="H151" s="30">
        <f>SUM(H152)</f>
        <v>0</v>
      </c>
      <c r="I151" s="30" t="e">
        <f>SUM(H151/G151*100)</f>
        <v>#DIV/0!</v>
      </c>
    </row>
    <row r="152" spans="1:9" s="64" customFormat="1" ht="28.5" hidden="1">
      <c r="A152" s="26" t="s">
        <v>947</v>
      </c>
      <c r="B152" s="62"/>
      <c r="C152" s="28" t="s">
        <v>31</v>
      </c>
      <c r="D152" s="28" t="s">
        <v>950</v>
      </c>
      <c r="E152" s="57" t="s">
        <v>130</v>
      </c>
      <c r="F152" s="49" t="s">
        <v>948</v>
      </c>
      <c r="G152" s="30"/>
      <c r="H152" s="30"/>
      <c r="I152" s="30" t="e">
        <f>SUM(H152/G152*100)</f>
        <v>#DIV/0!</v>
      </c>
    </row>
    <row r="153" spans="1:9" s="64" customFormat="1" ht="43.5" customHeight="1">
      <c r="A153" s="46" t="s">
        <v>193</v>
      </c>
      <c r="B153" s="62"/>
      <c r="C153" s="28" t="s">
        <v>31</v>
      </c>
      <c r="D153" s="28" t="s">
        <v>950</v>
      </c>
      <c r="E153" s="57" t="s">
        <v>194</v>
      </c>
      <c r="F153" s="49"/>
      <c r="G153" s="30">
        <f>SUM(G156+G155+G154)</f>
        <v>322647.1</v>
      </c>
      <c r="H153" s="30">
        <f>SUM(H156)</f>
        <v>43097.5</v>
      </c>
      <c r="I153" s="30">
        <f>SUM(H153/G153*100)</f>
        <v>13.35747322694052</v>
      </c>
    </row>
    <row r="154" spans="1:9" s="64" customFormat="1" ht="19.5" customHeight="1">
      <c r="A154" s="26" t="s">
        <v>195</v>
      </c>
      <c r="B154" s="62"/>
      <c r="C154" s="28" t="s">
        <v>31</v>
      </c>
      <c r="D154" s="28" t="s">
        <v>950</v>
      </c>
      <c r="E154" s="57" t="s">
        <v>194</v>
      </c>
      <c r="F154" s="49" t="s">
        <v>42</v>
      </c>
      <c r="G154" s="30">
        <f>84224+5501.7-32717.7-6128.9+32717.7</f>
        <v>83596.8</v>
      </c>
      <c r="H154" s="30"/>
      <c r="I154" s="30"/>
    </row>
    <row r="155" spans="1:10" ht="15">
      <c r="A155" s="26" t="s">
        <v>10</v>
      </c>
      <c r="B155" s="62"/>
      <c r="C155" s="28" t="s">
        <v>31</v>
      </c>
      <c r="D155" s="28" t="s">
        <v>950</v>
      </c>
      <c r="E155" s="57" t="s">
        <v>194</v>
      </c>
      <c r="F155" s="49" t="s">
        <v>11</v>
      </c>
      <c r="G155" s="30">
        <f>66532.5-24.8-0.3</f>
        <v>66507.4</v>
      </c>
      <c r="H155" s="30"/>
      <c r="I155" s="30"/>
      <c r="J155" s="65"/>
    </row>
    <row r="156" spans="1:9" s="64" customFormat="1" ht="27.75" customHeight="1">
      <c r="A156" s="26" t="s">
        <v>947</v>
      </c>
      <c r="B156" s="62"/>
      <c r="C156" s="28" t="s">
        <v>31</v>
      </c>
      <c r="D156" s="28" t="s">
        <v>950</v>
      </c>
      <c r="E156" s="57" t="s">
        <v>194</v>
      </c>
      <c r="F156" s="49" t="s">
        <v>948</v>
      </c>
      <c r="G156" s="30">
        <f>176186.1-5110.2-3604.7+1467+3604.7</f>
        <v>172542.9</v>
      </c>
      <c r="H156" s="30">
        <v>43097.5</v>
      </c>
      <c r="I156" s="30">
        <f>SUM(H156/G156*100)</f>
        <v>24.97784608929142</v>
      </c>
    </row>
    <row r="157" spans="1:9" ht="71.25">
      <c r="A157" s="26" t="s">
        <v>196</v>
      </c>
      <c r="B157" s="62"/>
      <c r="C157" s="28" t="s">
        <v>31</v>
      </c>
      <c r="D157" s="28" t="s">
        <v>950</v>
      </c>
      <c r="E157" s="57" t="s">
        <v>197</v>
      </c>
      <c r="F157" s="49"/>
      <c r="G157" s="30">
        <f>SUM(G158)</f>
        <v>2672.3</v>
      </c>
      <c r="H157" s="30">
        <f>SUM(H158)</f>
        <v>482.9</v>
      </c>
      <c r="I157" s="30">
        <f>SUM(H157/G157*100)</f>
        <v>18.070575908393515</v>
      </c>
    </row>
    <row r="158" spans="1:9" ht="29.25" customHeight="1">
      <c r="A158" s="26" t="s">
        <v>947</v>
      </c>
      <c r="B158" s="62"/>
      <c r="C158" s="28" t="s">
        <v>31</v>
      </c>
      <c r="D158" s="28" t="s">
        <v>950</v>
      </c>
      <c r="E158" s="57" t="s">
        <v>197</v>
      </c>
      <c r="F158" s="49" t="s">
        <v>948</v>
      </c>
      <c r="G158" s="30">
        <v>2672.3</v>
      </c>
      <c r="H158" s="30">
        <v>482.9</v>
      </c>
      <c r="I158" s="30">
        <f>SUM(H158/G158*100)</f>
        <v>18.070575908393515</v>
      </c>
    </row>
    <row r="159" spans="1:9" ht="16.5" customHeight="1">
      <c r="A159" s="46" t="s">
        <v>198</v>
      </c>
      <c r="B159" s="62"/>
      <c r="C159" s="28" t="s">
        <v>31</v>
      </c>
      <c r="D159" s="28" t="s">
        <v>950</v>
      </c>
      <c r="E159" s="57" t="s">
        <v>199</v>
      </c>
      <c r="F159" s="56"/>
      <c r="G159" s="30">
        <f>SUM(G161+G160)</f>
        <v>1287.6000000000004</v>
      </c>
      <c r="H159" s="30">
        <f>SUM(H161)</f>
        <v>489.8</v>
      </c>
      <c r="I159" s="30">
        <f>SUM(H159/G159*100)</f>
        <v>38.039763901832856</v>
      </c>
    </row>
    <row r="160" spans="1:9" ht="16.5" customHeight="1">
      <c r="A160" s="26" t="s">
        <v>10</v>
      </c>
      <c r="B160" s="62"/>
      <c r="C160" s="28" t="s">
        <v>31</v>
      </c>
      <c r="D160" s="28" t="s">
        <v>950</v>
      </c>
      <c r="E160" s="57" t="s">
        <v>199</v>
      </c>
      <c r="F160" s="56" t="s">
        <v>11</v>
      </c>
      <c r="G160" s="30">
        <f>5800-4884.4</f>
        <v>915.6000000000004</v>
      </c>
      <c r="H160" s="30"/>
      <c r="I160" s="30"/>
    </row>
    <row r="161" spans="1:9" s="63" customFormat="1" ht="25.5" customHeight="1">
      <c r="A161" s="26" t="s">
        <v>947</v>
      </c>
      <c r="B161" s="62"/>
      <c r="C161" s="28" t="s">
        <v>31</v>
      </c>
      <c r="D161" s="28" t="s">
        <v>950</v>
      </c>
      <c r="E161" s="57" t="s">
        <v>199</v>
      </c>
      <c r="F161" s="49" t="s">
        <v>948</v>
      </c>
      <c r="G161" s="30">
        <f>125+247</f>
        <v>372</v>
      </c>
      <c r="H161" s="30">
        <v>489.8</v>
      </c>
      <c r="I161" s="30">
        <f>SUM(H161/G161*100)</f>
        <v>131.66666666666666</v>
      </c>
    </row>
    <row r="162" spans="1:9" s="63" customFormat="1" ht="28.5">
      <c r="A162" s="46" t="s">
        <v>200</v>
      </c>
      <c r="B162" s="62"/>
      <c r="C162" s="28" t="s">
        <v>31</v>
      </c>
      <c r="D162" s="28" t="s">
        <v>950</v>
      </c>
      <c r="E162" s="57" t="s">
        <v>201</v>
      </c>
      <c r="F162" s="49"/>
      <c r="G162" s="30">
        <f>SUM(G164+G163)</f>
        <v>77349</v>
      </c>
      <c r="H162" s="30">
        <f>SUM(H164)</f>
        <v>6200.3</v>
      </c>
      <c r="I162" s="30">
        <f>SUM(H162/G162*100)</f>
        <v>8.016005378220791</v>
      </c>
    </row>
    <row r="163" spans="1:9" s="63" customFormat="1" ht="15">
      <c r="A163" s="26" t="s">
        <v>10</v>
      </c>
      <c r="B163" s="62"/>
      <c r="C163" s="28" t="s">
        <v>31</v>
      </c>
      <c r="D163" s="28" t="s">
        <v>950</v>
      </c>
      <c r="E163" s="57" t="s">
        <v>201</v>
      </c>
      <c r="F163" s="49" t="s">
        <v>11</v>
      </c>
      <c r="G163" s="30">
        <f>46605.4+18370.3-6845.4-57.6+450</f>
        <v>58522.7</v>
      </c>
      <c r="H163" s="30"/>
      <c r="I163" s="30"/>
    </row>
    <row r="164" spans="1:9" s="63" customFormat="1" ht="27" customHeight="1">
      <c r="A164" s="26" t="s">
        <v>947</v>
      </c>
      <c r="B164" s="62"/>
      <c r="C164" s="28" t="s">
        <v>31</v>
      </c>
      <c r="D164" s="28" t="s">
        <v>950</v>
      </c>
      <c r="E164" s="57" t="s">
        <v>201</v>
      </c>
      <c r="F164" s="49" t="s">
        <v>948</v>
      </c>
      <c r="G164" s="30">
        <f>36395.4-15065.3-2249.4-1932+1677.6</f>
        <v>18826.3</v>
      </c>
      <c r="H164" s="30">
        <v>6200.3</v>
      </c>
      <c r="I164" s="30">
        <f aca="true" t="shared" si="7" ref="I164:I169">SUM(H164/G164*100)</f>
        <v>32.93424624063146</v>
      </c>
    </row>
    <row r="165" spans="1:9" s="63" customFormat="1" ht="15">
      <c r="A165" s="46" t="s">
        <v>20</v>
      </c>
      <c r="B165" s="62"/>
      <c r="C165" s="28" t="s">
        <v>31</v>
      </c>
      <c r="D165" s="28" t="s">
        <v>950</v>
      </c>
      <c r="E165" s="57" t="s">
        <v>21</v>
      </c>
      <c r="F165" s="49"/>
      <c r="G165" s="30">
        <f>SUM(G166,G170)</f>
        <v>5462.5</v>
      </c>
      <c r="H165" s="30">
        <f>SUM(H166)</f>
        <v>395.4</v>
      </c>
      <c r="I165" s="30">
        <f t="shared" si="7"/>
        <v>7.238443935926774</v>
      </c>
    </row>
    <row r="166" spans="1:9" s="63" customFormat="1" ht="59.25" customHeight="1">
      <c r="A166" s="26" t="s">
        <v>573</v>
      </c>
      <c r="B166" s="62"/>
      <c r="C166" s="28" t="s">
        <v>31</v>
      </c>
      <c r="D166" s="28" t="s">
        <v>950</v>
      </c>
      <c r="E166" s="57" t="s">
        <v>572</v>
      </c>
      <c r="F166" s="49"/>
      <c r="G166" s="30">
        <f>SUM(G168)+G167</f>
        <v>5462.5</v>
      </c>
      <c r="H166" s="30">
        <f>SUM(H168)+H167</f>
        <v>395.4</v>
      </c>
      <c r="I166" s="30">
        <f t="shared" si="7"/>
        <v>7.238443935926774</v>
      </c>
    </row>
    <row r="167" spans="1:9" s="63" customFormat="1" ht="27.75" customHeight="1">
      <c r="A167" s="26" t="s">
        <v>10</v>
      </c>
      <c r="B167" s="62"/>
      <c r="C167" s="28" t="s">
        <v>31</v>
      </c>
      <c r="D167" s="28" t="s">
        <v>950</v>
      </c>
      <c r="E167" s="57" t="s">
        <v>572</v>
      </c>
      <c r="F167" s="29" t="s">
        <v>11</v>
      </c>
      <c r="G167" s="50">
        <v>5462.5</v>
      </c>
      <c r="H167" s="50">
        <v>395.4</v>
      </c>
      <c r="I167" s="30">
        <f t="shared" si="7"/>
        <v>7.238443935926774</v>
      </c>
    </row>
    <row r="168" spans="1:9" s="63" customFormat="1" ht="42.75" hidden="1">
      <c r="A168" s="46" t="s">
        <v>203</v>
      </c>
      <c r="B168" s="66"/>
      <c r="C168" s="28" t="s">
        <v>31</v>
      </c>
      <c r="D168" s="28" t="s">
        <v>950</v>
      </c>
      <c r="E168" s="57" t="s">
        <v>204</v>
      </c>
      <c r="F168" s="49" t="s">
        <v>948</v>
      </c>
      <c r="G168" s="50"/>
      <c r="H168" s="50"/>
      <c r="I168" s="30" t="e">
        <f t="shared" si="7"/>
        <v>#DIV/0!</v>
      </c>
    </row>
    <row r="169" spans="1:9" s="63" customFormat="1" ht="57" hidden="1">
      <c r="A169" s="47" t="s">
        <v>205</v>
      </c>
      <c r="B169" s="66"/>
      <c r="C169" s="28" t="s">
        <v>31</v>
      </c>
      <c r="D169" s="28" t="s">
        <v>950</v>
      </c>
      <c r="E169" s="57" t="s">
        <v>206</v>
      </c>
      <c r="F169" s="49" t="s">
        <v>948</v>
      </c>
      <c r="G169" s="50"/>
      <c r="H169" s="50"/>
      <c r="I169" s="30" t="e">
        <f t="shared" si="7"/>
        <v>#DIV/0!</v>
      </c>
    </row>
    <row r="170" spans="1:9" ht="28.5" hidden="1">
      <c r="A170" s="26" t="s">
        <v>207</v>
      </c>
      <c r="B170" s="27"/>
      <c r="C170" s="67" t="s">
        <v>31</v>
      </c>
      <c r="D170" s="67" t="s">
        <v>950</v>
      </c>
      <c r="E170" s="67" t="s">
        <v>208</v>
      </c>
      <c r="F170" s="29"/>
      <c r="G170" s="50">
        <f>SUM(G171)</f>
        <v>0</v>
      </c>
      <c r="H170" s="50"/>
      <c r="I170" s="30"/>
    </row>
    <row r="171" spans="1:9" ht="15" hidden="1">
      <c r="A171" s="26" t="s">
        <v>10</v>
      </c>
      <c r="B171" s="27"/>
      <c r="C171" s="67" t="s">
        <v>31</v>
      </c>
      <c r="D171" s="67" t="s">
        <v>950</v>
      </c>
      <c r="E171" s="67" t="s">
        <v>209</v>
      </c>
      <c r="F171" s="29" t="s">
        <v>11</v>
      </c>
      <c r="G171" s="50"/>
      <c r="H171" s="50"/>
      <c r="I171" s="30"/>
    </row>
    <row r="172" spans="1:9" ht="28.5">
      <c r="A172" s="60" t="s">
        <v>210</v>
      </c>
      <c r="B172" s="27"/>
      <c r="C172" s="28" t="s">
        <v>31</v>
      </c>
      <c r="D172" s="28" t="s">
        <v>31</v>
      </c>
      <c r="E172" s="28"/>
      <c r="F172" s="29"/>
      <c r="G172" s="30">
        <f>SUM(G173+G176+G194+G180)+G190</f>
        <v>20236.4</v>
      </c>
      <c r="H172" s="30" t="e">
        <f>SUM(H173+H176+H194+H180)+H190</f>
        <v>#REF!</v>
      </c>
      <c r="I172" s="30" t="e">
        <f aca="true" t="shared" si="8" ref="I172:I222">SUM(H172/G172*100)</f>
        <v>#REF!</v>
      </c>
    </row>
    <row r="173" spans="1:9" ht="41.25" customHeight="1">
      <c r="A173" s="26" t="s">
        <v>943</v>
      </c>
      <c r="B173" s="27"/>
      <c r="C173" s="28" t="s">
        <v>31</v>
      </c>
      <c r="D173" s="28" t="s">
        <v>31</v>
      </c>
      <c r="E173" s="28" t="s">
        <v>944</v>
      </c>
      <c r="F173" s="29"/>
      <c r="G173" s="30">
        <f>SUM(G174+G177)</f>
        <v>20236.4</v>
      </c>
      <c r="H173" s="30">
        <f>SUM(H174+H177)</f>
        <v>0</v>
      </c>
      <c r="I173" s="30">
        <f t="shared" si="8"/>
        <v>0</v>
      </c>
    </row>
    <row r="174" spans="1:9" ht="21" customHeight="1">
      <c r="A174" s="26" t="s">
        <v>951</v>
      </c>
      <c r="B174" s="27"/>
      <c r="C174" s="28" t="s">
        <v>31</v>
      </c>
      <c r="D174" s="28" t="s">
        <v>31</v>
      </c>
      <c r="E174" s="28" t="s">
        <v>953</v>
      </c>
      <c r="F174" s="29"/>
      <c r="G174" s="30">
        <f>SUM(G175)</f>
        <v>20236.4</v>
      </c>
      <c r="H174" s="30">
        <f>SUM(H175)</f>
        <v>0</v>
      </c>
      <c r="I174" s="30">
        <f t="shared" si="8"/>
        <v>0</v>
      </c>
    </row>
    <row r="175" spans="1:9" ht="29.25" customHeight="1">
      <c r="A175" s="26" t="s">
        <v>947</v>
      </c>
      <c r="B175" s="27"/>
      <c r="C175" s="28" t="s">
        <v>31</v>
      </c>
      <c r="D175" s="28" t="s">
        <v>31</v>
      </c>
      <c r="E175" s="28" t="s">
        <v>953</v>
      </c>
      <c r="F175" s="29" t="s">
        <v>948</v>
      </c>
      <c r="G175" s="30">
        <f>20177.5+63.9-5</f>
        <v>20236.4</v>
      </c>
      <c r="H175" s="30"/>
      <c r="I175" s="30">
        <f t="shared" si="8"/>
        <v>0</v>
      </c>
    </row>
    <row r="176" spans="1:9" ht="25.5" customHeight="1" hidden="1">
      <c r="A176" s="31" t="s">
        <v>211</v>
      </c>
      <c r="B176" s="27"/>
      <c r="C176" s="28" t="s">
        <v>31</v>
      </c>
      <c r="D176" s="28" t="s">
        <v>31</v>
      </c>
      <c r="E176" s="28" t="s">
        <v>212</v>
      </c>
      <c r="F176" s="29"/>
      <c r="G176" s="30"/>
      <c r="H176" s="30"/>
      <c r="I176" s="30" t="e">
        <f t="shared" si="8"/>
        <v>#DIV/0!</v>
      </c>
    </row>
    <row r="177" spans="1:9" ht="27.75" customHeight="1" hidden="1">
      <c r="A177" s="31" t="s">
        <v>213</v>
      </c>
      <c r="B177" s="27"/>
      <c r="C177" s="28" t="s">
        <v>31</v>
      </c>
      <c r="D177" s="28" t="s">
        <v>31</v>
      </c>
      <c r="E177" s="28" t="s">
        <v>214</v>
      </c>
      <c r="F177" s="29"/>
      <c r="G177" s="30">
        <f>SUM(G179)</f>
        <v>0</v>
      </c>
      <c r="H177" s="30">
        <f>SUM(H179)</f>
        <v>0</v>
      </c>
      <c r="I177" s="30" t="e">
        <f t="shared" si="8"/>
        <v>#DIV/0!</v>
      </c>
    </row>
    <row r="178" spans="1:9" ht="42.75" customHeight="1" hidden="1">
      <c r="A178" s="31" t="s">
        <v>215</v>
      </c>
      <c r="B178" s="27"/>
      <c r="C178" s="28" t="s">
        <v>31</v>
      </c>
      <c r="D178" s="28" t="s">
        <v>31</v>
      </c>
      <c r="E178" s="28" t="s">
        <v>216</v>
      </c>
      <c r="F178" s="29"/>
      <c r="G178" s="30">
        <f>SUM(G179)</f>
        <v>0</v>
      </c>
      <c r="H178" s="30">
        <f>SUM(H179)</f>
        <v>0</v>
      </c>
      <c r="I178" s="30" t="e">
        <f t="shared" si="8"/>
        <v>#DIV/0!</v>
      </c>
    </row>
    <row r="179" spans="1:9" ht="19.5" customHeight="1" hidden="1">
      <c r="A179" s="26" t="s">
        <v>195</v>
      </c>
      <c r="B179" s="27"/>
      <c r="C179" s="28" t="s">
        <v>31</v>
      </c>
      <c r="D179" s="28" t="s">
        <v>31</v>
      </c>
      <c r="E179" s="28" t="s">
        <v>216</v>
      </c>
      <c r="F179" s="29" t="s">
        <v>42</v>
      </c>
      <c r="G179" s="50"/>
      <c r="H179" s="50"/>
      <c r="I179" s="30" t="e">
        <f t="shared" si="8"/>
        <v>#DIV/0!</v>
      </c>
    </row>
    <row r="180" spans="1:9" ht="21.75" customHeight="1" hidden="1">
      <c r="A180" s="31" t="s">
        <v>67</v>
      </c>
      <c r="B180" s="51"/>
      <c r="C180" s="28" t="s">
        <v>31</v>
      </c>
      <c r="D180" s="28" t="s">
        <v>31</v>
      </c>
      <c r="E180" s="57" t="s">
        <v>68</v>
      </c>
      <c r="F180" s="29"/>
      <c r="G180" s="50">
        <f>SUM(G188)</f>
        <v>0</v>
      </c>
      <c r="H180" s="50">
        <f>SUM(H181+H186)</f>
        <v>4731.200000000001</v>
      </c>
      <c r="I180" s="30" t="e">
        <f t="shared" si="8"/>
        <v>#DIV/0!</v>
      </c>
    </row>
    <row r="181" spans="1:9" ht="47.25" customHeight="1" hidden="1">
      <c r="A181" s="26" t="s">
        <v>71</v>
      </c>
      <c r="B181" s="51"/>
      <c r="C181" s="28" t="s">
        <v>31</v>
      </c>
      <c r="D181" s="28" t="s">
        <v>31</v>
      </c>
      <c r="E181" s="57" t="s">
        <v>72</v>
      </c>
      <c r="F181" s="29"/>
      <c r="G181" s="50">
        <f>SUM(G182+G184)</f>
        <v>0</v>
      </c>
      <c r="H181" s="50">
        <f>SUM(H182+H184)</f>
        <v>4731.200000000001</v>
      </c>
      <c r="I181" s="30" t="e">
        <f t="shared" si="8"/>
        <v>#DIV/0!</v>
      </c>
    </row>
    <row r="182" spans="1:9" ht="28.5" hidden="1">
      <c r="A182" s="31" t="s">
        <v>110</v>
      </c>
      <c r="B182" s="27"/>
      <c r="C182" s="28" t="s">
        <v>31</v>
      </c>
      <c r="D182" s="28" t="s">
        <v>31</v>
      </c>
      <c r="E182" s="57" t="s">
        <v>111</v>
      </c>
      <c r="F182" s="29"/>
      <c r="G182" s="50">
        <f>SUM(G183,G193)</f>
        <v>0</v>
      </c>
      <c r="H182" s="50">
        <f>SUM(H183,H193)</f>
        <v>4731.200000000001</v>
      </c>
      <c r="I182" s="30" t="e">
        <f t="shared" si="8"/>
        <v>#DIV/0!</v>
      </c>
    </row>
    <row r="183" spans="1:9" ht="18.75" customHeight="1" hidden="1">
      <c r="A183" s="26" t="s">
        <v>195</v>
      </c>
      <c r="B183" s="27"/>
      <c r="C183" s="28" t="s">
        <v>31</v>
      </c>
      <c r="D183" s="28" t="s">
        <v>31</v>
      </c>
      <c r="E183" s="57" t="s">
        <v>111</v>
      </c>
      <c r="F183" s="29" t="s">
        <v>42</v>
      </c>
      <c r="G183" s="50"/>
      <c r="H183" s="50">
        <v>2740.8</v>
      </c>
      <c r="I183" s="30" t="e">
        <f t="shared" si="8"/>
        <v>#DIV/0!</v>
      </c>
    </row>
    <row r="184" spans="1:9" ht="27" customHeight="1" hidden="1">
      <c r="A184" s="26" t="s">
        <v>217</v>
      </c>
      <c r="B184" s="27"/>
      <c r="C184" s="28" t="s">
        <v>31</v>
      </c>
      <c r="D184" s="28" t="s">
        <v>31</v>
      </c>
      <c r="E184" s="57" t="s">
        <v>218</v>
      </c>
      <c r="F184" s="29"/>
      <c r="G184" s="50">
        <f>SUM(G185)</f>
        <v>0</v>
      </c>
      <c r="H184" s="50">
        <f>SUM(H185)</f>
        <v>0</v>
      </c>
      <c r="I184" s="30" t="e">
        <f t="shared" si="8"/>
        <v>#DIV/0!</v>
      </c>
    </row>
    <row r="185" spans="1:9" ht="19.5" customHeight="1" hidden="1">
      <c r="A185" s="26" t="s">
        <v>195</v>
      </c>
      <c r="B185" s="27"/>
      <c r="C185" s="28" t="s">
        <v>31</v>
      </c>
      <c r="D185" s="28" t="s">
        <v>31</v>
      </c>
      <c r="E185" s="57" t="s">
        <v>218</v>
      </c>
      <c r="F185" s="29" t="s">
        <v>42</v>
      </c>
      <c r="G185" s="50"/>
      <c r="H185" s="50"/>
      <c r="I185" s="30" t="e">
        <f t="shared" si="8"/>
        <v>#DIV/0!</v>
      </c>
    </row>
    <row r="186" spans="1:9" ht="42.75" customHeight="1" hidden="1">
      <c r="A186" s="26" t="s">
        <v>219</v>
      </c>
      <c r="B186" s="27"/>
      <c r="C186" s="28" t="s">
        <v>31</v>
      </c>
      <c r="D186" s="28" t="s">
        <v>31</v>
      </c>
      <c r="E186" s="57" t="s">
        <v>220</v>
      </c>
      <c r="F186" s="29"/>
      <c r="G186" s="50">
        <f>SUM(G187)</f>
        <v>0</v>
      </c>
      <c r="H186" s="50">
        <f>SUM(H187)</f>
        <v>0</v>
      </c>
      <c r="I186" s="30" t="e">
        <f t="shared" si="8"/>
        <v>#DIV/0!</v>
      </c>
    </row>
    <row r="187" spans="1:9" ht="21.75" customHeight="1" hidden="1">
      <c r="A187" s="26" t="s">
        <v>195</v>
      </c>
      <c r="B187" s="27"/>
      <c r="C187" s="28" t="s">
        <v>31</v>
      </c>
      <c r="D187" s="28" t="s">
        <v>31</v>
      </c>
      <c r="E187" s="57" t="s">
        <v>220</v>
      </c>
      <c r="F187" s="29" t="s">
        <v>42</v>
      </c>
      <c r="G187" s="50"/>
      <c r="H187" s="50"/>
      <c r="I187" s="30" t="e">
        <f t="shared" si="8"/>
        <v>#DIV/0!</v>
      </c>
    </row>
    <row r="188" spans="1:9" ht="68.25" customHeight="1" hidden="1">
      <c r="A188" s="26" t="s">
        <v>221</v>
      </c>
      <c r="B188" s="27"/>
      <c r="C188" s="28" t="s">
        <v>31</v>
      </c>
      <c r="D188" s="28" t="s">
        <v>31</v>
      </c>
      <c r="E188" s="57" t="s">
        <v>222</v>
      </c>
      <c r="F188" s="29"/>
      <c r="G188" s="50">
        <f>SUM(G189)</f>
        <v>0</v>
      </c>
      <c r="H188" s="50">
        <f>SUM(H189)</f>
        <v>0</v>
      </c>
      <c r="I188" s="30" t="e">
        <f>SUM(H188/G188*100)</f>
        <v>#DIV/0!</v>
      </c>
    </row>
    <row r="189" spans="1:9" ht="21.75" customHeight="1" hidden="1">
      <c r="A189" s="26" t="s">
        <v>195</v>
      </c>
      <c r="B189" s="27"/>
      <c r="C189" s="28" t="s">
        <v>31</v>
      </c>
      <c r="D189" s="28" t="s">
        <v>31</v>
      </c>
      <c r="E189" s="57" t="s">
        <v>222</v>
      </c>
      <c r="F189" s="29" t="s">
        <v>42</v>
      </c>
      <c r="G189" s="50"/>
      <c r="H189" s="50"/>
      <c r="I189" s="30" t="e">
        <f>SUM(H189/G189*100)</f>
        <v>#DIV/0!</v>
      </c>
    </row>
    <row r="190" spans="1:9" ht="16.5" customHeight="1" hidden="1">
      <c r="A190" s="26" t="s">
        <v>223</v>
      </c>
      <c r="B190" s="27"/>
      <c r="C190" s="28" t="s">
        <v>31</v>
      </c>
      <c r="D190" s="28" t="s">
        <v>31</v>
      </c>
      <c r="E190" s="57" t="s">
        <v>224</v>
      </c>
      <c r="F190" s="29"/>
      <c r="G190" s="50">
        <f>SUM(G191)</f>
        <v>0</v>
      </c>
      <c r="H190" s="50">
        <f>SUM(H191)</f>
        <v>0</v>
      </c>
      <c r="I190" s="30" t="e">
        <f t="shared" si="8"/>
        <v>#DIV/0!</v>
      </c>
    </row>
    <row r="191" spans="1:9" ht="16.5" customHeight="1" hidden="1">
      <c r="A191" s="26" t="s">
        <v>225</v>
      </c>
      <c r="B191" s="27"/>
      <c r="C191" s="28" t="s">
        <v>31</v>
      </c>
      <c r="D191" s="28" t="s">
        <v>31</v>
      </c>
      <c r="E191" s="57" t="s">
        <v>226</v>
      </c>
      <c r="F191" s="29"/>
      <c r="G191" s="50">
        <f>SUM(G192)</f>
        <v>0</v>
      </c>
      <c r="H191" s="50">
        <f>SUM(H192)</f>
        <v>0</v>
      </c>
      <c r="I191" s="30" t="e">
        <f t="shared" si="8"/>
        <v>#DIV/0!</v>
      </c>
    </row>
    <row r="192" spans="1:9" ht="15" customHeight="1" hidden="1">
      <c r="A192" s="26" t="s">
        <v>195</v>
      </c>
      <c r="B192" s="27"/>
      <c r="C192" s="28" t="s">
        <v>31</v>
      </c>
      <c r="D192" s="28" t="s">
        <v>31</v>
      </c>
      <c r="E192" s="57" t="s">
        <v>226</v>
      </c>
      <c r="F192" s="29" t="s">
        <v>42</v>
      </c>
      <c r="G192" s="50"/>
      <c r="H192" s="50"/>
      <c r="I192" s="30" t="e">
        <f t="shared" si="8"/>
        <v>#DIV/0!</v>
      </c>
    </row>
    <row r="193" spans="1:9" ht="30" customHeight="1" hidden="1">
      <c r="A193" s="26" t="s">
        <v>947</v>
      </c>
      <c r="B193" s="27"/>
      <c r="C193" s="28" t="s">
        <v>31</v>
      </c>
      <c r="D193" s="28" t="s">
        <v>31</v>
      </c>
      <c r="E193" s="57" t="s">
        <v>111</v>
      </c>
      <c r="F193" s="29" t="s">
        <v>948</v>
      </c>
      <c r="G193" s="50"/>
      <c r="H193" s="50">
        <v>1990.4</v>
      </c>
      <c r="I193" s="30" t="e">
        <f t="shared" si="8"/>
        <v>#DIV/0!</v>
      </c>
    </row>
    <row r="194" spans="1:9" ht="15" hidden="1">
      <c r="A194" s="26" t="s">
        <v>20</v>
      </c>
      <c r="B194" s="27"/>
      <c r="C194" s="28" t="s">
        <v>31</v>
      </c>
      <c r="D194" s="28" t="s">
        <v>31</v>
      </c>
      <c r="E194" s="28" t="s">
        <v>21</v>
      </c>
      <c r="F194" s="29"/>
      <c r="G194" s="30">
        <f>SUM(G195+G199)</f>
        <v>0</v>
      </c>
      <c r="H194" s="30" t="e">
        <f>SUM(H196+H198+H199+#REF!)</f>
        <v>#REF!</v>
      </c>
      <c r="I194" s="30" t="e">
        <f t="shared" si="8"/>
        <v>#REF!</v>
      </c>
    </row>
    <row r="195" spans="1:9" ht="15" hidden="1">
      <c r="A195" s="26" t="s">
        <v>195</v>
      </c>
      <c r="B195" s="27"/>
      <c r="C195" s="28" t="s">
        <v>31</v>
      </c>
      <c r="D195" s="28" t="s">
        <v>31</v>
      </c>
      <c r="E195" s="28" t="s">
        <v>21</v>
      </c>
      <c r="F195" s="29" t="s">
        <v>42</v>
      </c>
      <c r="G195" s="30">
        <f>SUM(G196)</f>
        <v>0</v>
      </c>
      <c r="H195" s="30">
        <f>SUM(H196)</f>
        <v>492.1</v>
      </c>
      <c r="I195" s="30" t="e">
        <f t="shared" si="8"/>
        <v>#DIV/0!</v>
      </c>
    </row>
    <row r="196" spans="1:9" ht="14.25" customHeight="1" hidden="1">
      <c r="A196" s="47" t="s">
        <v>227</v>
      </c>
      <c r="B196" s="68"/>
      <c r="C196" s="69" t="s">
        <v>31</v>
      </c>
      <c r="D196" s="69" t="s">
        <v>31</v>
      </c>
      <c r="E196" s="69" t="s">
        <v>228</v>
      </c>
      <c r="F196" s="29" t="s">
        <v>42</v>
      </c>
      <c r="G196" s="58"/>
      <c r="H196" s="58">
        <v>492.1</v>
      </c>
      <c r="I196" s="30" t="e">
        <f t="shared" si="8"/>
        <v>#DIV/0!</v>
      </c>
    </row>
    <row r="197" spans="1:9" ht="28.5" hidden="1">
      <c r="A197" s="26" t="s">
        <v>947</v>
      </c>
      <c r="B197" s="62"/>
      <c r="C197" s="69" t="s">
        <v>31</v>
      </c>
      <c r="D197" s="69" t="s">
        <v>31</v>
      </c>
      <c r="E197" s="57" t="s">
        <v>21</v>
      </c>
      <c r="F197" s="49" t="s">
        <v>948</v>
      </c>
      <c r="G197" s="30">
        <f>SUM(G198)</f>
        <v>0</v>
      </c>
      <c r="H197" s="30">
        <f>SUM(H198)</f>
        <v>0</v>
      </c>
      <c r="I197" s="30" t="e">
        <f t="shared" si="8"/>
        <v>#DIV/0!</v>
      </c>
    </row>
    <row r="198" spans="1:9" ht="28.5" hidden="1">
      <c r="A198" s="46" t="s">
        <v>116</v>
      </c>
      <c r="B198" s="62"/>
      <c r="C198" s="69" t="s">
        <v>31</v>
      </c>
      <c r="D198" s="69" t="s">
        <v>31</v>
      </c>
      <c r="E198" s="57" t="s">
        <v>117</v>
      </c>
      <c r="F198" s="29" t="s">
        <v>948</v>
      </c>
      <c r="G198" s="50"/>
      <c r="H198" s="50"/>
      <c r="I198" s="30" t="e">
        <f t="shared" si="8"/>
        <v>#DIV/0!</v>
      </c>
    </row>
    <row r="199" spans="1:9" ht="28.5" customHeight="1" hidden="1">
      <c r="A199" s="26" t="s">
        <v>88</v>
      </c>
      <c r="B199" s="27"/>
      <c r="C199" s="28" t="s">
        <v>31</v>
      </c>
      <c r="D199" s="28" t="s">
        <v>31</v>
      </c>
      <c r="E199" s="28" t="s">
        <v>119</v>
      </c>
      <c r="F199" s="29"/>
      <c r="G199" s="30">
        <f>SUM(G200+G203)</f>
        <v>0</v>
      </c>
      <c r="H199" s="30">
        <f>SUM(H200+H203)</f>
        <v>2038.3</v>
      </c>
      <c r="I199" s="30" t="e">
        <f t="shared" si="8"/>
        <v>#DIV/0!</v>
      </c>
    </row>
    <row r="200" spans="1:9" ht="28.5" customHeight="1" hidden="1">
      <c r="A200" s="47" t="s">
        <v>110</v>
      </c>
      <c r="B200" s="68"/>
      <c r="C200" s="28" t="s">
        <v>31</v>
      </c>
      <c r="D200" s="28" t="s">
        <v>31</v>
      </c>
      <c r="E200" s="28" t="s">
        <v>120</v>
      </c>
      <c r="F200" s="29"/>
      <c r="G200" s="58">
        <f>SUM(G201:G202)</f>
        <v>0</v>
      </c>
      <c r="H200" s="58">
        <f>SUM(H201:H202)</f>
        <v>1157.5</v>
      </c>
      <c r="I200" s="30" t="e">
        <f t="shared" si="8"/>
        <v>#DIV/0!</v>
      </c>
    </row>
    <row r="201" spans="1:9" ht="15.75" customHeight="1" hidden="1">
      <c r="A201" s="26" t="s">
        <v>195</v>
      </c>
      <c r="B201" s="27"/>
      <c r="C201" s="28" t="s">
        <v>31</v>
      </c>
      <c r="D201" s="28" t="s">
        <v>31</v>
      </c>
      <c r="E201" s="28" t="s">
        <v>120</v>
      </c>
      <c r="F201" s="29" t="s">
        <v>42</v>
      </c>
      <c r="G201" s="50"/>
      <c r="H201" s="50">
        <v>1157.5</v>
      </c>
      <c r="I201" s="30" t="e">
        <f t="shared" si="8"/>
        <v>#DIV/0!</v>
      </c>
    </row>
    <row r="202" spans="1:9" ht="26.25" customHeight="1" hidden="1">
      <c r="A202" s="26" t="s">
        <v>947</v>
      </c>
      <c r="B202" s="62"/>
      <c r="C202" s="28" t="s">
        <v>31</v>
      </c>
      <c r="D202" s="28" t="s">
        <v>31</v>
      </c>
      <c r="E202" s="28" t="s">
        <v>120</v>
      </c>
      <c r="F202" s="49" t="s">
        <v>948</v>
      </c>
      <c r="G202" s="30"/>
      <c r="H202" s="30"/>
      <c r="I202" s="30" t="e">
        <f t="shared" si="8"/>
        <v>#DIV/0!</v>
      </c>
    </row>
    <row r="203" spans="1:9" ht="36.75" customHeight="1" hidden="1">
      <c r="A203" s="46" t="s">
        <v>229</v>
      </c>
      <c r="B203" s="27"/>
      <c r="C203" s="28" t="s">
        <v>31</v>
      </c>
      <c r="D203" s="28" t="s">
        <v>31</v>
      </c>
      <c r="E203" s="28" t="s">
        <v>230</v>
      </c>
      <c r="F203" s="29"/>
      <c r="G203" s="30">
        <f>SUM(G204)</f>
        <v>0</v>
      </c>
      <c r="H203" s="30">
        <f>SUM(H204)</f>
        <v>880.8</v>
      </c>
      <c r="I203" s="30" t="e">
        <f t="shared" si="8"/>
        <v>#DIV/0!</v>
      </c>
    </row>
    <row r="204" spans="1:9" ht="16.5" customHeight="1" hidden="1">
      <c r="A204" s="26" t="s">
        <v>195</v>
      </c>
      <c r="B204" s="27"/>
      <c r="C204" s="28" t="s">
        <v>31</v>
      </c>
      <c r="D204" s="28" t="s">
        <v>31</v>
      </c>
      <c r="E204" s="28" t="s">
        <v>230</v>
      </c>
      <c r="F204" s="29" t="s">
        <v>42</v>
      </c>
      <c r="G204" s="50"/>
      <c r="H204" s="50">
        <v>880.8</v>
      </c>
      <c r="I204" s="30" t="e">
        <f t="shared" si="8"/>
        <v>#DIV/0!</v>
      </c>
    </row>
    <row r="205" spans="1:9" s="4" customFormat="1" ht="15">
      <c r="A205" s="44" t="s">
        <v>962</v>
      </c>
      <c r="B205" s="70"/>
      <c r="C205" s="67" t="s">
        <v>963</v>
      </c>
      <c r="D205" s="67"/>
      <c r="E205" s="67"/>
      <c r="F205" s="34"/>
      <c r="G205" s="30">
        <f>SUM(G206,G218,G236)</f>
        <v>8375.3</v>
      </c>
      <c r="H205" s="50" t="e">
        <f>SUM(H206+H255+H331+H359)</f>
        <v>#REF!</v>
      </c>
      <c r="I205" s="50" t="e">
        <f t="shared" si="8"/>
        <v>#REF!</v>
      </c>
    </row>
    <row r="206" spans="1:9" s="64" customFormat="1" ht="15.75" customHeight="1">
      <c r="A206" s="26" t="s">
        <v>231</v>
      </c>
      <c r="B206" s="36"/>
      <c r="C206" s="28" t="s">
        <v>963</v>
      </c>
      <c r="D206" s="28" t="s">
        <v>942</v>
      </c>
      <c r="E206" s="28"/>
      <c r="F206" s="29"/>
      <c r="G206" s="30">
        <f>SUM(G213+G210)+G207</f>
        <v>8375.3</v>
      </c>
      <c r="H206" s="30" t="e">
        <f>SUM(H248+#REF!+H283+H301)+H306+H276+H297+H294+H213+H308</f>
        <v>#REF!</v>
      </c>
      <c r="I206" s="30" t="e">
        <f t="shared" si="8"/>
        <v>#REF!</v>
      </c>
    </row>
    <row r="207" spans="1:9" ht="32.25" customHeight="1" hidden="1">
      <c r="A207" s="26" t="s">
        <v>232</v>
      </c>
      <c r="B207" s="36"/>
      <c r="C207" s="28" t="s">
        <v>963</v>
      </c>
      <c r="D207" s="28" t="s">
        <v>942</v>
      </c>
      <c r="E207" s="28" t="s">
        <v>233</v>
      </c>
      <c r="F207" s="29"/>
      <c r="G207" s="30">
        <f>SUM(G208)</f>
        <v>0</v>
      </c>
      <c r="H207" s="30">
        <f>SUM(H208)</f>
        <v>56013.200000000004</v>
      </c>
      <c r="I207" s="30" t="e">
        <f t="shared" si="8"/>
        <v>#DIV/0!</v>
      </c>
    </row>
    <row r="208" spans="1:9" ht="37.5" customHeight="1" hidden="1">
      <c r="A208" s="26" t="s">
        <v>234</v>
      </c>
      <c r="B208" s="36"/>
      <c r="C208" s="28" t="s">
        <v>963</v>
      </c>
      <c r="D208" s="28" t="s">
        <v>942</v>
      </c>
      <c r="E208" s="28" t="s">
        <v>235</v>
      </c>
      <c r="F208" s="29"/>
      <c r="G208" s="30">
        <f>SUM(G209)</f>
        <v>0</v>
      </c>
      <c r="H208" s="30">
        <f>SUM(H209+H217+H219+H228)+H221+H211+H215+H226</f>
        <v>56013.200000000004</v>
      </c>
      <c r="I208" s="30" t="e">
        <f t="shared" si="8"/>
        <v>#DIV/0!</v>
      </c>
    </row>
    <row r="209" spans="1:9" ht="19.5" customHeight="1" hidden="1">
      <c r="A209" s="26" t="s">
        <v>969</v>
      </c>
      <c r="B209" s="36"/>
      <c r="C209" s="28" t="s">
        <v>963</v>
      </c>
      <c r="D209" s="28" t="s">
        <v>942</v>
      </c>
      <c r="E209" s="28" t="s">
        <v>235</v>
      </c>
      <c r="F209" s="29" t="s">
        <v>970</v>
      </c>
      <c r="G209" s="30">
        <f>430.1-430.1</f>
        <v>0</v>
      </c>
      <c r="H209" s="30">
        <v>53118.9</v>
      </c>
      <c r="I209" s="30" t="e">
        <f t="shared" si="8"/>
        <v>#DIV/0!</v>
      </c>
    </row>
    <row r="210" spans="1:9" ht="15.75" customHeight="1">
      <c r="A210" s="47" t="s">
        <v>236</v>
      </c>
      <c r="B210" s="27"/>
      <c r="C210" s="28" t="s">
        <v>963</v>
      </c>
      <c r="D210" s="28" t="s">
        <v>942</v>
      </c>
      <c r="E210" s="28" t="s">
        <v>237</v>
      </c>
      <c r="F210" s="29"/>
      <c r="G210" s="30">
        <f>SUM(G211)</f>
        <v>8375.3</v>
      </c>
      <c r="H210" s="30">
        <f>SUM(H211)</f>
        <v>2199.7</v>
      </c>
      <c r="I210" s="30">
        <f t="shared" si="8"/>
        <v>26.264133822072044</v>
      </c>
    </row>
    <row r="211" spans="1:9" ht="28.5">
      <c r="A211" s="26" t="s">
        <v>238</v>
      </c>
      <c r="B211" s="27"/>
      <c r="C211" s="28" t="s">
        <v>963</v>
      </c>
      <c r="D211" s="28" t="s">
        <v>942</v>
      </c>
      <c r="E211" s="28" t="s">
        <v>239</v>
      </c>
      <c r="F211" s="29"/>
      <c r="G211" s="30">
        <f>SUM(G212)</f>
        <v>8375.3</v>
      </c>
      <c r="H211" s="30">
        <f>SUM(H212)</f>
        <v>2199.7</v>
      </c>
      <c r="I211" s="30">
        <f t="shared" si="8"/>
        <v>26.264133822072044</v>
      </c>
    </row>
    <row r="212" spans="1:9" ht="21.75" customHeight="1">
      <c r="A212" s="26" t="s">
        <v>10</v>
      </c>
      <c r="B212" s="27"/>
      <c r="C212" s="28" t="s">
        <v>963</v>
      </c>
      <c r="D212" s="28" t="s">
        <v>942</v>
      </c>
      <c r="E212" s="28" t="s">
        <v>239</v>
      </c>
      <c r="F212" s="29" t="s">
        <v>11</v>
      </c>
      <c r="G212" s="30">
        <v>8375.3</v>
      </c>
      <c r="H212" s="30">
        <v>2199.7</v>
      </c>
      <c r="I212" s="30">
        <f t="shared" si="8"/>
        <v>26.264133822072044</v>
      </c>
    </row>
    <row r="213" spans="1:9" ht="29.25" customHeight="1" hidden="1">
      <c r="A213" s="44" t="s">
        <v>240</v>
      </c>
      <c r="B213" s="27"/>
      <c r="C213" s="67" t="s">
        <v>983</v>
      </c>
      <c r="D213" s="67" t="s">
        <v>31</v>
      </c>
      <c r="E213" s="67"/>
      <c r="F213" s="34"/>
      <c r="G213" s="50">
        <f>SUM(G214+G217)</f>
        <v>0</v>
      </c>
      <c r="H213" s="50">
        <f>SUM(H214+H217)</f>
        <v>347.3</v>
      </c>
      <c r="I213" s="30" t="e">
        <f t="shared" si="8"/>
        <v>#DIV/0!</v>
      </c>
    </row>
    <row r="214" spans="1:9" ht="19.5" customHeight="1" hidden="1">
      <c r="A214" s="31" t="s">
        <v>67</v>
      </c>
      <c r="B214" s="27"/>
      <c r="C214" s="67" t="s">
        <v>983</v>
      </c>
      <c r="D214" s="67" t="s">
        <v>31</v>
      </c>
      <c r="E214" s="28" t="s">
        <v>68</v>
      </c>
      <c r="F214" s="34"/>
      <c r="G214" s="50">
        <f>SUM(G215)</f>
        <v>0</v>
      </c>
      <c r="H214" s="50">
        <f>SUM(H215)</f>
        <v>0</v>
      </c>
      <c r="I214" s="30" t="e">
        <f t="shared" si="8"/>
        <v>#DIV/0!</v>
      </c>
    </row>
    <row r="215" spans="1:9" ht="42.75" customHeight="1" hidden="1">
      <c r="A215" s="31" t="s">
        <v>241</v>
      </c>
      <c r="B215" s="27"/>
      <c r="C215" s="67" t="s">
        <v>983</v>
      </c>
      <c r="D215" s="67" t="s">
        <v>31</v>
      </c>
      <c r="E215" s="28" t="s">
        <v>242</v>
      </c>
      <c r="F215" s="29"/>
      <c r="G215" s="50">
        <f>SUM(G216)</f>
        <v>0</v>
      </c>
      <c r="H215" s="50">
        <f>SUM(H216)</f>
        <v>0</v>
      </c>
      <c r="I215" s="30" t="e">
        <f t="shared" si="8"/>
        <v>#DIV/0!</v>
      </c>
    </row>
    <row r="216" spans="1:9" ht="33.75" customHeight="1" hidden="1">
      <c r="A216" s="26" t="s">
        <v>947</v>
      </c>
      <c r="B216" s="27"/>
      <c r="C216" s="67" t="s">
        <v>983</v>
      </c>
      <c r="D216" s="67" t="s">
        <v>31</v>
      </c>
      <c r="E216" s="28" t="s">
        <v>242</v>
      </c>
      <c r="F216" s="29" t="s">
        <v>948</v>
      </c>
      <c r="G216" s="50"/>
      <c r="H216" s="50"/>
      <c r="I216" s="30" t="e">
        <f t="shared" si="8"/>
        <v>#DIV/0!</v>
      </c>
    </row>
    <row r="217" spans="1:9" ht="20.25" customHeight="1" hidden="1">
      <c r="A217" s="26" t="s">
        <v>20</v>
      </c>
      <c r="B217" s="27"/>
      <c r="C217" s="67" t="s">
        <v>983</v>
      </c>
      <c r="D217" s="67" t="s">
        <v>31</v>
      </c>
      <c r="E217" s="28" t="s">
        <v>21</v>
      </c>
      <c r="F217" s="34"/>
      <c r="G217" s="50">
        <f>SUM(G221+G226)</f>
        <v>0</v>
      </c>
      <c r="H217" s="50">
        <f>SUM(H221+H226)</f>
        <v>347.3</v>
      </c>
      <c r="I217" s="30" t="e">
        <f t="shared" si="8"/>
        <v>#DIV/0!</v>
      </c>
    </row>
    <row r="218" spans="1:9" ht="24" customHeight="1" hidden="1">
      <c r="A218" s="31" t="s">
        <v>243</v>
      </c>
      <c r="B218" s="27"/>
      <c r="C218" s="67" t="s">
        <v>983</v>
      </c>
      <c r="D218" s="67" t="s">
        <v>31</v>
      </c>
      <c r="E218" s="28" t="s">
        <v>21</v>
      </c>
      <c r="F218" s="34" t="s">
        <v>244</v>
      </c>
      <c r="G218" s="50"/>
      <c r="H218" s="50"/>
      <c r="I218" s="30" t="e">
        <f t="shared" si="8"/>
        <v>#DIV/0!</v>
      </c>
    </row>
    <row r="219" spans="1:9" ht="22.5" customHeight="1" hidden="1">
      <c r="A219" s="71" t="s">
        <v>245</v>
      </c>
      <c r="B219" s="27"/>
      <c r="C219" s="67" t="s">
        <v>983</v>
      </c>
      <c r="D219" s="67" t="s">
        <v>31</v>
      </c>
      <c r="E219" s="72" t="s">
        <v>21</v>
      </c>
      <c r="F219" s="73" t="s">
        <v>244</v>
      </c>
      <c r="G219" s="74"/>
      <c r="H219" s="74"/>
      <c r="I219" s="30" t="e">
        <f t="shared" si="8"/>
        <v>#DIV/0!</v>
      </c>
    </row>
    <row r="220" spans="1:9" ht="0.75" customHeight="1" hidden="1">
      <c r="A220" s="26" t="s">
        <v>969</v>
      </c>
      <c r="B220" s="27"/>
      <c r="C220" s="67" t="s">
        <v>983</v>
      </c>
      <c r="D220" s="67" t="s">
        <v>31</v>
      </c>
      <c r="E220" s="67" t="s">
        <v>21</v>
      </c>
      <c r="F220" s="34" t="s">
        <v>970</v>
      </c>
      <c r="G220" s="50"/>
      <c r="H220" s="50"/>
      <c r="I220" s="30" t="e">
        <f t="shared" si="8"/>
        <v>#DIV/0!</v>
      </c>
    </row>
    <row r="221" spans="1:9" ht="27" customHeight="1" hidden="1">
      <c r="A221" s="44" t="s">
        <v>207</v>
      </c>
      <c r="B221" s="27"/>
      <c r="C221" s="67" t="s">
        <v>983</v>
      </c>
      <c r="D221" s="67" t="s">
        <v>31</v>
      </c>
      <c r="E221" s="67" t="s">
        <v>209</v>
      </c>
      <c r="F221" s="34"/>
      <c r="G221" s="50">
        <f>SUM(G222:G225)</f>
        <v>0</v>
      </c>
      <c r="H221" s="50">
        <f>SUM(H222:H224)</f>
        <v>347.3</v>
      </c>
      <c r="I221" s="30" t="e">
        <f t="shared" si="8"/>
        <v>#DIV/0!</v>
      </c>
    </row>
    <row r="222" spans="1:9" ht="15.75" customHeight="1" hidden="1">
      <c r="A222" s="26" t="s">
        <v>195</v>
      </c>
      <c r="B222" s="27"/>
      <c r="C222" s="67" t="s">
        <v>983</v>
      </c>
      <c r="D222" s="67" t="s">
        <v>31</v>
      </c>
      <c r="E222" s="67" t="s">
        <v>209</v>
      </c>
      <c r="F222" s="29" t="s">
        <v>42</v>
      </c>
      <c r="G222" s="50"/>
      <c r="H222" s="50"/>
      <c r="I222" s="30" t="e">
        <f t="shared" si="8"/>
        <v>#DIV/0!</v>
      </c>
    </row>
    <row r="223" spans="1:9" ht="15" hidden="1">
      <c r="A223" s="26" t="s">
        <v>10</v>
      </c>
      <c r="B223" s="27"/>
      <c r="C223" s="67" t="s">
        <v>983</v>
      </c>
      <c r="D223" s="67" t="s">
        <v>31</v>
      </c>
      <c r="E223" s="67" t="s">
        <v>208</v>
      </c>
      <c r="F223" s="29" t="s">
        <v>11</v>
      </c>
      <c r="G223" s="50">
        <f>1300-1300</f>
        <v>0</v>
      </c>
      <c r="H223" s="50"/>
      <c r="I223" s="30"/>
    </row>
    <row r="224" spans="1:9" ht="15" hidden="1">
      <c r="A224" s="26" t="s">
        <v>246</v>
      </c>
      <c r="B224" s="27"/>
      <c r="C224" s="67" t="s">
        <v>983</v>
      </c>
      <c r="D224" s="67" t="s">
        <v>31</v>
      </c>
      <c r="E224" s="67" t="s">
        <v>209</v>
      </c>
      <c r="F224" s="34" t="s">
        <v>247</v>
      </c>
      <c r="G224" s="50"/>
      <c r="H224" s="50">
        <v>347.3</v>
      </c>
      <c r="I224" s="30" t="e">
        <f>SUM(H224/G224*100)</f>
        <v>#DIV/0!</v>
      </c>
    </row>
    <row r="225" spans="1:9" ht="32.25" customHeight="1" hidden="1">
      <c r="A225" s="26" t="s">
        <v>947</v>
      </c>
      <c r="B225" s="27"/>
      <c r="C225" s="67" t="s">
        <v>983</v>
      </c>
      <c r="D225" s="67" t="s">
        <v>31</v>
      </c>
      <c r="E225" s="67" t="s">
        <v>209</v>
      </c>
      <c r="F225" s="29" t="s">
        <v>948</v>
      </c>
      <c r="G225" s="50"/>
      <c r="H225" s="50"/>
      <c r="I225" s="30" t="e">
        <f>SUM(H225/G225*100)</f>
        <v>#DIV/0!</v>
      </c>
    </row>
    <row r="226" spans="1:9" ht="16.5" customHeight="1" hidden="1">
      <c r="A226" s="26"/>
      <c r="B226" s="27"/>
      <c r="C226" s="28"/>
      <c r="D226" s="28"/>
      <c r="E226" s="28"/>
      <c r="F226" s="29"/>
      <c r="G226" s="50"/>
      <c r="H226" s="50"/>
      <c r="I226" s="30"/>
    </row>
    <row r="227" spans="1:9" ht="16.5" customHeight="1" hidden="1">
      <c r="A227" s="26"/>
      <c r="B227" s="27"/>
      <c r="C227" s="28"/>
      <c r="D227" s="28"/>
      <c r="E227" s="28"/>
      <c r="F227" s="29"/>
      <c r="G227" s="50"/>
      <c r="H227" s="50"/>
      <c r="I227" s="30"/>
    </row>
    <row r="228" spans="1:9" ht="16.5" customHeight="1" hidden="1">
      <c r="A228" s="26"/>
      <c r="B228" s="27"/>
      <c r="C228" s="28"/>
      <c r="D228" s="28"/>
      <c r="E228" s="28"/>
      <c r="F228" s="29"/>
      <c r="G228" s="50"/>
      <c r="H228" s="50"/>
      <c r="I228" s="30"/>
    </row>
    <row r="229" spans="1:9" ht="21" customHeight="1">
      <c r="A229" s="35" t="s">
        <v>248</v>
      </c>
      <c r="B229" s="36" t="s">
        <v>249</v>
      </c>
      <c r="C229" s="75"/>
      <c r="D229" s="75"/>
      <c r="E229" s="75"/>
      <c r="F229" s="76"/>
      <c r="G229" s="37">
        <f>SUM(G230+G289+G321+G352+G500+G521+G573+G612+G557+G550)+G643</f>
        <v>322921.30000000005</v>
      </c>
      <c r="H229" s="37" t="e">
        <f>SUM(H230+H289+H321+H352+H500+H521+H573+H612+H557)</f>
        <v>#REF!</v>
      </c>
      <c r="I229" s="38" t="e">
        <f aca="true" t="shared" si="9" ref="I229:I292">SUM(H229/G229*100)</f>
        <v>#REF!</v>
      </c>
    </row>
    <row r="230" spans="1:9" ht="15">
      <c r="A230" s="26" t="s">
        <v>939</v>
      </c>
      <c r="B230" s="27"/>
      <c r="C230" s="28" t="s">
        <v>940</v>
      </c>
      <c r="D230" s="28"/>
      <c r="E230" s="28"/>
      <c r="F230" s="29"/>
      <c r="G230" s="30">
        <f>SUM(G231+G255+G261+G248+G251)</f>
        <v>74431.40000000001</v>
      </c>
      <c r="H230" s="30">
        <f>SUM(H231+H255+H261+H248+H251)</f>
        <v>63770.40000000001</v>
      </c>
      <c r="I230" s="30">
        <f t="shared" si="9"/>
        <v>85.67674395483627</v>
      </c>
    </row>
    <row r="231" spans="1:9" ht="42.75">
      <c r="A231" s="26" t="s">
        <v>250</v>
      </c>
      <c r="B231" s="27"/>
      <c r="C231" s="28" t="s">
        <v>940</v>
      </c>
      <c r="D231" s="28" t="s">
        <v>5</v>
      </c>
      <c r="E231" s="28"/>
      <c r="F231" s="29"/>
      <c r="G231" s="30">
        <f>SUM(G232)+G245+G243</f>
        <v>66038.6</v>
      </c>
      <c r="H231" s="30">
        <f>SUM(H232)+H245+H243</f>
        <v>52319.90000000001</v>
      </c>
      <c r="I231" s="30">
        <f t="shared" si="9"/>
        <v>79.2262404109112</v>
      </c>
    </row>
    <row r="232" spans="1:9" ht="43.5" customHeight="1">
      <c r="A232" s="26" t="s">
        <v>943</v>
      </c>
      <c r="B232" s="27"/>
      <c r="C232" s="28" t="s">
        <v>940</v>
      </c>
      <c r="D232" s="28" t="s">
        <v>5</v>
      </c>
      <c r="E232" s="28" t="s">
        <v>944</v>
      </c>
      <c r="F232" s="29"/>
      <c r="G232" s="30">
        <f>SUM(G233+G241)</f>
        <v>66038.6</v>
      </c>
      <c r="H232" s="30">
        <f>SUM(H233+H241)</f>
        <v>51899.200000000004</v>
      </c>
      <c r="I232" s="30">
        <f t="shared" si="9"/>
        <v>78.58918874718725</v>
      </c>
    </row>
    <row r="233" spans="1:9" ht="14.25" customHeight="1">
      <c r="A233" s="26" t="s">
        <v>951</v>
      </c>
      <c r="B233" s="27"/>
      <c r="C233" s="28" t="s">
        <v>940</v>
      </c>
      <c r="D233" s="28" t="s">
        <v>5</v>
      </c>
      <c r="E233" s="28" t="s">
        <v>953</v>
      </c>
      <c r="F233" s="29"/>
      <c r="G233" s="30">
        <f>SUM(G234:G234+G235+G237+G238)+G236+G239+G240</f>
        <v>65389.1</v>
      </c>
      <c r="H233" s="30">
        <f>SUM(H234:H234+H235+H237+H238)+H236+H239</f>
        <v>51161.8</v>
      </c>
      <c r="I233" s="30">
        <f t="shared" si="9"/>
        <v>78.24209233649034</v>
      </c>
    </row>
    <row r="234" spans="1:9" ht="29.25" customHeight="1">
      <c r="A234" s="26" t="s">
        <v>947</v>
      </c>
      <c r="B234" s="27"/>
      <c r="C234" s="28" t="s">
        <v>940</v>
      </c>
      <c r="D234" s="28" t="s">
        <v>5</v>
      </c>
      <c r="E234" s="28" t="s">
        <v>953</v>
      </c>
      <c r="F234" s="29" t="s">
        <v>948</v>
      </c>
      <c r="G234" s="30">
        <f>65405.3-831.8-750.4+2.1</f>
        <v>63825.2</v>
      </c>
      <c r="H234" s="30">
        <v>50612.1</v>
      </c>
      <c r="I234" s="30">
        <f t="shared" si="9"/>
        <v>79.29798888213433</v>
      </c>
    </row>
    <row r="235" spans="1:9" ht="42" customHeight="1">
      <c r="A235" s="26" t="s">
        <v>251</v>
      </c>
      <c r="B235" s="27"/>
      <c r="C235" s="28" t="s">
        <v>940</v>
      </c>
      <c r="D235" s="28" t="s">
        <v>5</v>
      </c>
      <c r="E235" s="28" t="s">
        <v>252</v>
      </c>
      <c r="F235" s="29" t="s">
        <v>948</v>
      </c>
      <c r="G235" s="30">
        <v>1318.9</v>
      </c>
      <c r="H235" s="30">
        <v>507.8</v>
      </c>
      <c r="I235" s="30">
        <f t="shared" si="9"/>
        <v>38.50178178785351</v>
      </c>
    </row>
    <row r="236" spans="1:9" ht="57" hidden="1">
      <c r="A236" s="26" t="s">
        <v>129</v>
      </c>
      <c r="B236" s="27"/>
      <c r="C236" s="28" t="s">
        <v>940</v>
      </c>
      <c r="D236" s="28" t="s">
        <v>5</v>
      </c>
      <c r="E236" s="28" t="s">
        <v>253</v>
      </c>
      <c r="F236" s="29" t="s">
        <v>948</v>
      </c>
      <c r="G236" s="30"/>
      <c r="H236" s="30"/>
      <c r="I236" s="30" t="e">
        <f t="shared" si="9"/>
        <v>#DIV/0!</v>
      </c>
    </row>
    <row r="237" spans="1:9" ht="71.25" customHeight="1">
      <c r="A237" s="26" t="s">
        <v>254</v>
      </c>
      <c r="B237" s="27"/>
      <c r="C237" s="28" t="s">
        <v>940</v>
      </c>
      <c r="D237" s="28" t="s">
        <v>5</v>
      </c>
      <c r="E237" s="28" t="s">
        <v>255</v>
      </c>
      <c r="F237" s="29" t="s">
        <v>948</v>
      </c>
      <c r="G237" s="30">
        <v>71.1</v>
      </c>
      <c r="H237" s="30">
        <v>41.9</v>
      </c>
      <c r="I237" s="30">
        <f t="shared" si="9"/>
        <v>58.931082981715896</v>
      </c>
    </row>
    <row r="238" spans="1:9" ht="26.25" customHeight="1" hidden="1">
      <c r="A238" s="26" t="s">
        <v>256</v>
      </c>
      <c r="B238" s="27"/>
      <c r="C238" s="28" t="s">
        <v>940</v>
      </c>
      <c r="D238" s="28" t="s">
        <v>5</v>
      </c>
      <c r="E238" s="28" t="s">
        <v>257</v>
      </c>
      <c r="F238" s="29" t="s">
        <v>948</v>
      </c>
      <c r="G238" s="30">
        <v>0</v>
      </c>
      <c r="H238" s="30">
        <v>0</v>
      </c>
      <c r="I238" s="30" t="e">
        <f t="shared" si="9"/>
        <v>#DIV/0!</v>
      </c>
    </row>
    <row r="239" spans="1:9" ht="59.25" customHeight="1">
      <c r="A239" s="26" t="s">
        <v>258</v>
      </c>
      <c r="B239" s="27"/>
      <c r="C239" s="28" t="s">
        <v>940</v>
      </c>
      <c r="D239" s="28" t="s">
        <v>5</v>
      </c>
      <c r="E239" s="28" t="s">
        <v>259</v>
      </c>
      <c r="F239" s="29" t="s">
        <v>948</v>
      </c>
      <c r="G239" s="30">
        <v>88.8</v>
      </c>
      <c r="H239" s="30"/>
      <c r="I239" s="30">
        <f t="shared" si="9"/>
        <v>0</v>
      </c>
    </row>
    <row r="240" spans="1:9" ht="42.75" customHeight="1">
      <c r="A240" s="26" t="s">
        <v>260</v>
      </c>
      <c r="B240" s="27"/>
      <c r="C240" s="28" t="s">
        <v>940</v>
      </c>
      <c r="D240" s="28" t="s">
        <v>5</v>
      </c>
      <c r="E240" s="28" t="s">
        <v>261</v>
      </c>
      <c r="F240" s="29" t="s">
        <v>948</v>
      </c>
      <c r="G240" s="30">
        <v>85.1</v>
      </c>
      <c r="H240" s="30"/>
      <c r="I240" s="30">
        <f t="shared" si="9"/>
        <v>0</v>
      </c>
    </row>
    <row r="241" spans="1:9" ht="45.75" customHeight="1">
      <c r="A241" s="26" t="s">
        <v>262</v>
      </c>
      <c r="B241" s="27"/>
      <c r="C241" s="28" t="s">
        <v>952</v>
      </c>
      <c r="D241" s="28" t="s">
        <v>5</v>
      </c>
      <c r="E241" s="28" t="s">
        <v>263</v>
      </c>
      <c r="F241" s="29"/>
      <c r="G241" s="30">
        <f>SUM(G242)</f>
        <v>649.5</v>
      </c>
      <c r="H241" s="30">
        <f>SUM(H242)</f>
        <v>737.4</v>
      </c>
      <c r="I241" s="30">
        <f t="shared" si="9"/>
        <v>113.53348729792148</v>
      </c>
    </row>
    <row r="242" spans="1:9" ht="27" customHeight="1">
      <c r="A242" s="26" t="s">
        <v>947</v>
      </c>
      <c r="B242" s="27"/>
      <c r="C242" s="28" t="s">
        <v>940</v>
      </c>
      <c r="D242" s="28" t="s">
        <v>5</v>
      </c>
      <c r="E242" s="28" t="s">
        <v>263</v>
      </c>
      <c r="F242" s="29" t="s">
        <v>948</v>
      </c>
      <c r="G242" s="30">
        <f>1054.2-404.7</f>
        <v>649.5</v>
      </c>
      <c r="H242" s="30">
        <v>737.4</v>
      </c>
      <c r="I242" s="30">
        <f t="shared" si="9"/>
        <v>113.53348729792148</v>
      </c>
    </row>
    <row r="243" spans="1:9" ht="27" customHeight="1" hidden="1">
      <c r="A243" s="26" t="s">
        <v>96</v>
      </c>
      <c r="B243" s="27"/>
      <c r="C243" s="28" t="s">
        <v>940</v>
      </c>
      <c r="D243" s="28" t="s">
        <v>5</v>
      </c>
      <c r="E243" s="28" t="s">
        <v>97</v>
      </c>
      <c r="F243" s="29"/>
      <c r="G243" s="30">
        <f>SUM(G244)</f>
        <v>0</v>
      </c>
      <c r="H243" s="30">
        <f>SUM(H244)</f>
        <v>264.8</v>
      </c>
      <c r="I243" s="30" t="e">
        <f t="shared" si="9"/>
        <v>#DIV/0!</v>
      </c>
    </row>
    <row r="244" spans="1:9" ht="27" customHeight="1" hidden="1">
      <c r="A244" s="26" t="s">
        <v>947</v>
      </c>
      <c r="B244" s="27"/>
      <c r="C244" s="28" t="s">
        <v>940</v>
      </c>
      <c r="D244" s="28" t="s">
        <v>5</v>
      </c>
      <c r="E244" s="28" t="s">
        <v>97</v>
      </c>
      <c r="F244" s="29" t="s">
        <v>948</v>
      </c>
      <c r="G244" s="30"/>
      <c r="H244" s="30">
        <v>264.8</v>
      </c>
      <c r="I244" s="30" t="e">
        <f t="shared" si="9"/>
        <v>#DIV/0!</v>
      </c>
    </row>
    <row r="245" spans="1:9" ht="19.5" customHeight="1" hidden="1">
      <c r="A245" s="26" t="s">
        <v>20</v>
      </c>
      <c r="B245" s="27"/>
      <c r="C245" s="28" t="s">
        <v>940</v>
      </c>
      <c r="D245" s="28" t="s">
        <v>5</v>
      </c>
      <c r="E245" s="28" t="s">
        <v>21</v>
      </c>
      <c r="F245" s="29"/>
      <c r="G245" s="30">
        <f>SUM(G246)</f>
        <v>0</v>
      </c>
      <c r="H245" s="30">
        <f>SUM(H246)</f>
        <v>155.9</v>
      </c>
      <c r="I245" s="30" t="e">
        <f t="shared" si="9"/>
        <v>#DIV/0!</v>
      </c>
    </row>
    <row r="246" spans="1:9" ht="27" customHeight="1" hidden="1">
      <c r="A246" s="26" t="s">
        <v>947</v>
      </c>
      <c r="B246" s="27"/>
      <c r="C246" s="28" t="s">
        <v>940</v>
      </c>
      <c r="D246" s="28" t="s">
        <v>5</v>
      </c>
      <c r="E246" s="28" t="s">
        <v>21</v>
      </c>
      <c r="F246" s="29" t="s">
        <v>948</v>
      </c>
      <c r="G246" s="30">
        <f>SUM(G247:G248)</f>
        <v>0</v>
      </c>
      <c r="H246" s="30">
        <f>SUM(H247:H248)</f>
        <v>155.9</v>
      </c>
      <c r="I246" s="30" t="e">
        <f t="shared" si="9"/>
        <v>#DIV/0!</v>
      </c>
    </row>
    <row r="247" spans="1:9" ht="15" customHeight="1" hidden="1">
      <c r="A247" s="26" t="s">
        <v>264</v>
      </c>
      <c r="B247" s="27"/>
      <c r="C247" s="28" t="s">
        <v>940</v>
      </c>
      <c r="D247" s="28" t="s">
        <v>5</v>
      </c>
      <c r="E247" s="28" t="s">
        <v>265</v>
      </c>
      <c r="F247" s="29" t="s">
        <v>948</v>
      </c>
      <c r="G247" s="30"/>
      <c r="H247" s="30">
        <v>155.9</v>
      </c>
      <c r="I247" s="30" t="e">
        <f t="shared" si="9"/>
        <v>#DIV/0!</v>
      </c>
    </row>
    <row r="248" spans="1:9" ht="15.75" customHeight="1" hidden="1">
      <c r="A248" s="26" t="s">
        <v>266</v>
      </c>
      <c r="B248" s="27"/>
      <c r="C248" s="28" t="s">
        <v>940</v>
      </c>
      <c r="D248" s="28" t="s">
        <v>31</v>
      </c>
      <c r="E248" s="28"/>
      <c r="F248" s="29"/>
      <c r="G248" s="30">
        <f>SUM(G249)</f>
        <v>0</v>
      </c>
      <c r="H248" s="30">
        <f>SUM(H249)</f>
        <v>0</v>
      </c>
      <c r="I248" s="30" t="e">
        <f t="shared" si="9"/>
        <v>#DIV/0!</v>
      </c>
    </row>
    <row r="249" spans="1:9" ht="42" customHeight="1" hidden="1">
      <c r="A249" s="31" t="s">
        <v>267</v>
      </c>
      <c r="B249" s="27"/>
      <c r="C249" s="28" t="s">
        <v>940</v>
      </c>
      <c r="D249" s="28" t="s">
        <v>31</v>
      </c>
      <c r="E249" s="28" t="s">
        <v>268</v>
      </c>
      <c r="F249" s="29"/>
      <c r="G249" s="30">
        <f>SUM(G250)</f>
        <v>0</v>
      </c>
      <c r="H249" s="30">
        <f>SUM(H250)</f>
        <v>0</v>
      </c>
      <c r="I249" s="30" t="e">
        <f t="shared" si="9"/>
        <v>#DIV/0!</v>
      </c>
    </row>
    <row r="250" spans="1:9" ht="33" customHeight="1" hidden="1">
      <c r="A250" s="26" t="s">
        <v>947</v>
      </c>
      <c r="B250" s="27"/>
      <c r="C250" s="28" t="s">
        <v>940</v>
      </c>
      <c r="D250" s="28" t="s">
        <v>31</v>
      </c>
      <c r="E250" s="28" t="s">
        <v>268</v>
      </c>
      <c r="F250" s="29" t="s">
        <v>948</v>
      </c>
      <c r="G250" s="30"/>
      <c r="H250" s="30"/>
      <c r="I250" s="30" t="e">
        <f t="shared" si="9"/>
        <v>#DIV/0!</v>
      </c>
    </row>
    <row r="251" spans="1:9" ht="18.75" customHeight="1" hidden="1">
      <c r="A251" s="26" t="s">
        <v>269</v>
      </c>
      <c r="B251" s="27"/>
      <c r="C251" s="28" t="s">
        <v>940</v>
      </c>
      <c r="D251" s="28" t="s">
        <v>983</v>
      </c>
      <c r="E251" s="28"/>
      <c r="F251" s="29"/>
      <c r="G251" s="30">
        <f aca="true" t="shared" si="10" ref="G251:H253">SUM(G252)</f>
        <v>0</v>
      </c>
      <c r="H251" s="30">
        <f t="shared" si="10"/>
        <v>0</v>
      </c>
      <c r="I251" s="30" t="e">
        <f t="shared" si="9"/>
        <v>#DIV/0!</v>
      </c>
    </row>
    <row r="252" spans="1:9" ht="14.25" customHeight="1" hidden="1">
      <c r="A252" s="26" t="s">
        <v>943</v>
      </c>
      <c r="B252" s="27"/>
      <c r="C252" s="28" t="s">
        <v>940</v>
      </c>
      <c r="D252" s="28" t="s">
        <v>983</v>
      </c>
      <c r="E252" s="28" t="s">
        <v>944</v>
      </c>
      <c r="F252" s="29"/>
      <c r="G252" s="30">
        <f t="shared" si="10"/>
        <v>0</v>
      </c>
      <c r="H252" s="30">
        <f t="shared" si="10"/>
        <v>0</v>
      </c>
      <c r="I252" s="30" t="e">
        <f t="shared" si="9"/>
        <v>#DIV/0!</v>
      </c>
    </row>
    <row r="253" spans="1:9" ht="19.5" customHeight="1" hidden="1">
      <c r="A253" s="26" t="s">
        <v>951</v>
      </c>
      <c r="B253" s="27"/>
      <c r="C253" s="28" t="s">
        <v>940</v>
      </c>
      <c r="D253" s="28" t="s">
        <v>983</v>
      </c>
      <c r="E253" s="28" t="s">
        <v>953</v>
      </c>
      <c r="F253" s="29"/>
      <c r="G253" s="30">
        <f t="shared" si="10"/>
        <v>0</v>
      </c>
      <c r="H253" s="30">
        <f t="shared" si="10"/>
        <v>0</v>
      </c>
      <c r="I253" s="30" t="e">
        <f t="shared" si="9"/>
        <v>#DIV/0!</v>
      </c>
    </row>
    <row r="254" spans="1:9" ht="20.25" customHeight="1" hidden="1">
      <c r="A254" s="26" t="s">
        <v>947</v>
      </c>
      <c r="B254" s="27"/>
      <c r="C254" s="28" t="s">
        <v>952</v>
      </c>
      <c r="D254" s="28" t="s">
        <v>983</v>
      </c>
      <c r="E254" s="28" t="s">
        <v>953</v>
      </c>
      <c r="F254" s="29" t="s">
        <v>948</v>
      </c>
      <c r="G254" s="30"/>
      <c r="H254" s="30"/>
      <c r="I254" s="30" t="e">
        <f t="shared" si="9"/>
        <v>#DIV/0!</v>
      </c>
    </row>
    <row r="255" spans="1:9" ht="20.25" customHeight="1" hidden="1">
      <c r="A255" s="26" t="s">
        <v>270</v>
      </c>
      <c r="B255" s="27"/>
      <c r="C255" s="28" t="s">
        <v>940</v>
      </c>
      <c r="D255" s="28" t="s">
        <v>963</v>
      </c>
      <c r="E255" s="28"/>
      <c r="F255" s="29"/>
      <c r="G255" s="30">
        <f>SUM(G256)</f>
        <v>0</v>
      </c>
      <c r="H255" s="30">
        <f>SUM(H256)</f>
        <v>4219.8</v>
      </c>
      <c r="I255" s="30" t="e">
        <f t="shared" si="9"/>
        <v>#DIV/0!</v>
      </c>
    </row>
    <row r="256" spans="1:9" ht="18.75" customHeight="1" hidden="1">
      <c r="A256" s="26" t="s">
        <v>270</v>
      </c>
      <c r="B256" s="27"/>
      <c r="C256" s="28" t="s">
        <v>940</v>
      </c>
      <c r="D256" s="28" t="s">
        <v>963</v>
      </c>
      <c r="E256" s="28" t="s">
        <v>271</v>
      </c>
      <c r="F256" s="29"/>
      <c r="G256" s="30">
        <f>SUM(G257+G259)</f>
        <v>0</v>
      </c>
      <c r="H256" s="30">
        <f>SUM(H257+H259)</f>
        <v>4219.8</v>
      </c>
      <c r="I256" s="30" t="e">
        <f t="shared" si="9"/>
        <v>#DIV/0!</v>
      </c>
    </row>
    <row r="257" spans="1:9" ht="28.5" hidden="1">
      <c r="A257" s="26" t="s">
        <v>272</v>
      </c>
      <c r="B257" s="27"/>
      <c r="C257" s="28" t="s">
        <v>940</v>
      </c>
      <c r="D257" s="28" t="s">
        <v>963</v>
      </c>
      <c r="E257" s="28" t="s">
        <v>273</v>
      </c>
      <c r="F257" s="29"/>
      <c r="G257" s="30">
        <f>SUM(G258:G258)</f>
        <v>0</v>
      </c>
      <c r="H257" s="30">
        <f>SUM(H258:H258)</f>
        <v>2142.4</v>
      </c>
      <c r="I257" s="30" t="e">
        <f t="shared" si="9"/>
        <v>#DIV/0!</v>
      </c>
    </row>
    <row r="258" spans="1:9" ht="28.5" hidden="1">
      <c r="A258" s="26" t="s">
        <v>947</v>
      </c>
      <c r="B258" s="27"/>
      <c r="C258" s="28" t="s">
        <v>940</v>
      </c>
      <c r="D258" s="28" t="s">
        <v>963</v>
      </c>
      <c r="E258" s="28" t="s">
        <v>273</v>
      </c>
      <c r="F258" s="29" t="s">
        <v>948</v>
      </c>
      <c r="G258" s="30"/>
      <c r="H258" s="30">
        <v>2142.4</v>
      </c>
      <c r="I258" s="30" t="e">
        <f t="shared" si="9"/>
        <v>#DIV/0!</v>
      </c>
    </row>
    <row r="259" spans="1:9" ht="28.5" hidden="1">
      <c r="A259" s="26" t="s">
        <v>274</v>
      </c>
      <c r="B259" s="27"/>
      <c r="C259" s="28" t="s">
        <v>940</v>
      </c>
      <c r="D259" s="28" t="s">
        <v>963</v>
      </c>
      <c r="E259" s="28" t="s">
        <v>275</v>
      </c>
      <c r="F259" s="29"/>
      <c r="G259" s="30">
        <f>SUM(G260)</f>
        <v>0</v>
      </c>
      <c r="H259" s="30">
        <f>SUM(H260)</f>
        <v>2077.4</v>
      </c>
      <c r="I259" s="30" t="e">
        <f t="shared" si="9"/>
        <v>#DIV/0!</v>
      </c>
    </row>
    <row r="260" spans="1:9" ht="28.5" hidden="1">
      <c r="A260" s="26" t="s">
        <v>947</v>
      </c>
      <c r="B260" s="27"/>
      <c r="C260" s="28" t="s">
        <v>940</v>
      </c>
      <c r="D260" s="28" t="s">
        <v>963</v>
      </c>
      <c r="E260" s="28" t="s">
        <v>275</v>
      </c>
      <c r="F260" s="29" t="s">
        <v>948</v>
      </c>
      <c r="G260" s="30"/>
      <c r="H260" s="30">
        <v>2077.4</v>
      </c>
      <c r="I260" s="30" t="e">
        <f t="shared" si="9"/>
        <v>#DIV/0!</v>
      </c>
    </row>
    <row r="261" spans="1:9" ht="18.75" customHeight="1">
      <c r="A261" s="26" t="s">
        <v>956</v>
      </c>
      <c r="B261" s="27"/>
      <c r="C261" s="28" t="s">
        <v>940</v>
      </c>
      <c r="D261" s="28" t="s">
        <v>957</v>
      </c>
      <c r="E261" s="28"/>
      <c r="F261" s="29"/>
      <c r="G261" s="30">
        <f>SUM(G262+G273+G276+G279+G282+G285+G270)+G267+G265</f>
        <v>8392.8</v>
      </c>
      <c r="H261" s="30">
        <f>SUM(H262+H273+H276+H279+H282+H285+H270)+H267+H265</f>
        <v>7230.699999999999</v>
      </c>
      <c r="I261" s="30">
        <f t="shared" si="9"/>
        <v>86.15360785435135</v>
      </c>
    </row>
    <row r="262" spans="1:9" ht="28.5" hidden="1">
      <c r="A262" s="26" t="s">
        <v>276</v>
      </c>
      <c r="B262" s="27"/>
      <c r="C262" s="28" t="s">
        <v>940</v>
      </c>
      <c r="D262" s="28" t="s">
        <v>957</v>
      </c>
      <c r="E262" s="28" t="s">
        <v>277</v>
      </c>
      <c r="F262" s="29"/>
      <c r="G262" s="30">
        <f>SUM(G263)</f>
        <v>0</v>
      </c>
      <c r="H262" s="30">
        <f>SUM(H263)</f>
        <v>2749.5</v>
      </c>
      <c r="I262" s="30" t="e">
        <f t="shared" si="9"/>
        <v>#DIV/0!</v>
      </c>
    </row>
    <row r="263" spans="1:9" ht="28.5" hidden="1">
      <c r="A263" s="26" t="s">
        <v>278</v>
      </c>
      <c r="B263" s="27"/>
      <c r="C263" s="28" t="s">
        <v>940</v>
      </c>
      <c r="D263" s="28" t="s">
        <v>957</v>
      </c>
      <c r="E263" s="28" t="s">
        <v>279</v>
      </c>
      <c r="F263" s="29"/>
      <c r="G263" s="30">
        <f>SUM(G264)</f>
        <v>0</v>
      </c>
      <c r="H263" s="30">
        <f>SUM(H264)</f>
        <v>2749.5</v>
      </c>
      <c r="I263" s="30" t="e">
        <f t="shared" si="9"/>
        <v>#DIV/0!</v>
      </c>
    </row>
    <row r="264" spans="1:9" ht="27" customHeight="1" hidden="1">
      <c r="A264" s="26" t="s">
        <v>947</v>
      </c>
      <c r="B264" s="27"/>
      <c r="C264" s="28" t="s">
        <v>940</v>
      </c>
      <c r="D264" s="28" t="s">
        <v>957</v>
      </c>
      <c r="E264" s="28" t="s">
        <v>279</v>
      </c>
      <c r="F264" s="29" t="s">
        <v>948</v>
      </c>
      <c r="G264" s="30"/>
      <c r="H264" s="30">
        <v>2749.5</v>
      </c>
      <c r="I264" s="30" t="e">
        <f t="shared" si="9"/>
        <v>#DIV/0!</v>
      </c>
    </row>
    <row r="265" spans="1:9" ht="27" customHeight="1">
      <c r="A265" s="26" t="s">
        <v>280</v>
      </c>
      <c r="B265" s="27"/>
      <c r="C265" s="28" t="s">
        <v>940</v>
      </c>
      <c r="D265" s="28" t="s">
        <v>957</v>
      </c>
      <c r="E265" s="28" t="s">
        <v>281</v>
      </c>
      <c r="F265" s="29"/>
      <c r="G265" s="30">
        <f>SUM(G266)</f>
        <v>1771.9</v>
      </c>
      <c r="H265" s="30">
        <f>SUM(H266)</f>
        <v>0</v>
      </c>
      <c r="I265" s="30">
        <f t="shared" si="9"/>
        <v>0</v>
      </c>
    </row>
    <row r="266" spans="1:9" ht="27" customHeight="1">
      <c r="A266" s="26" t="s">
        <v>947</v>
      </c>
      <c r="B266" s="27"/>
      <c r="C266" s="28" t="s">
        <v>940</v>
      </c>
      <c r="D266" s="28" t="s">
        <v>957</v>
      </c>
      <c r="E266" s="28" t="s">
        <v>281</v>
      </c>
      <c r="F266" s="29" t="s">
        <v>948</v>
      </c>
      <c r="G266" s="30">
        <v>1771.9</v>
      </c>
      <c r="H266" s="30"/>
      <c r="I266" s="30">
        <f t="shared" si="9"/>
        <v>0</v>
      </c>
    </row>
    <row r="267" spans="1:9" ht="27" customHeight="1" hidden="1">
      <c r="A267" s="26" t="s">
        <v>276</v>
      </c>
      <c r="B267" s="27"/>
      <c r="C267" s="28" t="s">
        <v>940</v>
      </c>
      <c r="D267" s="28" t="s">
        <v>957</v>
      </c>
      <c r="E267" s="28" t="s">
        <v>944</v>
      </c>
      <c r="F267" s="29"/>
      <c r="G267" s="30">
        <f>SUM(G268)</f>
        <v>0</v>
      </c>
      <c r="H267" s="30">
        <f>SUM(H268)</f>
        <v>836.4</v>
      </c>
      <c r="I267" s="30" t="e">
        <f t="shared" si="9"/>
        <v>#DIV/0!</v>
      </c>
    </row>
    <row r="268" spans="1:9" ht="27" customHeight="1" hidden="1">
      <c r="A268" s="26" t="s">
        <v>234</v>
      </c>
      <c r="B268" s="27"/>
      <c r="C268" s="28" t="s">
        <v>940</v>
      </c>
      <c r="D268" s="28" t="s">
        <v>957</v>
      </c>
      <c r="E268" s="28" t="s">
        <v>282</v>
      </c>
      <c r="F268" s="29"/>
      <c r="G268" s="30">
        <f>SUM(G269)</f>
        <v>0</v>
      </c>
      <c r="H268" s="30">
        <f>SUM(H269)</f>
        <v>836.4</v>
      </c>
      <c r="I268" s="30" t="e">
        <f t="shared" si="9"/>
        <v>#DIV/0!</v>
      </c>
    </row>
    <row r="269" spans="1:9" ht="27" customHeight="1" hidden="1">
      <c r="A269" s="26" t="s">
        <v>969</v>
      </c>
      <c r="B269" s="27"/>
      <c r="C269" s="28" t="s">
        <v>940</v>
      </c>
      <c r="D269" s="28" t="s">
        <v>957</v>
      </c>
      <c r="E269" s="28" t="s">
        <v>282</v>
      </c>
      <c r="F269" s="29" t="s">
        <v>970</v>
      </c>
      <c r="G269" s="30"/>
      <c r="H269" s="30">
        <v>836.4</v>
      </c>
      <c r="I269" s="30" t="e">
        <f t="shared" si="9"/>
        <v>#DIV/0!</v>
      </c>
    </row>
    <row r="270" spans="1:9" ht="20.25" customHeight="1" hidden="1">
      <c r="A270" s="26" t="s">
        <v>94</v>
      </c>
      <c r="B270" s="27"/>
      <c r="C270" s="28" t="s">
        <v>940</v>
      </c>
      <c r="D270" s="28" t="s">
        <v>957</v>
      </c>
      <c r="E270" s="28" t="s">
        <v>95</v>
      </c>
      <c r="F270" s="29"/>
      <c r="G270" s="30">
        <f>SUM(G272)</f>
        <v>0</v>
      </c>
      <c r="H270" s="30">
        <f>SUM(H272)</f>
        <v>536.9</v>
      </c>
      <c r="I270" s="30" t="e">
        <f t="shared" si="9"/>
        <v>#DIV/0!</v>
      </c>
    </row>
    <row r="271" spans="1:9" ht="19.5" customHeight="1" hidden="1">
      <c r="A271" s="26" t="s">
        <v>96</v>
      </c>
      <c r="B271" s="27"/>
      <c r="C271" s="28" t="s">
        <v>940</v>
      </c>
      <c r="D271" s="28" t="s">
        <v>957</v>
      </c>
      <c r="E271" s="28" t="s">
        <v>97</v>
      </c>
      <c r="F271" s="29"/>
      <c r="G271" s="30">
        <f>SUM(G272)</f>
        <v>0</v>
      </c>
      <c r="H271" s="30">
        <f>SUM(H272)</f>
        <v>536.9</v>
      </c>
      <c r="I271" s="30" t="e">
        <f t="shared" si="9"/>
        <v>#DIV/0!</v>
      </c>
    </row>
    <row r="272" spans="1:9" ht="32.25" customHeight="1" hidden="1">
      <c r="A272" s="26" t="s">
        <v>947</v>
      </c>
      <c r="B272" s="27"/>
      <c r="C272" s="28" t="s">
        <v>940</v>
      </c>
      <c r="D272" s="28" t="s">
        <v>957</v>
      </c>
      <c r="E272" s="28" t="s">
        <v>97</v>
      </c>
      <c r="F272" s="29" t="s">
        <v>948</v>
      </c>
      <c r="G272" s="30"/>
      <c r="H272" s="30">
        <f>423.2+113.7</f>
        <v>536.9</v>
      </c>
      <c r="I272" s="30" t="e">
        <f t="shared" si="9"/>
        <v>#DIV/0!</v>
      </c>
    </row>
    <row r="273" spans="1:9" ht="46.5" customHeight="1" hidden="1">
      <c r="A273" s="31" t="s">
        <v>283</v>
      </c>
      <c r="B273" s="27"/>
      <c r="C273" s="28" t="s">
        <v>940</v>
      </c>
      <c r="D273" s="28" t="s">
        <v>957</v>
      </c>
      <c r="E273" s="28" t="s">
        <v>284</v>
      </c>
      <c r="F273" s="29"/>
      <c r="G273" s="30">
        <f>SUM(G274)</f>
        <v>0</v>
      </c>
      <c r="H273" s="30">
        <f>SUM(H274)</f>
        <v>917.7</v>
      </c>
      <c r="I273" s="30" t="e">
        <f t="shared" si="9"/>
        <v>#DIV/0!</v>
      </c>
    </row>
    <row r="274" spans="1:9" ht="28.5" customHeight="1" hidden="1">
      <c r="A274" s="31" t="s">
        <v>285</v>
      </c>
      <c r="B274" s="27"/>
      <c r="C274" s="28" t="s">
        <v>940</v>
      </c>
      <c r="D274" s="28" t="s">
        <v>957</v>
      </c>
      <c r="E274" s="28" t="s">
        <v>286</v>
      </c>
      <c r="F274" s="29"/>
      <c r="G274" s="30">
        <f>SUM(G275)</f>
        <v>0</v>
      </c>
      <c r="H274" s="30">
        <f>SUM(H275)</f>
        <v>917.7</v>
      </c>
      <c r="I274" s="30" t="e">
        <f t="shared" si="9"/>
        <v>#DIV/0!</v>
      </c>
    </row>
    <row r="275" spans="1:9" ht="26.25" customHeight="1" hidden="1">
      <c r="A275" s="26" t="s">
        <v>947</v>
      </c>
      <c r="B275" s="27"/>
      <c r="C275" s="28" t="s">
        <v>940</v>
      </c>
      <c r="D275" s="28" t="s">
        <v>957</v>
      </c>
      <c r="E275" s="28" t="s">
        <v>286</v>
      </c>
      <c r="F275" s="29" t="s">
        <v>948</v>
      </c>
      <c r="G275" s="30"/>
      <c r="H275" s="30">
        <v>917.7</v>
      </c>
      <c r="I275" s="30" t="e">
        <f t="shared" si="9"/>
        <v>#DIV/0!</v>
      </c>
    </row>
    <row r="276" spans="1:9" ht="33" customHeight="1">
      <c r="A276" s="26" t="s">
        <v>958</v>
      </c>
      <c r="B276" s="27"/>
      <c r="C276" s="28" t="s">
        <v>940</v>
      </c>
      <c r="D276" s="28" t="s">
        <v>957</v>
      </c>
      <c r="E276" s="28" t="s">
        <v>959</v>
      </c>
      <c r="F276" s="29"/>
      <c r="G276" s="30">
        <f>SUM(G277)</f>
        <v>2915.1</v>
      </c>
      <c r="H276" s="30">
        <f>SUM(H277)</f>
        <v>872.8</v>
      </c>
      <c r="I276" s="30">
        <f t="shared" si="9"/>
        <v>29.940653836918113</v>
      </c>
    </row>
    <row r="277" spans="1:9" ht="16.5" customHeight="1">
      <c r="A277" s="26" t="s">
        <v>960</v>
      </c>
      <c r="B277" s="27"/>
      <c r="C277" s="28" t="s">
        <v>940</v>
      </c>
      <c r="D277" s="28" t="s">
        <v>957</v>
      </c>
      <c r="E277" s="28" t="s">
        <v>961</v>
      </c>
      <c r="F277" s="29"/>
      <c r="G277" s="30">
        <f>SUM(G278)</f>
        <v>2915.1</v>
      </c>
      <c r="H277" s="30">
        <f>SUM(H278)</f>
        <v>872.8</v>
      </c>
      <c r="I277" s="30">
        <f t="shared" si="9"/>
        <v>29.940653836918113</v>
      </c>
    </row>
    <row r="278" spans="1:9" ht="27" customHeight="1">
      <c r="A278" s="26" t="s">
        <v>947</v>
      </c>
      <c r="B278" s="27"/>
      <c r="C278" s="28" t="s">
        <v>940</v>
      </c>
      <c r="D278" s="28" t="s">
        <v>957</v>
      </c>
      <c r="E278" s="28" t="s">
        <v>961</v>
      </c>
      <c r="F278" s="29" t="s">
        <v>948</v>
      </c>
      <c r="G278" s="30">
        <f>2906.8+8.2+0.1</f>
        <v>2915.1</v>
      </c>
      <c r="H278" s="30">
        <v>872.8</v>
      </c>
      <c r="I278" s="30">
        <f t="shared" si="9"/>
        <v>29.940653836918113</v>
      </c>
    </row>
    <row r="279" spans="1:9" ht="42.75" hidden="1">
      <c r="A279" s="26" t="s">
        <v>51</v>
      </c>
      <c r="B279" s="27"/>
      <c r="C279" s="28" t="s">
        <v>940</v>
      </c>
      <c r="D279" s="28" t="s">
        <v>957</v>
      </c>
      <c r="E279" s="28" t="s">
        <v>52</v>
      </c>
      <c r="F279" s="29"/>
      <c r="G279" s="30">
        <f>SUM(G281)</f>
        <v>0</v>
      </c>
      <c r="H279" s="30">
        <f>SUM(H281)</f>
        <v>0</v>
      </c>
      <c r="I279" s="30" t="e">
        <f t="shared" si="9"/>
        <v>#DIV/0!</v>
      </c>
    </row>
    <row r="280" spans="1:9" ht="42.75" hidden="1">
      <c r="A280" s="26" t="s">
        <v>53</v>
      </c>
      <c r="B280" s="27"/>
      <c r="C280" s="28" t="s">
        <v>940</v>
      </c>
      <c r="D280" s="28" t="s">
        <v>957</v>
      </c>
      <c r="E280" s="28" t="s">
        <v>54</v>
      </c>
      <c r="F280" s="29"/>
      <c r="G280" s="30">
        <f>SUM(G281)</f>
        <v>0</v>
      </c>
      <c r="H280" s="30">
        <f>SUM(H281)</f>
        <v>0</v>
      </c>
      <c r="I280" s="30" t="e">
        <f t="shared" si="9"/>
        <v>#DIV/0!</v>
      </c>
    </row>
    <row r="281" spans="1:9" ht="15" hidden="1">
      <c r="A281" s="26" t="s">
        <v>41</v>
      </c>
      <c r="B281" s="27"/>
      <c r="C281" s="28" t="s">
        <v>940</v>
      </c>
      <c r="D281" s="28" t="s">
        <v>957</v>
      </c>
      <c r="E281" s="28" t="s">
        <v>54</v>
      </c>
      <c r="F281" s="29" t="s">
        <v>42</v>
      </c>
      <c r="G281" s="30"/>
      <c r="H281" s="30"/>
      <c r="I281" s="30" t="e">
        <f t="shared" si="9"/>
        <v>#DIV/0!</v>
      </c>
    </row>
    <row r="282" spans="1:9" ht="28.5">
      <c r="A282" s="26" t="s">
        <v>287</v>
      </c>
      <c r="B282" s="27"/>
      <c r="C282" s="28" t="s">
        <v>940</v>
      </c>
      <c r="D282" s="28" t="s">
        <v>957</v>
      </c>
      <c r="E282" s="28" t="s">
        <v>288</v>
      </c>
      <c r="F282" s="29"/>
      <c r="G282" s="30">
        <f>SUM(G283)</f>
        <v>2205.7999999999997</v>
      </c>
      <c r="H282" s="30">
        <f>SUM(H283)</f>
        <v>1317.4</v>
      </c>
      <c r="I282" s="30">
        <f t="shared" si="9"/>
        <v>59.72436304288694</v>
      </c>
    </row>
    <row r="283" spans="1:9" ht="28.5">
      <c r="A283" s="26" t="s">
        <v>234</v>
      </c>
      <c r="B283" s="27"/>
      <c r="C283" s="28" t="s">
        <v>940</v>
      </c>
      <c r="D283" s="28" t="s">
        <v>957</v>
      </c>
      <c r="E283" s="28" t="s">
        <v>289</v>
      </c>
      <c r="F283" s="29"/>
      <c r="G283" s="30">
        <f>SUM(G284)</f>
        <v>2205.7999999999997</v>
      </c>
      <c r="H283" s="30">
        <f>SUM(H284)</f>
        <v>1317.4</v>
      </c>
      <c r="I283" s="30">
        <f t="shared" si="9"/>
        <v>59.72436304288694</v>
      </c>
    </row>
    <row r="284" spans="1:9" ht="19.5" customHeight="1">
      <c r="A284" s="26" t="s">
        <v>969</v>
      </c>
      <c r="B284" s="27"/>
      <c r="C284" s="28" t="s">
        <v>940</v>
      </c>
      <c r="D284" s="28" t="s">
        <v>957</v>
      </c>
      <c r="E284" s="28" t="s">
        <v>289</v>
      </c>
      <c r="F284" s="29" t="s">
        <v>970</v>
      </c>
      <c r="G284" s="30">
        <f>2219.2-13.4</f>
        <v>2205.7999999999997</v>
      </c>
      <c r="H284" s="30">
        <v>1317.4</v>
      </c>
      <c r="I284" s="30">
        <f t="shared" si="9"/>
        <v>59.72436304288694</v>
      </c>
    </row>
    <row r="285" spans="1:9" ht="21.75" customHeight="1">
      <c r="A285" s="26" t="s">
        <v>20</v>
      </c>
      <c r="B285" s="27"/>
      <c r="C285" s="28" t="s">
        <v>940</v>
      </c>
      <c r="D285" s="28" t="s">
        <v>957</v>
      </c>
      <c r="E285" s="28" t="s">
        <v>21</v>
      </c>
      <c r="F285" s="29"/>
      <c r="G285" s="30">
        <f>SUM(G286)</f>
        <v>1500</v>
      </c>
      <c r="H285" s="30">
        <f>SUM(H286)</f>
        <v>0</v>
      </c>
      <c r="I285" s="30">
        <f t="shared" si="9"/>
        <v>0</v>
      </c>
    </row>
    <row r="286" spans="1:9" ht="30" customHeight="1">
      <c r="A286" s="26" t="s">
        <v>947</v>
      </c>
      <c r="B286" s="27"/>
      <c r="C286" s="28" t="s">
        <v>940</v>
      </c>
      <c r="D286" s="28" t="s">
        <v>957</v>
      </c>
      <c r="E286" s="28" t="s">
        <v>21</v>
      </c>
      <c r="F286" s="29" t="s">
        <v>948</v>
      </c>
      <c r="G286" s="30">
        <f>SUM(G287:G288)</f>
        <v>1500</v>
      </c>
      <c r="H286" s="30">
        <f>SUM(H287:H288)</f>
        <v>0</v>
      </c>
      <c r="I286" s="30">
        <f t="shared" si="9"/>
        <v>0</v>
      </c>
    </row>
    <row r="287" spans="1:9" ht="22.5" customHeight="1">
      <c r="A287" s="26" t="s">
        <v>290</v>
      </c>
      <c r="B287" s="27"/>
      <c r="C287" s="28" t="s">
        <v>940</v>
      </c>
      <c r="D287" s="28" t="s">
        <v>957</v>
      </c>
      <c r="E287" s="28" t="s">
        <v>291</v>
      </c>
      <c r="F287" s="29" t="s">
        <v>948</v>
      </c>
      <c r="G287" s="30">
        <v>1500</v>
      </c>
      <c r="H287" s="30"/>
      <c r="I287" s="30">
        <f t="shared" si="9"/>
        <v>0</v>
      </c>
    </row>
    <row r="288" spans="1:9" ht="29.25" customHeight="1" hidden="1">
      <c r="A288" s="26" t="s">
        <v>292</v>
      </c>
      <c r="B288" s="27"/>
      <c r="C288" s="28" t="s">
        <v>940</v>
      </c>
      <c r="D288" s="28" t="s">
        <v>293</v>
      </c>
      <c r="E288" s="28" t="s">
        <v>294</v>
      </c>
      <c r="F288" s="29" t="s">
        <v>948</v>
      </c>
      <c r="G288" s="30"/>
      <c r="H288" s="30"/>
      <c r="I288" s="30" t="e">
        <f t="shared" si="9"/>
        <v>#DIV/0!</v>
      </c>
    </row>
    <row r="289" spans="1:9" ht="33" customHeight="1">
      <c r="A289" s="26" t="s">
        <v>295</v>
      </c>
      <c r="B289" s="27"/>
      <c r="C289" s="28" t="s">
        <v>950</v>
      </c>
      <c r="D289" s="28"/>
      <c r="E289" s="28"/>
      <c r="F289" s="29"/>
      <c r="G289" s="30">
        <f>SUM(G294)+G290+G314</f>
        <v>20687.8</v>
      </c>
      <c r="H289" s="30">
        <f>SUM(H294)+H290+H314</f>
        <v>15879.199999999997</v>
      </c>
      <c r="I289" s="30">
        <f t="shared" si="9"/>
        <v>76.75634915264068</v>
      </c>
    </row>
    <row r="290" spans="1:9" ht="18.75" customHeight="1">
      <c r="A290" s="77" t="s">
        <v>296</v>
      </c>
      <c r="B290" s="27"/>
      <c r="C290" s="28" t="s">
        <v>950</v>
      </c>
      <c r="D290" s="28" t="s">
        <v>5</v>
      </c>
      <c r="E290" s="28"/>
      <c r="F290" s="29"/>
      <c r="G290" s="30">
        <f>SUM(G292)</f>
        <v>5234.2</v>
      </c>
      <c r="H290" s="30">
        <f>SUM(H292)</f>
        <v>0</v>
      </c>
      <c r="I290" s="30">
        <f t="shared" si="9"/>
        <v>0</v>
      </c>
    </row>
    <row r="291" spans="1:9" ht="27.75" customHeight="1">
      <c r="A291" s="26" t="s">
        <v>276</v>
      </c>
      <c r="B291" s="27"/>
      <c r="C291" s="28" t="s">
        <v>950</v>
      </c>
      <c r="D291" s="28" t="s">
        <v>5</v>
      </c>
      <c r="E291" s="28" t="s">
        <v>277</v>
      </c>
      <c r="F291" s="29"/>
      <c r="G291" s="30">
        <f>SUM(G292)</f>
        <v>5234.2</v>
      </c>
      <c r="H291" s="30"/>
      <c r="I291" s="30"/>
    </row>
    <row r="292" spans="1:9" ht="28.5">
      <c r="A292" s="26" t="s">
        <v>278</v>
      </c>
      <c r="B292" s="27"/>
      <c r="C292" s="28" t="s">
        <v>950</v>
      </c>
      <c r="D292" s="28" t="s">
        <v>5</v>
      </c>
      <c r="E292" s="28" t="s">
        <v>279</v>
      </c>
      <c r="F292" s="29"/>
      <c r="G292" s="30">
        <f>SUM(G293)</f>
        <v>5234.2</v>
      </c>
      <c r="H292" s="30">
        <f>SUM(H293)</f>
        <v>0</v>
      </c>
      <c r="I292" s="30">
        <f t="shared" si="9"/>
        <v>0</v>
      </c>
    </row>
    <row r="293" spans="1:9" ht="28.5">
      <c r="A293" s="26" t="s">
        <v>947</v>
      </c>
      <c r="B293" s="27"/>
      <c r="C293" s="28" t="s">
        <v>950</v>
      </c>
      <c r="D293" s="28" t="s">
        <v>5</v>
      </c>
      <c r="E293" s="28" t="s">
        <v>279</v>
      </c>
      <c r="F293" s="29" t="s">
        <v>948</v>
      </c>
      <c r="G293" s="30">
        <f>6188-953.8</f>
        <v>5234.2</v>
      </c>
      <c r="H293" s="30"/>
      <c r="I293" s="30">
        <f aca="true" t="shared" si="11" ref="I293:I356">SUM(H293/G293*100)</f>
        <v>0</v>
      </c>
    </row>
    <row r="294" spans="1:9" ht="45.75" customHeight="1">
      <c r="A294" s="31" t="s">
        <v>297</v>
      </c>
      <c r="B294" s="27"/>
      <c r="C294" s="28" t="s">
        <v>950</v>
      </c>
      <c r="D294" s="28" t="s">
        <v>25</v>
      </c>
      <c r="E294" s="28"/>
      <c r="F294" s="29"/>
      <c r="G294" s="30">
        <f>SUM(G298+G303+G306+G309)+G295</f>
        <v>15453.599999999999</v>
      </c>
      <c r="H294" s="30">
        <f>SUM(H298+H303+H306+H309)+H296</f>
        <v>15879.199999999997</v>
      </c>
      <c r="I294" s="30">
        <f t="shared" si="11"/>
        <v>102.75405083605114</v>
      </c>
    </row>
    <row r="295" spans="1:9" s="43" customFormat="1" ht="19.5" customHeight="1">
      <c r="A295" s="26" t="s">
        <v>94</v>
      </c>
      <c r="B295" s="27"/>
      <c r="C295" s="28" t="s">
        <v>950</v>
      </c>
      <c r="D295" s="28" t="s">
        <v>25</v>
      </c>
      <c r="E295" s="28" t="s">
        <v>95</v>
      </c>
      <c r="F295" s="29"/>
      <c r="G295" s="30">
        <f>SUM(G296)</f>
        <v>2261.8</v>
      </c>
      <c r="H295" s="30">
        <f>SUM(H296)</f>
        <v>0</v>
      </c>
      <c r="I295" s="30">
        <f t="shared" si="11"/>
        <v>0</v>
      </c>
    </row>
    <row r="296" spans="1:9" ht="45" customHeight="1">
      <c r="A296" s="26" t="s">
        <v>298</v>
      </c>
      <c r="B296" s="27"/>
      <c r="C296" s="28" t="s">
        <v>950</v>
      </c>
      <c r="D296" s="28" t="s">
        <v>25</v>
      </c>
      <c r="E296" s="28" t="s">
        <v>299</v>
      </c>
      <c r="F296" s="29"/>
      <c r="G296" s="30">
        <f>SUM(G297)</f>
        <v>2261.8</v>
      </c>
      <c r="H296" s="30">
        <f>SUM(H297)</f>
        <v>0</v>
      </c>
      <c r="I296" s="30">
        <f t="shared" si="11"/>
        <v>0</v>
      </c>
    </row>
    <row r="297" spans="1:9" ht="28.5">
      <c r="A297" s="26" t="s">
        <v>947</v>
      </c>
      <c r="B297" s="27"/>
      <c r="C297" s="28" t="s">
        <v>950</v>
      </c>
      <c r="D297" s="28" t="s">
        <v>25</v>
      </c>
      <c r="E297" s="28" t="s">
        <v>299</v>
      </c>
      <c r="F297" s="29" t="s">
        <v>948</v>
      </c>
      <c r="G297" s="30">
        <v>2261.8</v>
      </c>
      <c r="H297" s="30"/>
      <c r="I297" s="30">
        <f t="shared" si="11"/>
        <v>0</v>
      </c>
    </row>
    <row r="298" spans="1:9" ht="50.25" customHeight="1">
      <c r="A298" s="31" t="s">
        <v>300</v>
      </c>
      <c r="B298" s="27"/>
      <c r="C298" s="28" t="s">
        <v>950</v>
      </c>
      <c r="D298" s="28" t="s">
        <v>25</v>
      </c>
      <c r="E298" s="28" t="s">
        <v>301</v>
      </c>
      <c r="F298" s="29"/>
      <c r="G298" s="30">
        <f>SUM(G299+G301)</f>
        <v>3210.7999999999997</v>
      </c>
      <c r="H298" s="30">
        <f>SUM(H299+H301)</f>
        <v>10264.099999999999</v>
      </c>
      <c r="I298" s="30">
        <f t="shared" si="11"/>
        <v>319.67422449233834</v>
      </c>
    </row>
    <row r="299" spans="1:9" ht="42.75">
      <c r="A299" s="31" t="s">
        <v>302</v>
      </c>
      <c r="B299" s="27"/>
      <c r="C299" s="28" t="s">
        <v>950</v>
      </c>
      <c r="D299" s="28" t="s">
        <v>25</v>
      </c>
      <c r="E299" s="28" t="s">
        <v>303</v>
      </c>
      <c r="F299" s="29"/>
      <c r="G299" s="30">
        <f>SUM(G300)</f>
        <v>1084.5</v>
      </c>
      <c r="H299" s="30">
        <f>SUM(H300)</f>
        <v>438.8</v>
      </c>
      <c r="I299" s="30">
        <f t="shared" si="11"/>
        <v>40.46104195481789</v>
      </c>
    </row>
    <row r="300" spans="1:9" ht="28.5">
      <c r="A300" s="26" t="s">
        <v>947</v>
      </c>
      <c r="B300" s="27"/>
      <c r="C300" s="28" t="s">
        <v>950</v>
      </c>
      <c r="D300" s="28" t="s">
        <v>25</v>
      </c>
      <c r="E300" s="28" t="s">
        <v>303</v>
      </c>
      <c r="F300" s="29" t="s">
        <v>948</v>
      </c>
      <c r="G300" s="30">
        <f>2132.5-1048</f>
        <v>1084.5</v>
      </c>
      <c r="H300" s="30">
        <v>438.8</v>
      </c>
      <c r="I300" s="30">
        <f t="shared" si="11"/>
        <v>40.46104195481789</v>
      </c>
    </row>
    <row r="301" spans="1:9" ht="28.5">
      <c r="A301" s="26" t="s">
        <v>304</v>
      </c>
      <c r="B301" s="27"/>
      <c r="C301" s="28" t="s">
        <v>950</v>
      </c>
      <c r="D301" s="28" t="s">
        <v>25</v>
      </c>
      <c r="E301" s="28" t="s">
        <v>305</v>
      </c>
      <c r="F301" s="28"/>
      <c r="G301" s="30">
        <f>SUM(G302)</f>
        <v>2126.2999999999997</v>
      </c>
      <c r="H301" s="30">
        <f>SUM(H302)</f>
        <v>9825.3</v>
      </c>
      <c r="I301" s="30">
        <f t="shared" si="11"/>
        <v>462.0843719136529</v>
      </c>
    </row>
    <row r="302" spans="1:9" ht="15">
      <c r="A302" s="26" t="s">
        <v>306</v>
      </c>
      <c r="B302" s="27"/>
      <c r="C302" s="28" t="s">
        <v>950</v>
      </c>
      <c r="D302" s="28" t="s">
        <v>25</v>
      </c>
      <c r="E302" s="28" t="s">
        <v>305</v>
      </c>
      <c r="F302" s="28" t="s">
        <v>307</v>
      </c>
      <c r="G302" s="30">
        <f>4995.2-744.3-2124.6</f>
        <v>2126.2999999999997</v>
      </c>
      <c r="H302" s="30">
        <v>9825.3</v>
      </c>
      <c r="I302" s="30">
        <f t="shared" si="11"/>
        <v>462.0843719136529</v>
      </c>
    </row>
    <row r="303" spans="1:9" ht="15">
      <c r="A303" s="31" t="s">
        <v>308</v>
      </c>
      <c r="B303" s="51"/>
      <c r="C303" s="51" t="s">
        <v>950</v>
      </c>
      <c r="D303" s="51" t="s">
        <v>25</v>
      </c>
      <c r="E303" s="51" t="s">
        <v>309</v>
      </c>
      <c r="F303" s="56"/>
      <c r="G303" s="30">
        <f>SUM(G304)</f>
        <v>310</v>
      </c>
      <c r="H303" s="30">
        <f>SUM(H304)</f>
        <v>227.3</v>
      </c>
      <c r="I303" s="30">
        <f t="shared" si="11"/>
        <v>73.3225806451613</v>
      </c>
    </row>
    <row r="304" spans="1:9" ht="27" customHeight="1">
      <c r="A304" s="31" t="s">
        <v>310</v>
      </c>
      <c r="B304" s="51"/>
      <c r="C304" s="57" t="s">
        <v>950</v>
      </c>
      <c r="D304" s="57" t="s">
        <v>25</v>
      </c>
      <c r="E304" s="57" t="s">
        <v>311</v>
      </c>
      <c r="F304" s="49"/>
      <c r="G304" s="30">
        <f>SUM(G305)</f>
        <v>310</v>
      </c>
      <c r="H304" s="30">
        <f>SUM(H305)</f>
        <v>227.3</v>
      </c>
      <c r="I304" s="30">
        <f t="shared" si="11"/>
        <v>73.3225806451613</v>
      </c>
    </row>
    <row r="305" spans="1:9" ht="28.5">
      <c r="A305" s="26" t="s">
        <v>947</v>
      </c>
      <c r="B305" s="51"/>
      <c r="C305" s="57" t="s">
        <v>950</v>
      </c>
      <c r="D305" s="57" t="s">
        <v>25</v>
      </c>
      <c r="E305" s="57" t="s">
        <v>311</v>
      </c>
      <c r="F305" s="49" t="s">
        <v>948</v>
      </c>
      <c r="G305" s="30">
        <f>310.3-0.3</f>
        <v>310</v>
      </c>
      <c r="H305" s="30">
        <v>227.3</v>
      </c>
      <c r="I305" s="30">
        <f t="shared" si="11"/>
        <v>73.3225806451613</v>
      </c>
    </row>
    <row r="306" spans="1:9" ht="42.75">
      <c r="A306" s="26" t="s">
        <v>312</v>
      </c>
      <c r="B306" s="27"/>
      <c r="C306" s="28" t="s">
        <v>950</v>
      </c>
      <c r="D306" s="28" t="s">
        <v>25</v>
      </c>
      <c r="E306" s="28" t="s">
        <v>313</v>
      </c>
      <c r="F306" s="29"/>
      <c r="G306" s="30">
        <f>SUM(G307)</f>
        <v>9595.5</v>
      </c>
      <c r="H306" s="30">
        <f>SUM(H307)</f>
        <v>5387.8</v>
      </c>
      <c r="I306" s="30">
        <f t="shared" si="11"/>
        <v>56.14923662133292</v>
      </c>
    </row>
    <row r="307" spans="1:9" ht="28.5">
      <c r="A307" s="26" t="s">
        <v>234</v>
      </c>
      <c r="B307" s="27"/>
      <c r="C307" s="28" t="s">
        <v>950</v>
      </c>
      <c r="D307" s="28" t="s">
        <v>25</v>
      </c>
      <c r="E307" s="28" t="s">
        <v>314</v>
      </c>
      <c r="F307" s="29"/>
      <c r="G307" s="30">
        <f>SUM(G308)</f>
        <v>9595.5</v>
      </c>
      <c r="H307" s="30">
        <f>SUM(H308)</f>
        <v>5387.8</v>
      </c>
      <c r="I307" s="30">
        <f t="shared" si="11"/>
        <v>56.14923662133292</v>
      </c>
    </row>
    <row r="308" spans="1:9" ht="18" customHeight="1">
      <c r="A308" s="26" t="s">
        <v>969</v>
      </c>
      <c r="B308" s="36"/>
      <c r="C308" s="28" t="s">
        <v>950</v>
      </c>
      <c r="D308" s="28" t="s">
        <v>25</v>
      </c>
      <c r="E308" s="28" t="s">
        <v>314</v>
      </c>
      <c r="F308" s="29" t="s">
        <v>970</v>
      </c>
      <c r="G308" s="30">
        <f>9706.1-110.6</f>
        <v>9595.5</v>
      </c>
      <c r="H308" s="30">
        <v>5387.8</v>
      </c>
      <c r="I308" s="30">
        <f t="shared" si="11"/>
        <v>56.14923662133292</v>
      </c>
    </row>
    <row r="309" spans="1:9" ht="15">
      <c r="A309" s="26" t="s">
        <v>20</v>
      </c>
      <c r="B309" s="27"/>
      <c r="C309" s="28" t="s">
        <v>950</v>
      </c>
      <c r="D309" s="28" t="s">
        <v>25</v>
      </c>
      <c r="E309" s="57" t="s">
        <v>21</v>
      </c>
      <c r="F309" s="29"/>
      <c r="G309" s="30">
        <f>SUM(G312)+G310</f>
        <v>75.5</v>
      </c>
      <c r="H309" s="30"/>
      <c r="I309" s="30"/>
    </row>
    <row r="310" spans="1:9" ht="57">
      <c r="A310" s="26" t="s">
        <v>315</v>
      </c>
      <c r="B310" s="27"/>
      <c r="C310" s="28" t="s">
        <v>950</v>
      </c>
      <c r="D310" s="28" t="s">
        <v>25</v>
      </c>
      <c r="E310" s="57" t="s">
        <v>316</v>
      </c>
      <c r="F310" s="29"/>
      <c r="G310" s="30">
        <f>SUM(G311)</f>
        <v>35.5</v>
      </c>
      <c r="H310" s="30"/>
      <c r="I310" s="30"/>
    </row>
    <row r="311" spans="1:9" ht="28.5">
      <c r="A311" s="26" t="s">
        <v>947</v>
      </c>
      <c r="B311" s="27"/>
      <c r="C311" s="28" t="s">
        <v>950</v>
      </c>
      <c r="D311" s="28" t="s">
        <v>25</v>
      </c>
      <c r="E311" s="57" t="s">
        <v>316</v>
      </c>
      <c r="F311" s="29" t="s">
        <v>948</v>
      </c>
      <c r="G311" s="30">
        <f>750-714.5</f>
        <v>35.5</v>
      </c>
      <c r="H311" s="30"/>
      <c r="I311" s="30"/>
    </row>
    <row r="312" spans="1:9" ht="44.25" customHeight="1">
      <c r="A312" s="26" t="s">
        <v>317</v>
      </c>
      <c r="B312" s="27"/>
      <c r="C312" s="28" t="s">
        <v>950</v>
      </c>
      <c r="D312" s="28" t="s">
        <v>25</v>
      </c>
      <c r="E312" s="57" t="s">
        <v>318</v>
      </c>
      <c r="F312" s="29"/>
      <c r="G312" s="30">
        <f>SUM(G313)</f>
        <v>40</v>
      </c>
      <c r="H312" s="30"/>
      <c r="I312" s="30"/>
    </row>
    <row r="313" spans="1:9" ht="14.25" customHeight="1">
      <c r="A313" s="46" t="s">
        <v>41</v>
      </c>
      <c r="B313" s="27"/>
      <c r="C313" s="28" t="s">
        <v>950</v>
      </c>
      <c r="D313" s="28" t="s">
        <v>25</v>
      </c>
      <c r="E313" s="57" t="s">
        <v>318</v>
      </c>
      <c r="F313" s="29" t="s">
        <v>42</v>
      </c>
      <c r="G313" s="30">
        <v>40</v>
      </c>
      <c r="H313" s="30"/>
      <c r="I313" s="30"/>
    </row>
    <row r="314" spans="1:9" ht="28.5" hidden="1">
      <c r="A314" s="31" t="s">
        <v>319</v>
      </c>
      <c r="B314" s="27"/>
      <c r="C314" s="28" t="s">
        <v>950</v>
      </c>
      <c r="D314" s="28" t="s">
        <v>293</v>
      </c>
      <c r="E314" s="57"/>
      <c r="F314" s="29"/>
      <c r="G314" s="30">
        <f>SUM(G315)+G318</f>
        <v>0</v>
      </c>
      <c r="H314" s="30">
        <f aca="true" t="shared" si="12" ref="G314:H316">SUM(H315)</f>
        <v>0</v>
      </c>
      <c r="I314" s="30" t="e">
        <f t="shared" si="11"/>
        <v>#DIV/0!</v>
      </c>
    </row>
    <row r="315" spans="1:9" ht="15" hidden="1">
      <c r="A315" s="31" t="s">
        <v>67</v>
      </c>
      <c r="B315" s="27"/>
      <c r="C315" s="28" t="s">
        <v>950</v>
      </c>
      <c r="D315" s="28" t="s">
        <v>293</v>
      </c>
      <c r="E315" s="57" t="s">
        <v>68</v>
      </c>
      <c r="F315" s="29"/>
      <c r="G315" s="30">
        <f t="shared" si="12"/>
        <v>0</v>
      </c>
      <c r="H315" s="30">
        <f t="shared" si="12"/>
        <v>0</v>
      </c>
      <c r="I315" s="30" t="e">
        <f t="shared" si="11"/>
        <v>#DIV/0!</v>
      </c>
    </row>
    <row r="316" spans="1:9" ht="42.75" hidden="1">
      <c r="A316" s="31" t="s">
        <v>320</v>
      </c>
      <c r="B316" s="27"/>
      <c r="C316" s="28" t="s">
        <v>950</v>
      </c>
      <c r="D316" s="28" t="s">
        <v>293</v>
      </c>
      <c r="E316" s="57" t="s">
        <v>321</v>
      </c>
      <c r="F316" s="29"/>
      <c r="G316" s="30">
        <f t="shared" si="12"/>
        <v>0</v>
      </c>
      <c r="H316" s="30">
        <f t="shared" si="12"/>
        <v>0</v>
      </c>
      <c r="I316" s="30" t="e">
        <f t="shared" si="11"/>
        <v>#DIV/0!</v>
      </c>
    </row>
    <row r="317" spans="1:9" ht="15" hidden="1">
      <c r="A317" s="26" t="s">
        <v>41</v>
      </c>
      <c r="B317" s="27"/>
      <c r="C317" s="28" t="s">
        <v>950</v>
      </c>
      <c r="D317" s="28" t="s">
        <v>293</v>
      </c>
      <c r="E317" s="57" t="s">
        <v>321</v>
      </c>
      <c r="F317" s="29" t="s">
        <v>42</v>
      </c>
      <c r="G317" s="30"/>
      <c r="H317" s="30"/>
      <c r="I317" s="30" t="e">
        <f t="shared" si="11"/>
        <v>#DIV/0!</v>
      </c>
    </row>
    <row r="318" spans="1:9" ht="15" hidden="1">
      <c r="A318" s="26" t="s">
        <v>20</v>
      </c>
      <c r="B318" s="27"/>
      <c r="C318" s="28" t="s">
        <v>950</v>
      </c>
      <c r="D318" s="28" t="s">
        <v>293</v>
      </c>
      <c r="E318" s="57" t="s">
        <v>21</v>
      </c>
      <c r="F318" s="29"/>
      <c r="G318" s="30">
        <f>SUM(G319)</f>
        <v>0</v>
      </c>
      <c r="H318" s="30"/>
      <c r="I318" s="30"/>
    </row>
    <row r="319" spans="1:9" ht="44.25" customHeight="1" hidden="1">
      <c r="A319" s="26" t="s">
        <v>317</v>
      </c>
      <c r="B319" s="27"/>
      <c r="C319" s="28" t="s">
        <v>950</v>
      </c>
      <c r="D319" s="28" t="s">
        <v>293</v>
      </c>
      <c r="E319" s="57" t="s">
        <v>318</v>
      </c>
      <c r="F319" s="29"/>
      <c r="G319" s="30">
        <f>SUM(G320)</f>
        <v>0</v>
      </c>
      <c r="H319" s="30"/>
      <c r="I319" s="30"/>
    </row>
    <row r="320" spans="1:9" ht="15" hidden="1">
      <c r="A320" s="46" t="s">
        <v>41</v>
      </c>
      <c r="B320" s="27"/>
      <c r="C320" s="28" t="s">
        <v>950</v>
      </c>
      <c r="D320" s="28" t="s">
        <v>293</v>
      </c>
      <c r="E320" s="57" t="s">
        <v>318</v>
      </c>
      <c r="F320" s="29" t="s">
        <v>42</v>
      </c>
      <c r="G320" s="30">
        <f>330-330</f>
        <v>0</v>
      </c>
      <c r="H320" s="30"/>
      <c r="I320" s="30"/>
    </row>
    <row r="321" spans="1:9" ht="22.5" customHeight="1">
      <c r="A321" s="26" t="s">
        <v>4</v>
      </c>
      <c r="B321" s="27"/>
      <c r="C321" s="28" t="s">
        <v>5</v>
      </c>
      <c r="D321" s="28"/>
      <c r="E321" s="28"/>
      <c r="F321" s="29"/>
      <c r="G321" s="30">
        <f>SUM(G327+G336)+G322</f>
        <v>21977.3</v>
      </c>
      <c r="H321" s="30">
        <f>SUM(H327+H336)</f>
        <v>53529</v>
      </c>
      <c r="I321" s="30">
        <f t="shared" si="11"/>
        <v>243.56495110864392</v>
      </c>
    </row>
    <row r="322" spans="1:9" ht="23.25" customHeight="1">
      <c r="A322" s="26" t="s">
        <v>322</v>
      </c>
      <c r="B322" s="27"/>
      <c r="C322" s="28" t="s">
        <v>5</v>
      </c>
      <c r="D322" s="28" t="s">
        <v>983</v>
      </c>
      <c r="E322" s="28"/>
      <c r="F322" s="29"/>
      <c r="G322" s="30">
        <f>SUM(G323)</f>
        <v>13007</v>
      </c>
      <c r="H322" s="30"/>
      <c r="I322" s="30"/>
    </row>
    <row r="323" spans="1:9" ht="23.25" customHeight="1">
      <c r="A323" s="26" t="s">
        <v>67</v>
      </c>
      <c r="B323" s="27"/>
      <c r="C323" s="28" t="s">
        <v>5</v>
      </c>
      <c r="D323" s="28" t="s">
        <v>983</v>
      </c>
      <c r="E323" s="28" t="s">
        <v>68</v>
      </c>
      <c r="F323" s="29"/>
      <c r="G323" s="30">
        <f>SUM(G324)</f>
        <v>13007</v>
      </c>
      <c r="H323" s="30"/>
      <c r="I323" s="30"/>
    </row>
    <row r="324" spans="1:9" ht="45.75" customHeight="1">
      <c r="A324" s="26" t="s">
        <v>323</v>
      </c>
      <c r="B324" s="27"/>
      <c r="C324" s="28" t="s">
        <v>5</v>
      </c>
      <c r="D324" s="28" t="s">
        <v>983</v>
      </c>
      <c r="E324" s="28" t="s">
        <v>324</v>
      </c>
      <c r="F324" s="29"/>
      <c r="G324" s="30">
        <f>SUM(G325)</f>
        <v>13007</v>
      </c>
      <c r="H324" s="30"/>
      <c r="I324" s="30"/>
    </row>
    <row r="325" spans="1:9" ht="21.75" customHeight="1">
      <c r="A325" s="26" t="s">
        <v>41</v>
      </c>
      <c r="B325" s="27"/>
      <c r="C325" s="28" t="s">
        <v>5</v>
      </c>
      <c r="D325" s="28" t="s">
        <v>983</v>
      </c>
      <c r="E325" s="28" t="s">
        <v>324</v>
      </c>
      <c r="F325" s="29" t="s">
        <v>42</v>
      </c>
      <c r="G325" s="30">
        <f>12140+867</f>
        <v>13007</v>
      </c>
      <c r="H325" s="30"/>
      <c r="I325" s="30"/>
    </row>
    <row r="326" spans="1:9" ht="27" customHeight="1" hidden="1">
      <c r="A326" s="26"/>
      <c r="B326" s="27"/>
      <c r="C326" s="28"/>
      <c r="D326" s="28"/>
      <c r="E326" s="28"/>
      <c r="F326" s="29"/>
      <c r="G326" s="30"/>
      <c r="H326" s="30"/>
      <c r="I326" s="30"/>
    </row>
    <row r="327" spans="1:9" ht="15" hidden="1">
      <c r="A327" s="26" t="s">
        <v>6</v>
      </c>
      <c r="B327" s="27"/>
      <c r="C327" s="28" t="s">
        <v>5</v>
      </c>
      <c r="D327" s="28" t="s">
        <v>7</v>
      </c>
      <c r="E327" s="28"/>
      <c r="F327" s="29"/>
      <c r="G327" s="30">
        <f>SUM(G331)+G328</f>
        <v>0</v>
      </c>
      <c r="H327" s="30">
        <f>SUM(H331)+H328</f>
        <v>53329</v>
      </c>
      <c r="I327" s="30" t="e">
        <f t="shared" si="11"/>
        <v>#DIV/0!</v>
      </c>
    </row>
    <row r="328" spans="1:9" ht="28.5" hidden="1">
      <c r="A328" s="26" t="s">
        <v>8</v>
      </c>
      <c r="B328" s="27"/>
      <c r="C328" s="28" t="s">
        <v>5</v>
      </c>
      <c r="D328" s="28" t="s">
        <v>7</v>
      </c>
      <c r="E328" s="28" t="s">
        <v>9</v>
      </c>
      <c r="F328" s="29"/>
      <c r="G328" s="30">
        <f>SUM(G329)+G330</f>
        <v>0</v>
      </c>
      <c r="H328" s="30">
        <f>SUM(H329)+H330</f>
        <v>22622.6</v>
      </c>
      <c r="I328" s="30" t="e">
        <f t="shared" si="11"/>
        <v>#DIV/0!</v>
      </c>
    </row>
    <row r="329" spans="1:9" ht="18" customHeight="1" hidden="1">
      <c r="A329" s="26" t="s">
        <v>10</v>
      </c>
      <c r="B329" s="27"/>
      <c r="C329" s="28" t="s">
        <v>5</v>
      </c>
      <c r="D329" s="28" t="s">
        <v>7</v>
      </c>
      <c r="E329" s="28" t="s">
        <v>9</v>
      </c>
      <c r="F329" s="29" t="s">
        <v>11</v>
      </c>
      <c r="G329" s="30"/>
      <c r="H329" s="30">
        <v>22622.6</v>
      </c>
      <c r="I329" s="30" t="e">
        <f t="shared" si="11"/>
        <v>#DIV/0!</v>
      </c>
    </row>
    <row r="330" spans="1:9" ht="28.5" customHeight="1" hidden="1">
      <c r="A330" s="26" t="s">
        <v>947</v>
      </c>
      <c r="B330" s="27"/>
      <c r="C330" s="28" t="s">
        <v>5</v>
      </c>
      <c r="D330" s="28" t="s">
        <v>7</v>
      </c>
      <c r="E330" s="28" t="s">
        <v>9</v>
      </c>
      <c r="F330" s="29" t="s">
        <v>948</v>
      </c>
      <c r="G330" s="30"/>
      <c r="H330" s="30"/>
      <c r="I330" s="30" t="e">
        <f t="shared" si="11"/>
        <v>#DIV/0!</v>
      </c>
    </row>
    <row r="331" spans="1:9" ht="18.75" customHeight="1" hidden="1">
      <c r="A331" s="26" t="s">
        <v>12</v>
      </c>
      <c r="B331" s="27"/>
      <c r="C331" s="28" t="s">
        <v>5</v>
      </c>
      <c r="D331" s="28" t="s">
        <v>7</v>
      </c>
      <c r="E331" s="28" t="s">
        <v>13</v>
      </c>
      <c r="F331" s="29"/>
      <c r="G331" s="30">
        <f>SUM(G332)</f>
        <v>0</v>
      </c>
      <c r="H331" s="30">
        <f>SUM(H332)</f>
        <v>30706.4</v>
      </c>
      <c r="I331" s="30" t="e">
        <f t="shared" si="11"/>
        <v>#DIV/0!</v>
      </c>
    </row>
    <row r="332" spans="1:9" ht="30" customHeight="1" hidden="1">
      <c r="A332" s="26" t="s">
        <v>325</v>
      </c>
      <c r="B332" s="27"/>
      <c r="C332" s="28" t="s">
        <v>5</v>
      </c>
      <c r="D332" s="28" t="s">
        <v>7</v>
      </c>
      <c r="E332" s="28" t="s">
        <v>15</v>
      </c>
      <c r="F332" s="29"/>
      <c r="G332" s="30">
        <f>SUM(G333+G334)</f>
        <v>0</v>
      </c>
      <c r="H332" s="30">
        <f>SUM(H333+H334)</f>
        <v>30706.4</v>
      </c>
      <c r="I332" s="30" t="e">
        <f t="shared" si="11"/>
        <v>#DIV/0!</v>
      </c>
    </row>
    <row r="333" spans="1:9" ht="14.25" customHeight="1" hidden="1">
      <c r="A333" s="26" t="s">
        <v>10</v>
      </c>
      <c r="B333" s="27"/>
      <c r="C333" s="28" t="s">
        <v>5</v>
      </c>
      <c r="D333" s="28" t="s">
        <v>7</v>
      </c>
      <c r="E333" s="28" t="s">
        <v>15</v>
      </c>
      <c r="F333" s="29" t="s">
        <v>11</v>
      </c>
      <c r="G333" s="30"/>
      <c r="H333" s="30">
        <v>30706.4</v>
      </c>
      <c r="I333" s="30" t="e">
        <f t="shared" si="11"/>
        <v>#DIV/0!</v>
      </c>
    </row>
    <row r="334" spans="1:9" ht="71.25" hidden="1">
      <c r="A334" s="26" t="s">
        <v>16</v>
      </c>
      <c r="B334" s="27"/>
      <c r="C334" s="28" t="s">
        <v>5</v>
      </c>
      <c r="D334" s="28" t="s">
        <v>7</v>
      </c>
      <c r="E334" s="28" t="s">
        <v>17</v>
      </c>
      <c r="F334" s="29"/>
      <c r="G334" s="30">
        <f>SUM(G335)</f>
        <v>0</v>
      </c>
      <c r="H334" s="30">
        <f>SUM(H335)</f>
        <v>0</v>
      </c>
      <c r="I334" s="30" t="e">
        <f t="shared" si="11"/>
        <v>#DIV/0!</v>
      </c>
    </row>
    <row r="335" spans="1:9" ht="14.25" customHeight="1" hidden="1">
      <c r="A335" s="26" t="s">
        <v>10</v>
      </c>
      <c r="B335" s="27"/>
      <c r="C335" s="28" t="s">
        <v>5</v>
      </c>
      <c r="D335" s="28" t="s">
        <v>7</v>
      </c>
      <c r="E335" s="28" t="s">
        <v>17</v>
      </c>
      <c r="F335" s="29" t="s">
        <v>11</v>
      </c>
      <c r="G335" s="30"/>
      <c r="H335" s="30"/>
      <c r="I335" s="30" t="e">
        <f t="shared" si="11"/>
        <v>#DIV/0!</v>
      </c>
    </row>
    <row r="336" spans="1:9" ht="21.75" customHeight="1">
      <c r="A336" s="26" t="s">
        <v>18</v>
      </c>
      <c r="B336" s="27"/>
      <c r="C336" s="28" t="s">
        <v>5</v>
      </c>
      <c r="D336" s="28" t="s">
        <v>19</v>
      </c>
      <c r="E336" s="28"/>
      <c r="F336" s="29"/>
      <c r="G336" s="30">
        <f>SUM(G340+G343+G348+G337)+G345</f>
        <v>8970.3</v>
      </c>
      <c r="H336" s="30">
        <f>SUM(H340+H343+H348+H337)</f>
        <v>200</v>
      </c>
      <c r="I336" s="30">
        <f t="shared" si="11"/>
        <v>2.2295798356799663</v>
      </c>
    </row>
    <row r="337" spans="1:9" ht="16.5" customHeight="1" hidden="1">
      <c r="A337" s="26" t="s">
        <v>51</v>
      </c>
      <c r="B337" s="28"/>
      <c r="C337" s="28" t="s">
        <v>5</v>
      </c>
      <c r="D337" s="28" t="s">
        <v>19</v>
      </c>
      <c r="E337" s="28" t="s">
        <v>52</v>
      </c>
      <c r="F337" s="29"/>
      <c r="G337" s="30">
        <f>SUM(G339)</f>
        <v>0</v>
      </c>
      <c r="H337" s="30">
        <f>SUM(H339)</f>
        <v>0</v>
      </c>
      <c r="I337" s="30" t="e">
        <f t="shared" si="11"/>
        <v>#DIV/0!</v>
      </c>
    </row>
    <row r="338" spans="1:9" ht="28.5" customHeight="1" hidden="1">
      <c r="A338" s="26" t="s">
        <v>53</v>
      </c>
      <c r="B338" s="28"/>
      <c r="C338" s="28"/>
      <c r="D338" s="28"/>
      <c r="E338" s="57" t="s">
        <v>54</v>
      </c>
      <c r="F338" s="29"/>
      <c r="G338" s="30">
        <f>SUM(G339)</f>
        <v>0</v>
      </c>
      <c r="H338" s="30">
        <f>SUM(H339)</f>
        <v>0</v>
      </c>
      <c r="I338" s="30" t="e">
        <f t="shared" si="11"/>
        <v>#DIV/0!</v>
      </c>
    </row>
    <row r="339" spans="1:9" s="59" customFormat="1" ht="19.5" customHeight="1" hidden="1">
      <c r="A339" s="26" t="s">
        <v>41</v>
      </c>
      <c r="B339" s="28"/>
      <c r="C339" s="28" t="s">
        <v>5</v>
      </c>
      <c r="D339" s="28" t="s">
        <v>19</v>
      </c>
      <c r="E339" s="57" t="s">
        <v>54</v>
      </c>
      <c r="F339" s="29" t="s">
        <v>42</v>
      </c>
      <c r="G339" s="30"/>
      <c r="H339" s="30"/>
      <c r="I339" s="30" t="e">
        <f t="shared" si="11"/>
        <v>#DIV/0!</v>
      </c>
    </row>
    <row r="340" spans="1:11" s="43" customFormat="1" ht="27.75" customHeight="1">
      <c r="A340" s="60" t="s">
        <v>326</v>
      </c>
      <c r="B340" s="28"/>
      <c r="C340" s="28" t="s">
        <v>5</v>
      </c>
      <c r="D340" s="28" t="s">
        <v>19</v>
      </c>
      <c r="E340" s="28" t="s">
        <v>327</v>
      </c>
      <c r="F340" s="29"/>
      <c r="G340" s="30">
        <f>SUM(G342)+G341</f>
        <v>4942.8</v>
      </c>
      <c r="H340" s="30">
        <f>SUM(H342)</f>
        <v>0</v>
      </c>
      <c r="I340" s="30">
        <f t="shared" si="11"/>
        <v>0</v>
      </c>
      <c r="K340" s="78"/>
    </row>
    <row r="341" spans="1:9" s="43" customFormat="1" ht="21.75" customHeight="1">
      <c r="A341" s="60" t="s">
        <v>10</v>
      </c>
      <c r="B341" s="28"/>
      <c r="C341" s="28" t="s">
        <v>5</v>
      </c>
      <c r="D341" s="28" t="s">
        <v>19</v>
      </c>
      <c r="E341" s="28" t="s">
        <v>327</v>
      </c>
      <c r="F341" s="29" t="s">
        <v>11</v>
      </c>
      <c r="G341" s="30">
        <v>4843.8</v>
      </c>
      <c r="H341" s="30"/>
      <c r="I341" s="30"/>
    </row>
    <row r="342" spans="1:9" s="43" customFormat="1" ht="26.25" customHeight="1">
      <c r="A342" s="26" t="s">
        <v>947</v>
      </c>
      <c r="B342" s="28"/>
      <c r="C342" s="28" t="s">
        <v>5</v>
      </c>
      <c r="D342" s="28" t="s">
        <v>19</v>
      </c>
      <c r="E342" s="28" t="s">
        <v>327</v>
      </c>
      <c r="F342" s="29" t="s">
        <v>948</v>
      </c>
      <c r="G342" s="30">
        <f>5000-4843.8-57.2</f>
        <v>98.99999999999982</v>
      </c>
      <c r="H342" s="30">
        <f>5050-2000-3050</f>
        <v>0</v>
      </c>
      <c r="I342" s="30">
        <f t="shared" si="11"/>
        <v>0</v>
      </c>
    </row>
    <row r="343" spans="1:9" s="43" customFormat="1" ht="27" customHeight="1" hidden="1">
      <c r="A343" s="26" t="s">
        <v>328</v>
      </c>
      <c r="B343" s="27"/>
      <c r="C343" s="28" t="s">
        <v>5</v>
      </c>
      <c r="D343" s="28" t="s">
        <v>19</v>
      </c>
      <c r="E343" s="28" t="s">
        <v>329</v>
      </c>
      <c r="F343" s="29"/>
      <c r="G343" s="30">
        <f>SUM(G344)</f>
        <v>0</v>
      </c>
      <c r="H343" s="30">
        <f>SUM(H344)</f>
        <v>200</v>
      </c>
      <c r="I343" s="30" t="e">
        <f t="shared" si="11"/>
        <v>#DIV/0!</v>
      </c>
    </row>
    <row r="344" spans="1:9" s="43" customFormat="1" ht="27" customHeight="1" hidden="1">
      <c r="A344" s="26" t="s">
        <v>330</v>
      </c>
      <c r="B344" s="27"/>
      <c r="C344" s="28" t="s">
        <v>5</v>
      </c>
      <c r="D344" s="28" t="s">
        <v>19</v>
      </c>
      <c r="E344" s="28" t="s">
        <v>331</v>
      </c>
      <c r="F344" s="29"/>
      <c r="G344" s="30"/>
      <c r="H344" s="30">
        <f>SUM(H345)</f>
        <v>200</v>
      </c>
      <c r="I344" s="30" t="e">
        <f t="shared" si="11"/>
        <v>#DIV/0!</v>
      </c>
    </row>
    <row r="345" spans="1:9" s="43" customFormat="1" ht="21.75" customHeight="1">
      <c r="A345" s="26" t="s">
        <v>67</v>
      </c>
      <c r="B345" s="27"/>
      <c r="C345" s="28" t="s">
        <v>5</v>
      </c>
      <c r="D345" s="28" t="s">
        <v>19</v>
      </c>
      <c r="E345" s="28" t="s">
        <v>68</v>
      </c>
      <c r="F345" s="29"/>
      <c r="G345" s="30">
        <f>SUM(G346)</f>
        <v>800</v>
      </c>
      <c r="H345" s="30">
        <v>200</v>
      </c>
      <c r="I345" s="30">
        <f t="shared" si="11"/>
        <v>25</v>
      </c>
    </row>
    <row r="346" spans="1:9" s="79" customFormat="1" ht="63" customHeight="1">
      <c r="A346" s="26" t="s">
        <v>332</v>
      </c>
      <c r="B346" s="27"/>
      <c r="C346" s="28" t="s">
        <v>5</v>
      </c>
      <c r="D346" s="28" t="s">
        <v>19</v>
      </c>
      <c r="E346" s="28" t="s">
        <v>218</v>
      </c>
      <c r="F346" s="29"/>
      <c r="G346" s="30">
        <f>SUM(G347)</f>
        <v>800</v>
      </c>
      <c r="H346" s="30">
        <f>SUM(H347)</f>
        <v>0</v>
      </c>
      <c r="I346" s="30">
        <f t="shared" si="11"/>
        <v>0</v>
      </c>
    </row>
    <row r="347" spans="1:9" s="43" customFormat="1" ht="26.25" customHeight="1">
      <c r="A347" s="26" t="s">
        <v>947</v>
      </c>
      <c r="B347" s="28"/>
      <c r="C347" s="28" t="s">
        <v>5</v>
      </c>
      <c r="D347" s="28" t="s">
        <v>19</v>
      </c>
      <c r="E347" s="28" t="s">
        <v>218</v>
      </c>
      <c r="F347" s="29" t="s">
        <v>948</v>
      </c>
      <c r="G347" s="30">
        <f>1600-800</f>
        <v>800</v>
      </c>
      <c r="H347" s="30"/>
      <c r="I347" s="30">
        <f t="shared" si="11"/>
        <v>0</v>
      </c>
    </row>
    <row r="348" spans="1:9" s="43" customFormat="1" ht="21" customHeight="1">
      <c r="A348" s="26" t="s">
        <v>20</v>
      </c>
      <c r="B348" s="27"/>
      <c r="C348" s="28" t="s">
        <v>5</v>
      </c>
      <c r="D348" s="28" t="s">
        <v>19</v>
      </c>
      <c r="E348" s="28" t="s">
        <v>21</v>
      </c>
      <c r="F348" s="29"/>
      <c r="G348" s="30">
        <f>SUM(G349)</f>
        <v>3227.5</v>
      </c>
      <c r="H348" s="30">
        <f>SUM(H349)</f>
        <v>0</v>
      </c>
      <c r="I348" s="30">
        <f t="shared" si="11"/>
        <v>0</v>
      </c>
    </row>
    <row r="349" spans="1:9" s="43" customFormat="1" ht="28.5">
      <c r="A349" s="26" t="s">
        <v>947</v>
      </c>
      <c r="B349" s="27"/>
      <c r="C349" s="28" t="s">
        <v>5</v>
      </c>
      <c r="D349" s="28" t="s">
        <v>19</v>
      </c>
      <c r="E349" s="28" t="s">
        <v>21</v>
      </c>
      <c r="F349" s="29" t="s">
        <v>948</v>
      </c>
      <c r="G349" s="30">
        <f>SUM(G350)+G351</f>
        <v>3227.5</v>
      </c>
      <c r="H349" s="30">
        <f>SUM(H350:H351)</f>
        <v>0</v>
      </c>
      <c r="I349" s="30">
        <f t="shared" si="11"/>
        <v>0</v>
      </c>
    </row>
    <row r="350" spans="1:9" s="43" customFormat="1" ht="42.75" customHeight="1">
      <c r="A350" s="44" t="s">
        <v>333</v>
      </c>
      <c r="B350" s="27"/>
      <c r="C350" s="28" t="s">
        <v>5</v>
      </c>
      <c r="D350" s="28" t="s">
        <v>19</v>
      </c>
      <c r="E350" s="28" t="s">
        <v>334</v>
      </c>
      <c r="F350" s="29" t="s">
        <v>948</v>
      </c>
      <c r="G350" s="50">
        <f>822.5+1.5+5.5</f>
        <v>829.5</v>
      </c>
      <c r="H350" s="50"/>
      <c r="I350" s="30">
        <f t="shared" si="11"/>
        <v>0</v>
      </c>
    </row>
    <row r="351" spans="1:9" s="43" customFormat="1" ht="53.25" customHeight="1">
      <c r="A351" s="44" t="s">
        <v>335</v>
      </c>
      <c r="B351" s="27"/>
      <c r="C351" s="28" t="s">
        <v>5</v>
      </c>
      <c r="D351" s="28" t="s">
        <v>19</v>
      </c>
      <c r="E351" s="28" t="s">
        <v>230</v>
      </c>
      <c r="F351" s="29" t="s">
        <v>948</v>
      </c>
      <c r="G351" s="50">
        <f>2529-131</f>
        <v>2398</v>
      </c>
      <c r="H351" s="50"/>
      <c r="I351" s="30">
        <f t="shared" si="11"/>
        <v>0</v>
      </c>
    </row>
    <row r="352" spans="1:9" s="43" customFormat="1" ht="18" customHeight="1">
      <c r="A352" s="26" t="s">
        <v>30</v>
      </c>
      <c r="B352" s="27"/>
      <c r="C352" s="28" t="s">
        <v>31</v>
      </c>
      <c r="D352" s="28"/>
      <c r="E352" s="28"/>
      <c r="F352" s="29"/>
      <c r="G352" s="30">
        <f>SUM(G353+G406+G433+G462)</f>
        <v>143614.7</v>
      </c>
      <c r="H352" s="30">
        <f>SUM(H353+H406+H433+H462)</f>
        <v>127351.2</v>
      </c>
      <c r="I352" s="30">
        <f t="shared" si="11"/>
        <v>88.67560214936215</v>
      </c>
    </row>
    <row r="353" spans="1:9" s="43" customFormat="1" ht="15">
      <c r="A353" s="26" t="s">
        <v>32</v>
      </c>
      <c r="B353" s="27"/>
      <c r="C353" s="28" t="s">
        <v>31</v>
      </c>
      <c r="D353" s="28" t="s">
        <v>940</v>
      </c>
      <c r="E353" s="28"/>
      <c r="F353" s="29"/>
      <c r="G353" s="30">
        <f>SUM(G374+G396+G366+G379+G354+G393)</f>
        <v>92938.9</v>
      </c>
      <c r="H353" s="30">
        <f>SUM(H374+H396+H366+H379+H354)</f>
        <v>24076.4</v>
      </c>
      <c r="I353" s="30">
        <f t="shared" si="11"/>
        <v>25.905621865548227</v>
      </c>
    </row>
    <row r="354" spans="1:9" ht="49.5" customHeight="1">
      <c r="A354" s="44" t="s">
        <v>33</v>
      </c>
      <c r="B354" s="45"/>
      <c r="C354" s="28" t="s">
        <v>31</v>
      </c>
      <c r="D354" s="28" t="s">
        <v>940</v>
      </c>
      <c r="E354" s="28" t="s">
        <v>34</v>
      </c>
      <c r="F354" s="29"/>
      <c r="G354" s="30">
        <f>SUM(G355+G362)</f>
        <v>92938.9</v>
      </c>
      <c r="H354" s="30">
        <f>SUM(H355+H362)</f>
        <v>23798.300000000003</v>
      </c>
      <c r="I354" s="30">
        <f t="shared" si="11"/>
        <v>25.606393017347962</v>
      </c>
    </row>
    <row r="355" spans="1:9" ht="92.25" customHeight="1">
      <c r="A355" s="44" t="s">
        <v>35</v>
      </c>
      <c r="B355" s="45"/>
      <c r="C355" s="28" t="s">
        <v>31</v>
      </c>
      <c r="D355" s="28" t="s">
        <v>940</v>
      </c>
      <c r="E355" s="28" t="s">
        <v>36</v>
      </c>
      <c r="F355" s="29"/>
      <c r="G355" s="30">
        <f>SUM(G356+G358+G360)</f>
        <v>56648.5</v>
      </c>
      <c r="H355" s="30">
        <f>SUM(H356+H358+H360)</f>
        <v>20414.4</v>
      </c>
      <c r="I355" s="30">
        <f t="shared" si="11"/>
        <v>36.036964791653794</v>
      </c>
    </row>
    <row r="356" spans="1:9" ht="78" customHeight="1" hidden="1">
      <c r="A356" s="44" t="s">
        <v>37</v>
      </c>
      <c r="B356" s="45"/>
      <c r="C356" s="28" t="s">
        <v>31</v>
      </c>
      <c r="D356" s="28" t="s">
        <v>940</v>
      </c>
      <c r="E356" s="28" t="s">
        <v>38</v>
      </c>
      <c r="F356" s="29"/>
      <c r="G356" s="30">
        <f>SUM(G357)</f>
        <v>0</v>
      </c>
      <c r="H356" s="30">
        <f>SUM(H357)</f>
        <v>15652.8</v>
      </c>
      <c r="I356" s="30" t="e">
        <f t="shared" si="11"/>
        <v>#DIV/0!</v>
      </c>
    </row>
    <row r="357" spans="1:9" ht="15" hidden="1">
      <c r="A357" s="26" t="s">
        <v>10</v>
      </c>
      <c r="B357" s="27"/>
      <c r="C357" s="28" t="s">
        <v>31</v>
      </c>
      <c r="D357" s="28" t="s">
        <v>940</v>
      </c>
      <c r="E357" s="28" t="s">
        <v>38</v>
      </c>
      <c r="F357" s="29" t="s">
        <v>11</v>
      </c>
      <c r="G357" s="30"/>
      <c r="H357" s="30">
        <v>15652.8</v>
      </c>
      <c r="I357" s="30" t="e">
        <f aca="true" t="shared" si="13" ref="I357:I420">SUM(H357/G357*100)</f>
        <v>#DIV/0!</v>
      </c>
    </row>
    <row r="358" spans="1:9" ht="71.25">
      <c r="A358" s="44" t="s">
        <v>39</v>
      </c>
      <c r="B358" s="45"/>
      <c r="C358" s="28" t="s">
        <v>31</v>
      </c>
      <c r="D358" s="28" t="s">
        <v>940</v>
      </c>
      <c r="E358" s="28" t="s">
        <v>40</v>
      </c>
      <c r="F358" s="29"/>
      <c r="G358" s="30">
        <f>SUM(G359)</f>
        <v>56648.5</v>
      </c>
      <c r="H358" s="30">
        <f>SUM(H359)</f>
        <v>0</v>
      </c>
      <c r="I358" s="30">
        <f t="shared" si="13"/>
        <v>0</v>
      </c>
    </row>
    <row r="359" spans="1:9" ht="15">
      <c r="A359" s="46" t="s">
        <v>41</v>
      </c>
      <c r="B359" s="45"/>
      <c r="C359" s="28" t="s">
        <v>31</v>
      </c>
      <c r="D359" s="28" t="s">
        <v>940</v>
      </c>
      <c r="E359" s="28" t="s">
        <v>40</v>
      </c>
      <c r="F359" s="29" t="s">
        <v>42</v>
      </c>
      <c r="G359" s="30">
        <v>56648.5</v>
      </c>
      <c r="H359" s="30"/>
      <c r="I359" s="30">
        <f t="shared" si="13"/>
        <v>0</v>
      </c>
    </row>
    <row r="360" spans="1:9" ht="92.25" customHeight="1" hidden="1">
      <c r="A360" s="44" t="s">
        <v>43</v>
      </c>
      <c r="B360" s="45"/>
      <c r="C360" s="28" t="s">
        <v>31</v>
      </c>
      <c r="D360" s="28" t="s">
        <v>940</v>
      </c>
      <c r="E360" s="28" t="s">
        <v>44</v>
      </c>
      <c r="F360" s="29"/>
      <c r="G360" s="30">
        <f>SUM(G361)</f>
        <v>0</v>
      </c>
      <c r="H360" s="30">
        <f>SUM(H361)</f>
        <v>4761.6</v>
      </c>
      <c r="I360" s="30" t="e">
        <f t="shared" si="13"/>
        <v>#DIV/0!</v>
      </c>
    </row>
    <row r="361" spans="1:9" ht="15" hidden="1">
      <c r="A361" s="46" t="s">
        <v>41</v>
      </c>
      <c r="B361" s="45"/>
      <c r="C361" s="28" t="s">
        <v>31</v>
      </c>
      <c r="D361" s="28" t="s">
        <v>940</v>
      </c>
      <c r="E361" s="28" t="s">
        <v>44</v>
      </c>
      <c r="F361" s="29" t="s">
        <v>42</v>
      </c>
      <c r="G361" s="30"/>
      <c r="H361" s="30">
        <v>4761.6</v>
      </c>
      <c r="I361" s="30" t="e">
        <f t="shared" si="13"/>
        <v>#DIV/0!</v>
      </c>
    </row>
    <row r="362" spans="1:9" ht="57">
      <c r="A362" s="26" t="s">
        <v>45</v>
      </c>
      <c r="B362" s="45"/>
      <c r="C362" s="28" t="s">
        <v>31</v>
      </c>
      <c r="D362" s="28" t="s">
        <v>940</v>
      </c>
      <c r="E362" s="28" t="s">
        <v>46</v>
      </c>
      <c r="F362" s="29"/>
      <c r="G362" s="30">
        <f>SUM(G363)+G369+G372</f>
        <v>36290.4</v>
      </c>
      <c r="H362" s="30">
        <f>SUM(H363)+H369+H372</f>
        <v>3383.9</v>
      </c>
      <c r="I362" s="30">
        <f t="shared" si="13"/>
        <v>9.324504552168067</v>
      </c>
    </row>
    <row r="363" spans="1:9" ht="36.75" customHeight="1" hidden="1">
      <c r="A363" s="26" t="s">
        <v>47</v>
      </c>
      <c r="B363" s="45"/>
      <c r="C363" s="28" t="s">
        <v>31</v>
      </c>
      <c r="D363" s="28" t="s">
        <v>940</v>
      </c>
      <c r="E363" s="28" t="s">
        <v>48</v>
      </c>
      <c r="F363" s="29"/>
      <c r="G363" s="30">
        <f>SUM(G364+G365)</f>
        <v>0</v>
      </c>
      <c r="H363" s="30">
        <f>SUM(H364+H365)</f>
        <v>1562</v>
      </c>
      <c r="I363" s="30" t="e">
        <f t="shared" si="13"/>
        <v>#DIV/0!</v>
      </c>
    </row>
    <row r="364" spans="1:9" ht="21" customHeight="1" hidden="1">
      <c r="A364" s="47" t="s">
        <v>10</v>
      </c>
      <c r="B364" s="45"/>
      <c r="C364" s="28" t="s">
        <v>31</v>
      </c>
      <c r="D364" s="28" t="s">
        <v>940</v>
      </c>
      <c r="E364" s="28" t="s">
        <v>48</v>
      </c>
      <c r="F364" s="29" t="s">
        <v>11</v>
      </c>
      <c r="G364" s="30"/>
      <c r="H364" s="30">
        <v>233.9</v>
      </c>
      <c r="I364" s="30" t="e">
        <f t="shared" si="13"/>
        <v>#DIV/0!</v>
      </c>
    </row>
    <row r="365" spans="1:9" ht="30" customHeight="1" hidden="1">
      <c r="A365" s="47" t="s">
        <v>49</v>
      </c>
      <c r="B365" s="45"/>
      <c r="C365" s="28" t="s">
        <v>31</v>
      </c>
      <c r="D365" s="28" t="s">
        <v>940</v>
      </c>
      <c r="E365" s="28" t="s">
        <v>48</v>
      </c>
      <c r="F365" s="29" t="s">
        <v>50</v>
      </c>
      <c r="G365" s="30"/>
      <c r="H365" s="30">
        <v>1328.1</v>
      </c>
      <c r="I365" s="30" t="e">
        <f t="shared" si="13"/>
        <v>#DIV/0!</v>
      </c>
    </row>
    <row r="366" spans="1:9" ht="18.75" customHeight="1" hidden="1">
      <c r="A366" s="26" t="s">
        <v>51</v>
      </c>
      <c r="B366" s="27"/>
      <c r="C366" s="28" t="s">
        <v>31</v>
      </c>
      <c r="D366" s="28" t="s">
        <v>940</v>
      </c>
      <c r="E366" s="28" t="s">
        <v>52</v>
      </c>
      <c r="F366" s="29"/>
      <c r="G366" s="30">
        <f>SUM(G367)</f>
        <v>0</v>
      </c>
      <c r="H366" s="30">
        <f>SUM(H367)</f>
        <v>0</v>
      </c>
      <c r="I366" s="30" t="e">
        <f t="shared" si="13"/>
        <v>#DIV/0!</v>
      </c>
    </row>
    <row r="367" spans="1:9" ht="18" customHeight="1" hidden="1">
      <c r="A367" s="26" t="s">
        <v>53</v>
      </c>
      <c r="B367" s="27"/>
      <c r="C367" s="28" t="s">
        <v>31</v>
      </c>
      <c r="D367" s="28" t="s">
        <v>940</v>
      </c>
      <c r="E367" s="28" t="s">
        <v>54</v>
      </c>
      <c r="F367" s="29"/>
      <c r="G367" s="30">
        <f>SUM(G368)</f>
        <v>0</v>
      </c>
      <c r="H367" s="30">
        <f>SUM(H368)</f>
        <v>0</v>
      </c>
      <c r="I367" s="30" t="e">
        <f t="shared" si="13"/>
        <v>#DIV/0!</v>
      </c>
    </row>
    <row r="368" spans="1:9" ht="25.5" customHeight="1" hidden="1">
      <c r="A368" s="26" t="s">
        <v>41</v>
      </c>
      <c r="B368" s="27"/>
      <c r="C368" s="28" t="s">
        <v>31</v>
      </c>
      <c r="D368" s="28" t="s">
        <v>940</v>
      </c>
      <c r="E368" s="28" t="s">
        <v>54</v>
      </c>
      <c r="F368" s="29" t="s">
        <v>42</v>
      </c>
      <c r="G368" s="30"/>
      <c r="H368" s="30"/>
      <c r="I368" s="30" t="e">
        <f t="shared" si="13"/>
        <v>#DIV/0!</v>
      </c>
    </row>
    <row r="369" spans="1:9" ht="43.5" customHeight="1">
      <c r="A369" s="26" t="s">
        <v>55</v>
      </c>
      <c r="B369" s="27"/>
      <c r="C369" s="28" t="s">
        <v>31</v>
      </c>
      <c r="D369" s="28" t="s">
        <v>940</v>
      </c>
      <c r="E369" s="28" t="s">
        <v>56</v>
      </c>
      <c r="F369" s="29"/>
      <c r="G369" s="30">
        <f>SUM(G370+G371)</f>
        <v>23346.8</v>
      </c>
      <c r="H369" s="30">
        <f>SUM(H370+H371)</f>
        <v>0</v>
      </c>
      <c r="I369" s="30">
        <f t="shared" si="13"/>
        <v>0</v>
      </c>
    </row>
    <row r="370" spans="1:9" ht="19.5" customHeight="1">
      <c r="A370" s="46" t="s">
        <v>41</v>
      </c>
      <c r="B370" s="27"/>
      <c r="C370" s="28" t="s">
        <v>31</v>
      </c>
      <c r="D370" s="28" t="s">
        <v>940</v>
      </c>
      <c r="E370" s="28" t="s">
        <v>56</v>
      </c>
      <c r="F370" s="29" t="s">
        <v>42</v>
      </c>
      <c r="G370" s="30">
        <v>23346.8</v>
      </c>
      <c r="H370" s="30"/>
      <c r="I370" s="30">
        <f t="shared" si="13"/>
        <v>0</v>
      </c>
    </row>
    <row r="371" spans="1:9" ht="29.25" customHeight="1" hidden="1">
      <c r="A371" s="46" t="s">
        <v>57</v>
      </c>
      <c r="B371" s="27"/>
      <c r="C371" s="28" t="s">
        <v>31</v>
      </c>
      <c r="D371" s="28" t="s">
        <v>940</v>
      </c>
      <c r="E371" s="28" t="s">
        <v>56</v>
      </c>
      <c r="F371" s="29" t="s">
        <v>58</v>
      </c>
      <c r="G371" s="30"/>
      <c r="H371" s="30"/>
      <c r="I371" s="30" t="e">
        <f t="shared" si="13"/>
        <v>#DIV/0!</v>
      </c>
    </row>
    <row r="372" spans="1:9" ht="63" customHeight="1">
      <c r="A372" s="26" t="s">
        <v>59</v>
      </c>
      <c r="B372" s="27"/>
      <c r="C372" s="28" t="s">
        <v>31</v>
      </c>
      <c r="D372" s="28" t="s">
        <v>940</v>
      </c>
      <c r="E372" s="28" t="s">
        <v>60</v>
      </c>
      <c r="F372" s="29"/>
      <c r="G372" s="30">
        <f>SUM(G373)</f>
        <v>12943.6</v>
      </c>
      <c r="H372" s="30">
        <f>SUM(H373)</f>
        <v>1821.9</v>
      </c>
      <c r="I372" s="30">
        <f t="shared" si="13"/>
        <v>14.075682190426155</v>
      </c>
    </row>
    <row r="373" spans="1:9" ht="19.5" customHeight="1">
      <c r="A373" s="46" t="s">
        <v>41</v>
      </c>
      <c r="B373" s="27"/>
      <c r="C373" s="28" t="s">
        <v>31</v>
      </c>
      <c r="D373" s="28" t="s">
        <v>940</v>
      </c>
      <c r="E373" s="28" t="s">
        <v>60</v>
      </c>
      <c r="F373" s="29" t="s">
        <v>42</v>
      </c>
      <c r="G373" s="30">
        <f>12944-0.4</f>
        <v>12943.6</v>
      </c>
      <c r="H373" s="30">
        <v>1821.9</v>
      </c>
      <c r="I373" s="30">
        <f t="shared" si="13"/>
        <v>14.075682190426155</v>
      </c>
    </row>
    <row r="374" spans="1:9" ht="15.75" customHeight="1" hidden="1">
      <c r="A374" s="26" t="s">
        <v>61</v>
      </c>
      <c r="B374" s="27"/>
      <c r="C374" s="28" t="s">
        <v>31</v>
      </c>
      <c r="D374" s="28" t="s">
        <v>940</v>
      </c>
      <c r="E374" s="28" t="s">
        <v>62</v>
      </c>
      <c r="F374" s="29"/>
      <c r="G374" s="30">
        <f>SUM(G375+G377)</f>
        <v>0</v>
      </c>
      <c r="H374" s="30">
        <f>SUM(H375+H377)</f>
        <v>0</v>
      </c>
      <c r="I374" s="30" t="e">
        <f t="shared" si="13"/>
        <v>#DIV/0!</v>
      </c>
    </row>
    <row r="375" spans="1:9" ht="42.75" customHeight="1" hidden="1">
      <c r="A375" s="31" t="s">
        <v>63</v>
      </c>
      <c r="B375" s="27"/>
      <c r="C375" s="28" t="s">
        <v>31</v>
      </c>
      <c r="D375" s="28" t="s">
        <v>940</v>
      </c>
      <c r="E375" s="28" t="s">
        <v>64</v>
      </c>
      <c r="F375" s="29"/>
      <c r="G375" s="30">
        <f>SUM(G376)</f>
        <v>0</v>
      </c>
      <c r="H375" s="30">
        <f>SUM(H376)</f>
        <v>0</v>
      </c>
      <c r="I375" s="30" t="e">
        <f t="shared" si="13"/>
        <v>#DIV/0!</v>
      </c>
    </row>
    <row r="376" spans="1:9" ht="20.25" customHeight="1" hidden="1">
      <c r="A376" s="26" t="s">
        <v>10</v>
      </c>
      <c r="B376" s="27"/>
      <c r="C376" s="28" t="s">
        <v>31</v>
      </c>
      <c r="D376" s="28" t="s">
        <v>940</v>
      </c>
      <c r="E376" s="28" t="s">
        <v>64</v>
      </c>
      <c r="F376" s="29" t="s">
        <v>11</v>
      </c>
      <c r="G376" s="30"/>
      <c r="H376" s="30"/>
      <c r="I376" s="30" t="e">
        <f t="shared" si="13"/>
        <v>#DIV/0!</v>
      </c>
    </row>
    <row r="377" spans="1:9" ht="44.25" customHeight="1" hidden="1">
      <c r="A377" s="31" t="s">
        <v>65</v>
      </c>
      <c r="B377" s="27"/>
      <c r="C377" s="28" t="s">
        <v>31</v>
      </c>
      <c r="D377" s="28" t="s">
        <v>940</v>
      </c>
      <c r="E377" s="28" t="s">
        <v>66</v>
      </c>
      <c r="F377" s="29"/>
      <c r="G377" s="30">
        <f>SUM(G378)</f>
        <v>0</v>
      </c>
      <c r="H377" s="30">
        <f>SUM(H378)</f>
        <v>0</v>
      </c>
      <c r="I377" s="30" t="e">
        <f t="shared" si="13"/>
        <v>#DIV/0!</v>
      </c>
    </row>
    <row r="378" spans="1:9" ht="30" customHeight="1" hidden="1">
      <c r="A378" s="26" t="s">
        <v>947</v>
      </c>
      <c r="B378" s="48"/>
      <c r="C378" s="28" t="s">
        <v>31</v>
      </c>
      <c r="D378" s="28" t="s">
        <v>940</v>
      </c>
      <c r="E378" s="28" t="s">
        <v>66</v>
      </c>
      <c r="F378" s="49" t="s">
        <v>948</v>
      </c>
      <c r="G378" s="50"/>
      <c r="H378" s="50"/>
      <c r="I378" s="30" t="e">
        <f t="shared" si="13"/>
        <v>#DIV/0!</v>
      </c>
    </row>
    <row r="379" spans="1:9" ht="17.25" customHeight="1" hidden="1">
      <c r="A379" s="31" t="s">
        <v>67</v>
      </c>
      <c r="B379" s="51"/>
      <c r="C379" s="52" t="s">
        <v>31</v>
      </c>
      <c r="D379" s="52" t="s">
        <v>940</v>
      </c>
      <c r="E379" s="52" t="s">
        <v>68</v>
      </c>
      <c r="F379" s="53"/>
      <c r="G379" s="54">
        <f>SUM(G383)+G388+G380</f>
        <v>0</v>
      </c>
      <c r="H379" s="54">
        <f>SUM(H383)+H388+H380</f>
        <v>0</v>
      </c>
      <c r="I379" s="30" t="e">
        <f t="shared" si="13"/>
        <v>#DIV/0!</v>
      </c>
    </row>
    <row r="380" spans="1:9" ht="46.5" customHeight="1" hidden="1">
      <c r="A380" s="31" t="s">
        <v>69</v>
      </c>
      <c r="B380" s="51"/>
      <c r="C380" s="52" t="s">
        <v>31</v>
      </c>
      <c r="D380" s="52" t="s">
        <v>940</v>
      </c>
      <c r="E380" s="52" t="s">
        <v>70</v>
      </c>
      <c r="F380" s="53"/>
      <c r="G380" s="54">
        <f>SUM(G381)</f>
        <v>0</v>
      </c>
      <c r="H380" s="54">
        <f>SUM(H381)</f>
        <v>0</v>
      </c>
      <c r="I380" s="30" t="e">
        <f t="shared" si="13"/>
        <v>#DIV/0!</v>
      </c>
    </row>
    <row r="381" spans="1:9" ht="19.5" customHeight="1" hidden="1">
      <c r="A381" s="31" t="s">
        <v>41</v>
      </c>
      <c r="B381" s="51"/>
      <c r="C381" s="52" t="s">
        <v>31</v>
      </c>
      <c r="D381" s="52" t="s">
        <v>940</v>
      </c>
      <c r="E381" s="52" t="s">
        <v>70</v>
      </c>
      <c r="F381" s="53" t="s">
        <v>42</v>
      </c>
      <c r="G381" s="54"/>
      <c r="H381" s="54"/>
      <c r="I381" s="30" t="e">
        <f t="shared" si="13"/>
        <v>#DIV/0!</v>
      </c>
    </row>
    <row r="382" spans="1:9" ht="26.25" customHeight="1" hidden="1">
      <c r="A382" s="31"/>
      <c r="B382" s="51"/>
      <c r="C382" s="51"/>
      <c r="D382" s="51"/>
      <c r="E382" s="51"/>
      <c r="F382" s="53"/>
      <c r="G382" s="54"/>
      <c r="H382" s="54"/>
      <c r="I382" s="30" t="e">
        <f t="shared" si="13"/>
        <v>#DIV/0!</v>
      </c>
    </row>
    <row r="383" spans="1:9" ht="18" customHeight="1" hidden="1">
      <c r="A383" s="26" t="s">
        <v>71</v>
      </c>
      <c r="B383" s="51"/>
      <c r="C383" s="52" t="s">
        <v>31</v>
      </c>
      <c r="D383" s="52" t="s">
        <v>940</v>
      </c>
      <c r="E383" s="52" t="s">
        <v>72</v>
      </c>
      <c r="F383" s="53"/>
      <c r="G383" s="54">
        <f>SUM(G384+G386)</f>
        <v>0</v>
      </c>
      <c r="H383" s="54">
        <f>SUM(H384+H386)</f>
        <v>0</v>
      </c>
      <c r="I383" s="30" t="e">
        <f t="shared" si="13"/>
        <v>#DIV/0!</v>
      </c>
    </row>
    <row r="384" spans="1:9" ht="42.75" hidden="1">
      <c r="A384" s="31" t="s">
        <v>73</v>
      </c>
      <c r="B384" s="55"/>
      <c r="C384" s="52" t="s">
        <v>31</v>
      </c>
      <c r="D384" s="52" t="s">
        <v>940</v>
      </c>
      <c r="E384" s="52" t="s">
        <v>74</v>
      </c>
      <c r="F384" s="53"/>
      <c r="G384" s="54">
        <f>SUM(G385)</f>
        <v>0</v>
      </c>
      <c r="H384" s="54">
        <f>SUM(H385)</f>
        <v>0</v>
      </c>
      <c r="I384" s="30" t="e">
        <f t="shared" si="13"/>
        <v>#DIV/0!</v>
      </c>
    </row>
    <row r="385" spans="1:9" ht="15" hidden="1">
      <c r="A385" s="26" t="s">
        <v>41</v>
      </c>
      <c r="B385" s="51"/>
      <c r="C385" s="52" t="s">
        <v>31</v>
      </c>
      <c r="D385" s="52" t="s">
        <v>940</v>
      </c>
      <c r="E385" s="52" t="s">
        <v>74</v>
      </c>
      <c r="F385" s="56" t="s">
        <v>42</v>
      </c>
      <c r="G385" s="30"/>
      <c r="H385" s="30"/>
      <c r="I385" s="30" t="e">
        <f t="shared" si="13"/>
        <v>#DIV/0!</v>
      </c>
    </row>
    <row r="386" spans="1:9" ht="28.5" hidden="1">
      <c r="A386" s="26" t="s">
        <v>75</v>
      </c>
      <c r="B386" s="51"/>
      <c r="C386" s="52" t="s">
        <v>31</v>
      </c>
      <c r="D386" s="52" t="s">
        <v>940</v>
      </c>
      <c r="E386" s="52" t="s">
        <v>76</v>
      </c>
      <c r="F386" s="56"/>
      <c r="G386" s="30">
        <f>SUM(G387)</f>
        <v>0</v>
      </c>
      <c r="H386" s="30">
        <f>SUM(H387)</f>
        <v>0</v>
      </c>
      <c r="I386" s="30" t="e">
        <f t="shared" si="13"/>
        <v>#DIV/0!</v>
      </c>
    </row>
    <row r="387" spans="1:9" ht="28.5" hidden="1">
      <c r="A387" s="26" t="s">
        <v>947</v>
      </c>
      <c r="B387" s="48"/>
      <c r="C387" s="28" t="s">
        <v>31</v>
      </c>
      <c r="D387" s="28" t="s">
        <v>940</v>
      </c>
      <c r="E387" s="52" t="s">
        <v>76</v>
      </c>
      <c r="F387" s="56" t="s">
        <v>948</v>
      </c>
      <c r="G387" s="30"/>
      <c r="H387" s="30"/>
      <c r="I387" s="30" t="e">
        <f t="shared" si="13"/>
        <v>#DIV/0!</v>
      </c>
    </row>
    <row r="388" spans="1:9" ht="28.5" hidden="1">
      <c r="A388" s="26" t="s">
        <v>77</v>
      </c>
      <c r="B388" s="48"/>
      <c r="C388" s="28" t="s">
        <v>31</v>
      </c>
      <c r="D388" s="28" t="s">
        <v>940</v>
      </c>
      <c r="E388" s="57" t="s">
        <v>78</v>
      </c>
      <c r="F388" s="56"/>
      <c r="G388" s="30"/>
      <c r="H388" s="30"/>
      <c r="I388" s="30" t="e">
        <f t="shared" si="13"/>
        <v>#DIV/0!</v>
      </c>
    </row>
    <row r="389" spans="1:9" ht="42.75" hidden="1">
      <c r="A389" s="26" t="s">
        <v>79</v>
      </c>
      <c r="B389" s="48"/>
      <c r="C389" s="28" t="s">
        <v>31</v>
      </c>
      <c r="D389" s="28" t="s">
        <v>940</v>
      </c>
      <c r="E389" s="57" t="s">
        <v>80</v>
      </c>
      <c r="F389" s="56"/>
      <c r="G389" s="30">
        <f>SUM(G390)</f>
        <v>0</v>
      </c>
      <c r="H389" s="30">
        <f>SUM(H390)</f>
        <v>0</v>
      </c>
      <c r="I389" s="30" t="e">
        <f t="shared" si="13"/>
        <v>#DIV/0!</v>
      </c>
    </row>
    <row r="390" spans="1:9" ht="15" hidden="1">
      <c r="A390" s="26" t="s">
        <v>10</v>
      </c>
      <c r="B390" s="48"/>
      <c r="C390" s="28" t="s">
        <v>31</v>
      </c>
      <c r="D390" s="28" t="s">
        <v>940</v>
      </c>
      <c r="E390" s="52" t="s">
        <v>80</v>
      </c>
      <c r="F390" s="56" t="s">
        <v>11</v>
      </c>
      <c r="G390" s="30"/>
      <c r="H390" s="30"/>
      <c r="I390" s="30" t="e">
        <f t="shared" si="13"/>
        <v>#DIV/0!</v>
      </c>
    </row>
    <row r="391" spans="1:9" ht="42.75" hidden="1">
      <c r="A391" s="26" t="s">
        <v>81</v>
      </c>
      <c r="B391" s="48"/>
      <c r="C391" s="28" t="s">
        <v>31</v>
      </c>
      <c r="D391" s="28" t="s">
        <v>940</v>
      </c>
      <c r="E391" s="57" t="s">
        <v>82</v>
      </c>
      <c r="F391" s="56"/>
      <c r="G391" s="30">
        <f>SUM(G392)</f>
        <v>0</v>
      </c>
      <c r="H391" s="30">
        <f>SUM(H392)</f>
        <v>0</v>
      </c>
      <c r="I391" s="30" t="e">
        <f t="shared" si="13"/>
        <v>#DIV/0!</v>
      </c>
    </row>
    <row r="392" spans="1:9" ht="21.75" customHeight="1" hidden="1">
      <c r="A392" s="26" t="s">
        <v>10</v>
      </c>
      <c r="B392" s="48"/>
      <c r="C392" s="28" t="s">
        <v>31</v>
      </c>
      <c r="D392" s="28" t="s">
        <v>940</v>
      </c>
      <c r="E392" s="52" t="s">
        <v>82</v>
      </c>
      <c r="F392" s="56" t="s">
        <v>11</v>
      </c>
      <c r="G392" s="30"/>
      <c r="H392" s="30"/>
      <c r="I392" s="30" t="e">
        <f t="shared" si="13"/>
        <v>#DIV/0!</v>
      </c>
    </row>
    <row r="393" spans="1:9" ht="21.75" customHeight="1" hidden="1">
      <c r="A393" s="26" t="s">
        <v>61</v>
      </c>
      <c r="B393" s="48"/>
      <c r="C393" s="28" t="s">
        <v>31</v>
      </c>
      <c r="D393" s="28" t="s">
        <v>940</v>
      </c>
      <c r="E393" s="52" t="s">
        <v>62</v>
      </c>
      <c r="F393" s="56"/>
      <c r="G393" s="30">
        <f>SUM(G394)</f>
        <v>0</v>
      </c>
      <c r="H393" s="30"/>
      <c r="I393" s="30"/>
    </row>
    <row r="394" spans="1:9" ht="45.75" customHeight="1" hidden="1">
      <c r="A394" s="26" t="s">
        <v>83</v>
      </c>
      <c r="B394" s="48"/>
      <c r="C394" s="28" t="s">
        <v>31</v>
      </c>
      <c r="D394" s="28" t="s">
        <v>940</v>
      </c>
      <c r="E394" s="57" t="s">
        <v>66</v>
      </c>
      <c r="F394" s="56"/>
      <c r="G394" s="30">
        <f>SUM(G395)</f>
        <v>0</v>
      </c>
      <c r="H394" s="30"/>
      <c r="I394" s="30"/>
    </row>
    <row r="395" spans="1:9" ht="32.25" customHeight="1" hidden="1">
      <c r="A395" s="26" t="s">
        <v>947</v>
      </c>
      <c r="B395" s="48"/>
      <c r="C395" s="28" t="s">
        <v>31</v>
      </c>
      <c r="D395" s="28" t="s">
        <v>940</v>
      </c>
      <c r="E395" s="57" t="s">
        <v>66</v>
      </c>
      <c r="F395" s="49" t="s">
        <v>948</v>
      </c>
      <c r="G395" s="30"/>
      <c r="H395" s="30"/>
      <c r="I395" s="30"/>
    </row>
    <row r="396" spans="1:9" ht="15" hidden="1">
      <c r="A396" s="46" t="s">
        <v>20</v>
      </c>
      <c r="B396" s="51"/>
      <c r="C396" s="51" t="s">
        <v>31</v>
      </c>
      <c r="D396" s="51" t="s">
        <v>940</v>
      </c>
      <c r="E396" s="51" t="s">
        <v>21</v>
      </c>
      <c r="F396" s="56"/>
      <c r="G396" s="30">
        <f>SUM(G397+G400)+G404</f>
        <v>0</v>
      </c>
      <c r="H396" s="30">
        <f>SUM(H397+H400)+H404</f>
        <v>278.1</v>
      </c>
      <c r="I396" s="30" t="e">
        <f t="shared" si="13"/>
        <v>#DIV/0!</v>
      </c>
    </row>
    <row r="397" spans="1:9" ht="28.5" customHeight="1" hidden="1">
      <c r="A397" s="26" t="s">
        <v>947</v>
      </c>
      <c r="B397" s="51"/>
      <c r="C397" s="51" t="s">
        <v>31</v>
      </c>
      <c r="D397" s="51" t="s">
        <v>940</v>
      </c>
      <c r="E397" s="51" t="s">
        <v>21</v>
      </c>
      <c r="F397" s="56" t="s">
        <v>948</v>
      </c>
      <c r="G397" s="58">
        <f>SUM(G398:G399)</f>
        <v>0</v>
      </c>
      <c r="H397" s="58">
        <f>SUM(H398:H399)</f>
        <v>0</v>
      </c>
      <c r="I397" s="30" t="e">
        <f t="shared" si="13"/>
        <v>#DIV/0!</v>
      </c>
    </row>
    <row r="398" spans="1:9" ht="0.75" customHeight="1" hidden="1">
      <c r="A398" s="46" t="s">
        <v>84</v>
      </c>
      <c r="B398" s="51"/>
      <c r="C398" s="51" t="s">
        <v>31</v>
      </c>
      <c r="D398" s="51" t="s">
        <v>940</v>
      </c>
      <c r="E398" s="51" t="s">
        <v>85</v>
      </c>
      <c r="F398" s="56" t="s">
        <v>948</v>
      </c>
      <c r="G398" s="58"/>
      <c r="H398" s="58"/>
      <c r="I398" s="30" t="e">
        <f t="shared" si="13"/>
        <v>#DIV/0!</v>
      </c>
    </row>
    <row r="399" spans="1:9" s="59" customFormat="1" ht="16.5" customHeight="1" hidden="1">
      <c r="A399" s="46" t="s">
        <v>86</v>
      </c>
      <c r="B399" s="51"/>
      <c r="C399" s="51" t="s">
        <v>31</v>
      </c>
      <c r="D399" s="51" t="s">
        <v>940</v>
      </c>
      <c r="E399" s="51" t="s">
        <v>87</v>
      </c>
      <c r="F399" s="56" t="s">
        <v>948</v>
      </c>
      <c r="G399" s="58"/>
      <c r="H399" s="58"/>
      <c r="I399" s="30" t="e">
        <f t="shared" si="13"/>
        <v>#DIV/0!</v>
      </c>
    </row>
    <row r="400" spans="1:9" s="59" customFormat="1" ht="15" hidden="1">
      <c r="A400" s="46" t="s">
        <v>41</v>
      </c>
      <c r="B400" s="51"/>
      <c r="C400" s="51" t="s">
        <v>31</v>
      </c>
      <c r="D400" s="51" t="s">
        <v>940</v>
      </c>
      <c r="E400" s="51" t="s">
        <v>21</v>
      </c>
      <c r="F400" s="56" t="s">
        <v>42</v>
      </c>
      <c r="G400" s="50">
        <f>SUM(G401)</f>
        <v>0</v>
      </c>
      <c r="H400" s="50">
        <f>SUM(H401)</f>
        <v>167.7</v>
      </c>
      <c r="I400" s="30" t="e">
        <f t="shared" si="13"/>
        <v>#DIV/0!</v>
      </c>
    </row>
    <row r="401" spans="1:9" ht="47.25" customHeight="1" hidden="1">
      <c r="A401" s="26" t="s">
        <v>88</v>
      </c>
      <c r="B401" s="51"/>
      <c r="C401" s="57" t="s">
        <v>31</v>
      </c>
      <c r="D401" s="57" t="s">
        <v>940</v>
      </c>
      <c r="E401" s="57" t="s">
        <v>89</v>
      </c>
      <c r="F401" s="49" t="s">
        <v>42</v>
      </c>
      <c r="G401" s="30">
        <f>SUM(G403)</f>
        <v>0</v>
      </c>
      <c r="H401" s="30">
        <f>SUM(H403)</f>
        <v>167.7</v>
      </c>
      <c r="I401" s="30" t="e">
        <f t="shared" si="13"/>
        <v>#DIV/0!</v>
      </c>
    </row>
    <row r="402" spans="1:9" ht="29.25" customHeight="1" hidden="1">
      <c r="A402" s="26" t="s">
        <v>229</v>
      </c>
      <c r="B402" s="51"/>
      <c r="C402" s="57"/>
      <c r="D402" s="57"/>
      <c r="E402" s="57"/>
      <c r="F402" s="49"/>
      <c r="G402" s="30"/>
      <c r="H402" s="30"/>
      <c r="I402" s="30"/>
    </row>
    <row r="403" spans="1:9" ht="47.25" customHeight="1" hidden="1">
      <c r="A403" s="31" t="s">
        <v>73</v>
      </c>
      <c r="B403" s="51"/>
      <c r="C403" s="57" t="s">
        <v>31</v>
      </c>
      <c r="D403" s="57" t="s">
        <v>940</v>
      </c>
      <c r="E403" s="57" t="s">
        <v>90</v>
      </c>
      <c r="F403" s="49" t="s">
        <v>42</v>
      </c>
      <c r="G403" s="30"/>
      <c r="H403" s="30">
        <v>167.7</v>
      </c>
      <c r="I403" s="30" t="e">
        <f t="shared" si="13"/>
        <v>#DIV/0!</v>
      </c>
    </row>
    <row r="404" spans="1:9" ht="47.25" customHeight="1" hidden="1">
      <c r="A404" s="47" t="s">
        <v>91</v>
      </c>
      <c r="B404" s="51"/>
      <c r="C404" s="57" t="s">
        <v>31</v>
      </c>
      <c r="D404" s="57" t="s">
        <v>940</v>
      </c>
      <c r="E404" s="57" t="s">
        <v>92</v>
      </c>
      <c r="F404" s="49"/>
      <c r="G404" s="30">
        <f>SUM(G405)</f>
        <v>0</v>
      </c>
      <c r="H404" s="30">
        <f>SUM(H405)</f>
        <v>110.4</v>
      </c>
      <c r="I404" s="30" t="e">
        <f t="shared" si="13"/>
        <v>#DIV/0!</v>
      </c>
    </row>
    <row r="405" spans="1:9" ht="19.5" customHeight="1" hidden="1">
      <c r="A405" s="46" t="s">
        <v>41</v>
      </c>
      <c r="B405" s="51"/>
      <c r="C405" s="57" t="s">
        <v>31</v>
      </c>
      <c r="D405" s="57" t="s">
        <v>940</v>
      </c>
      <c r="E405" s="57" t="s">
        <v>92</v>
      </c>
      <c r="F405" s="49" t="s">
        <v>42</v>
      </c>
      <c r="G405" s="30"/>
      <c r="H405" s="30">
        <v>110.4</v>
      </c>
      <c r="I405" s="30" t="e">
        <f t="shared" si="13"/>
        <v>#DIV/0!</v>
      </c>
    </row>
    <row r="406" spans="1:9" ht="21" customHeight="1" hidden="1">
      <c r="A406" s="26" t="s">
        <v>93</v>
      </c>
      <c r="B406" s="27"/>
      <c r="C406" s="28" t="s">
        <v>31</v>
      </c>
      <c r="D406" s="28" t="s">
        <v>942</v>
      </c>
      <c r="E406" s="28"/>
      <c r="F406" s="29"/>
      <c r="G406" s="30">
        <f>SUM(G413+G425)+G407+G421+G410</f>
        <v>0</v>
      </c>
      <c r="H406" s="30">
        <f>SUM(H413+H425)+H407+H421+H410</f>
        <v>24530.6</v>
      </c>
      <c r="I406" s="30" t="e">
        <f t="shared" si="13"/>
        <v>#DIV/0!</v>
      </c>
    </row>
    <row r="407" spans="1:9" ht="18" customHeight="1" hidden="1">
      <c r="A407" s="26" t="s">
        <v>94</v>
      </c>
      <c r="B407" s="27"/>
      <c r="C407" s="28" t="s">
        <v>31</v>
      </c>
      <c r="D407" s="28" t="s">
        <v>942</v>
      </c>
      <c r="E407" s="28" t="s">
        <v>95</v>
      </c>
      <c r="F407" s="29"/>
      <c r="G407" s="30">
        <f>SUM(G408)</f>
        <v>0</v>
      </c>
      <c r="H407" s="30">
        <f>SUM(H408)</f>
        <v>0</v>
      </c>
      <c r="I407" s="30" t="e">
        <f t="shared" si="13"/>
        <v>#DIV/0!</v>
      </c>
    </row>
    <row r="408" spans="1:9" ht="15.75" customHeight="1" hidden="1">
      <c r="A408" s="26" t="s">
        <v>96</v>
      </c>
      <c r="B408" s="27"/>
      <c r="C408" s="28" t="s">
        <v>31</v>
      </c>
      <c r="D408" s="28" t="s">
        <v>942</v>
      </c>
      <c r="E408" s="28" t="s">
        <v>97</v>
      </c>
      <c r="F408" s="29"/>
      <c r="G408" s="30">
        <f>SUM(G409)</f>
        <v>0</v>
      </c>
      <c r="H408" s="30">
        <f>SUM(H409)</f>
        <v>0</v>
      </c>
      <c r="I408" s="30" t="e">
        <f t="shared" si="13"/>
        <v>#DIV/0!</v>
      </c>
    </row>
    <row r="409" spans="1:9" ht="15.75" customHeight="1" hidden="1">
      <c r="A409" s="26" t="s">
        <v>947</v>
      </c>
      <c r="B409" s="27"/>
      <c r="C409" s="28" t="s">
        <v>31</v>
      </c>
      <c r="D409" s="28" t="s">
        <v>942</v>
      </c>
      <c r="E409" s="28" t="s">
        <v>97</v>
      </c>
      <c r="F409" s="29" t="s">
        <v>948</v>
      </c>
      <c r="G409" s="30"/>
      <c r="H409" s="30"/>
      <c r="I409" s="30" t="e">
        <f t="shared" si="13"/>
        <v>#DIV/0!</v>
      </c>
    </row>
    <row r="410" spans="1:9" ht="27.75" customHeight="1" hidden="1">
      <c r="A410" s="26" t="s">
        <v>98</v>
      </c>
      <c r="B410" s="27"/>
      <c r="C410" s="28" t="s">
        <v>31</v>
      </c>
      <c r="D410" s="28" t="s">
        <v>942</v>
      </c>
      <c r="E410" s="28" t="s">
        <v>99</v>
      </c>
      <c r="F410" s="29"/>
      <c r="G410" s="30">
        <f>SUM(G411)</f>
        <v>0</v>
      </c>
      <c r="H410" s="30">
        <f>SUM(H411)</f>
        <v>9483.6</v>
      </c>
      <c r="I410" s="30" t="e">
        <f t="shared" si="13"/>
        <v>#DIV/0!</v>
      </c>
    </row>
    <row r="411" spans="1:9" ht="33" customHeight="1" hidden="1">
      <c r="A411" s="26" t="s">
        <v>100</v>
      </c>
      <c r="B411" s="27"/>
      <c r="C411" s="28" t="s">
        <v>31</v>
      </c>
      <c r="D411" s="28" t="s">
        <v>942</v>
      </c>
      <c r="E411" s="28" t="s">
        <v>101</v>
      </c>
      <c r="F411" s="29"/>
      <c r="G411" s="30">
        <f>SUM(G412)</f>
        <v>0</v>
      </c>
      <c r="H411" s="30">
        <f>SUM(H412)</f>
        <v>9483.6</v>
      </c>
      <c r="I411" s="30" t="e">
        <f t="shared" si="13"/>
        <v>#DIV/0!</v>
      </c>
    </row>
    <row r="412" spans="1:9" ht="15.75" customHeight="1" hidden="1">
      <c r="A412" s="26" t="s">
        <v>10</v>
      </c>
      <c r="B412" s="27"/>
      <c r="C412" s="28" t="s">
        <v>31</v>
      </c>
      <c r="D412" s="28" t="s">
        <v>942</v>
      </c>
      <c r="E412" s="28" t="s">
        <v>101</v>
      </c>
      <c r="F412" s="29" t="s">
        <v>11</v>
      </c>
      <c r="G412" s="30"/>
      <c r="H412" s="30">
        <v>9483.6</v>
      </c>
      <c r="I412" s="30" t="e">
        <f t="shared" si="13"/>
        <v>#DIV/0!</v>
      </c>
    </row>
    <row r="413" spans="1:9" ht="18" customHeight="1" hidden="1">
      <c r="A413" s="60" t="s">
        <v>102</v>
      </c>
      <c r="B413" s="27"/>
      <c r="C413" s="28" t="s">
        <v>31</v>
      </c>
      <c r="D413" s="28" t="s">
        <v>942</v>
      </c>
      <c r="E413" s="28" t="s">
        <v>103</v>
      </c>
      <c r="F413" s="29"/>
      <c r="G413" s="30">
        <f>SUM(G414+G416+G418)</f>
        <v>0</v>
      </c>
      <c r="H413" s="30">
        <f>SUM(H414+H416+H418)</f>
        <v>15047</v>
      </c>
      <c r="I413" s="30" t="e">
        <f t="shared" si="13"/>
        <v>#DIV/0!</v>
      </c>
    </row>
    <row r="414" spans="1:9" ht="57" hidden="1">
      <c r="A414" s="46" t="s">
        <v>104</v>
      </c>
      <c r="B414" s="27"/>
      <c r="C414" s="28" t="s">
        <v>31</v>
      </c>
      <c r="D414" s="28" t="s">
        <v>942</v>
      </c>
      <c r="E414" s="28" t="s">
        <v>105</v>
      </c>
      <c r="F414" s="29"/>
      <c r="G414" s="30">
        <f>SUM(G415)</f>
        <v>0</v>
      </c>
      <c r="H414" s="30">
        <f>SUM(H415)</f>
        <v>0</v>
      </c>
      <c r="I414" s="30" t="e">
        <f t="shared" si="13"/>
        <v>#DIV/0!</v>
      </c>
    </row>
    <row r="415" spans="1:9" s="61" customFormat="1" ht="15" hidden="1">
      <c r="A415" s="26" t="s">
        <v>10</v>
      </c>
      <c r="B415" s="27"/>
      <c r="C415" s="28" t="s">
        <v>31</v>
      </c>
      <c r="D415" s="28" t="s">
        <v>942</v>
      </c>
      <c r="E415" s="28" t="s">
        <v>105</v>
      </c>
      <c r="F415" s="29" t="s">
        <v>11</v>
      </c>
      <c r="G415" s="30"/>
      <c r="H415" s="30"/>
      <c r="I415" s="30" t="e">
        <f t="shared" si="13"/>
        <v>#DIV/0!</v>
      </c>
    </row>
    <row r="416" spans="1:9" ht="57" hidden="1">
      <c r="A416" s="46" t="s">
        <v>106</v>
      </c>
      <c r="B416" s="27"/>
      <c r="C416" s="28" t="s">
        <v>31</v>
      </c>
      <c r="D416" s="28" t="s">
        <v>942</v>
      </c>
      <c r="E416" s="28" t="s">
        <v>107</v>
      </c>
      <c r="F416" s="29"/>
      <c r="G416" s="30">
        <f>SUM(G417)</f>
        <v>0</v>
      </c>
      <c r="H416" s="30">
        <f>SUM(H417)</f>
        <v>0</v>
      </c>
      <c r="I416" s="30" t="e">
        <f t="shared" si="13"/>
        <v>#DIV/0!</v>
      </c>
    </row>
    <row r="417" spans="1:9" s="61" customFormat="1" ht="20.25" customHeight="1" hidden="1">
      <c r="A417" s="26" t="s">
        <v>10</v>
      </c>
      <c r="B417" s="27"/>
      <c r="C417" s="28" t="s">
        <v>31</v>
      </c>
      <c r="D417" s="28" t="s">
        <v>942</v>
      </c>
      <c r="E417" s="28" t="s">
        <v>107</v>
      </c>
      <c r="F417" s="29" t="s">
        <v>11</v>
      </c>
      <c r="G417" s="30"/>
      <c r="H417" s="30"/>
      <c r="I417" s="30" t="e">
        <f t="shared" si="13"/>
        <v>#DIV/0!</v>
      </c>
    </row>
    <row r="418" spans="1:9" ht="14.25" customHeight="1" hidden="1">
      <c r="A418" s="31" t="s">
        <v>108</v>
      </c>
      <c r="B418" s="27"/>
      <c r="C418" s="28" t="s">
        <v>31</v>
      </c>
      <c r="D418" s="28" t="s">
        <v>942</v>
      </c>
      <c r="E418" s="28" t="s">
        <v>109</v>
      </c>
      <c r="F418" s="29"/>
      <c r="G418" s="30">
        <f>SUM(G419:G420)</f>
        <v>0</v>
      </c>
      <c r="H418" s="30">
        <f>SUM(H419:H420)</f>
        <v>15047</v>
      </c>
      <c r="I418" s="30" t="e">
        <f t="shared" si="13"/>
        <v>#DIV/0!</v>
      </c>
    </row>
    <row r="419" spans="1:9" ht="15" customHeight="1" hidden="1">
      <c r="A419" s="26" t="s">
        <v>10</v>
      </c>
      <c r="B419" s="27"/>
      <c r="C419" s="28" t="s">
        <v>31</v>
      </c>
      <c r="D419" s="28" t="s">
        <v>942</v>
      </c>
      <c r="E419" s="28" t="s">
        <v>109</v>
      </c>
      <c r="F419" s="29" t="s">
        <v>11</v>
      </c>
      <c r="G419" s="50"/>
      <c r="H419" s="50">
        <f>878+4272.1+2990.6</f>
        <v>8140.700000000001</v>
      </c>
      <c r="I419" s="30" t="e">
        <f t="shared" si="13"/>
        <v>#DIV/0!</v>
      </c>
    </row>
    <row r="420" spans="1:9" ht="27" customHeight="1" hidden="1">
      <c r="A420" s="26" t="s">
        <v>947</v>
      </c>
      <c r="B420" s="27"/>
      <c r="C420" s="28" t="s">
        <v>31</v>
      </c>
      <c r="D420" s="28" t="s">
        <v>942</v>
      </c>
      <c r="E420" s="28" t="s">
        <v>109</v>
      </c>
      <c r="F420" s="29" t="s">
        <v>948</v>
      </c>
      <c r="G420" s="50"/>
      <c r="H420" s="50">
        <v>6906.3</v>
      </c>
      <c r="I420" s="30" t="e">
        <f t="shared" si="13"/>
        <v>#DIV/0!</v>
      </c>
    </row>
    <row r="421" spans="1:9" ht="17.25" customHeight="1" hidden="1">
      <c r="A421" s="31" t="s">
        <v>67</v>
      </c>
      <c r="B421" s="51"/>
      <c r="C421" s="28" t="s">
        <v>31</v>
      </c>
      <c r="D421" s="28" t="s">
        <v>942</v>
      </c>
      <c r="E421" s="57" t="s">
        <v>68</v>
      </c>
      <c r="F421" s="29"/>
      <c r="G421" s="50">
        <f aca="true" t="shared" si="14" ref="G421:H423">SUM(G422)</f>
        <v>0</v>
      </c>
      <c r="H421" s="50">
        <f t="shared" si="14"/>
        <v>0</v>
      </c>
      <c r="I421" s="30" t="e">
        <f aca="true" t="shared" si="15" ref="I421:I483">SUM(H421/G421*100)</f>
        <v>#DIV/0!</v>
      </c>
    </row>
    <row r="422" spans="1:9" ht="15.75" customHeight="1" hidden="1">
      <c r="A422" s="26" t="s">
        <v>71</v>
      </c>
      <c r="B422" s="51"/>
      <c r="C422" s="28" t="s">
        <v>31</v>
      </c>
      <c r="D422" s="28" t="s">
        <v>942</v>
      </c>
      <c r="E422" s="57" t="s">
        <v>72</v>
      </c>
      <c r="F422" s="29"/>
      <c r="G422" s="50">
        <f t="shared" si="14"/>
        <v>0</v>
      </c>
      <c r="H422" s="50">
        <f t="shared" si="14"/>
        <v>0</v>
      </c>
      <c r="I422" s="30" t="e">
        <f t="shared" si="15"/>
        <v>#DIV/0!</v>
      </c>
    </row>
    <row r="423" spans="1:9" ht="13.5" customHeight="1" hidden="1">
      <c r="A423" s="31" t="s">
        <v>110</v>
      </c>
      <c r="B423" s="27"/>
      <c r="C423" s="28" t="s">
        <v>31</v>
      </c>
      <c r="D423" s="28" t="s">
        <v>942</v>
      </c>
      <c r="E423" s="57" t="s">
        <v>111</v>
      </c>
      <c r="F423" s="29"/>
      <c r="G423" s="50">
        <f t="shared" si="14"/>
        <v>0</v>
      </c>
      <c r="H423" s="50">
        <f t="shared" si="14"/>
        <v>0</v>
      </c>
      <c r="I423" s="30" t="e">
        <f t="shared" si="15"/>
        <v>#DIV/0!</v>
      </c>
    </row>
    <row r="424" spans="1:9" ht="28.5" customHeight="1" hidden="1">
      <c r="A424" s="26" t="s">
        <v>947</v>
      </c>
      <c r="B424" s="27"/>
      <c r="C424" s="28" t="s">
        <v>31</v>
      </c>
      <c r="D424" s="28" t="s">
        <v>942</v>
      </c>
      <c r="E424" s="57" t="s">
        <v>111</v>
      </c>
      <c r="F424" s="29" t="s">
        <v>948</v>
      </c>
      <c r="G424" s="50"/>
      <c r="H424" s="50"/>
      <c r="I424" s="30" t="e">
        <f t="shared" si="15"/>
        <v>#DIV/0!</v>
      </c>
    </row>
    <row r="425" spans="1:9" ht="15" hidden="1">
      <c r="A425" s="46" t="s">
        <v>20</v>
      </c>
      <c r="B425" s="62"/>
      <c r="C425" s="51" t="s">
        <v>31</v>
      </c>
      <c r="D425" s="51" t="s">
        <v>942</v>
      </c>
      <c r="E425" s="51" t="s">
        <v>21</v>
      </c>
      <c r="F425" s="56"/>
      <c r="G425" s="50">
        <f>SUM(G426)</f>
        <v>0</v>
      </c>
      <c r="H425" s="50">
        <f>SUM(H426)</f>
        <v>0</v>
      </c>
      <c r="I425" s="30" t="e">
        <f t="shared" si="15"/>
        <v>#DIV/0!</v>
      </c>
    </row>
    <row r="426" spans="1:9" s="59" customFormat="1" ht="57" hidden="1">
      <c r="A426" s="26" t="s">
        <v>112</v>
      </c>
      <c r="B426" s="62"/>
      <c r="C426" s="57" t="s">
        <v>31</v>
      </c>
      <c r="D426" s="57" t="s">
        <v>942</v>
      </c>
      <c r="E426" s="57" t="s">
        <v>113</v>
      </c>
      <c r="F426" s="29"/>
      <c r="G426" s="50">
        <f>SUM(G427)+G428+G430+G429</f>
        <v>0</v>
      </c>
      <c r="H426" s="50">
        <f>SUM(H427)+H428+H430</f>
        <v>0</v>
      </c>
      <c r="I426" s="30" t="e">
        <f t="shared" si="15"/>
        <v>#DIV/0!</v>
      </c>
    </row>
    <row r="427" spans="1:9" ht="42.75" hidden="1">
      <c r="A427" s="26" t="s">
        <v>114</v>
      </c>
      <c r="B427" s="62"/>
      <c r="C427" s="57" t="s">
        <v>31</v>
      </c>
      <c r="D427" s="57" t="s">
        <v>942</v>
      </c>
      <c r="E427" s="57" t="s">
        <v>115</v>
      </c>
      <c r="F427" s="29" t="s">
        <v>948</v>
      </c>
      <c r="G427" s="50">
        <f>600-600</f>
        <v>0</v>
      </c>
      <c r="H427" s="50">
        <f>600-600</f>
        <v>0</v>
      </c>
      <c r="I427" s="30" t="e">
        <f t="shared" si="15"/>
        <v>#DIV/0!</v>
      </c>
    </row>
    <row r="428" spans="1:9" ht="28.5" hidden="1">
      <c r="A428" s="46" t="s">
        <v>116</v>
      </c>
      <c r="B428" s="62"/>
      <c r="C428" s="57" t="s">
        <v>31</v>
      </c>
      <c r="D428" s="57" t="s">
        <v>942</v>
      </c>
      <c r="E428" s="57" t="s">
        <v>117</v>
      </c>
      <c r="F428" s="29" t="s">
        <v>948</v>
      </c>
      <c r="G428" s="50">
        <f>900-900</f>
        <v>0</v>
      </c>
      <c r="H428" s="50">
        <f>900-900</f>
        <v>0</v>
      </c>
      <c r="I428" s="30" t="e">
        <f t="shared" si="15"/>
        <v>#DIV/0!</v>
      </c>
    </row>
    <row r="429" spans="1:9" ht="28.5" hidden="1">
      <c r="A429" s="26" t="s">
        <v>947</v>
      </c>
      <c r="B429" s="62"/>
      <c r="C429" s="57" t="s">
        <v>31</v>
      </c>
      <c r="D429" s="57" t="s">
        <v>942</v>
      </c>
      <c r="E429" s="57" t="s">
        <v>113</v>
      </c>
      <c r="F429" s="29" t="s">
        <v>948</v>
      </c>
      <c r="G429" s="50">
        <f>5825.2-5825.2</f>
        <v>0</v>
      </c>
      <c r="H429" s="50"/>
      <c r="I429" s="30" t="e">
        <f t="shared" si="15"/>
        <v>#DIV/0!</v>
      </c>
    </row>
    <row r="430" spans="1:9" ht="42.75" hidden="1">
      <c r="A430" s="47" t="s">
        <v>118</v>
      </c>
      <c r="B430" s="62"/>
      <c r="C430" s="57" t="s">
        <v>31</v>
      </c>
      <c r="D430" s="57" t="s">
        <v>942</v>
      </c>
      <c r="E430" s="57" t="s">
        <v>119</v>
      </c>
      <c r="F430" s="29"/>
      <c r="G430" s="50">
        <f>SUM(G431)</f>
        <v>0</v>
      </c>
      <c r="H430" s="50">
        <f>SUM(H431)</f>
        <v>0</v>
      </c>
      <c r="I430" s="30" t="e">
        <f t="shared" si="15"/>
        <v>#DIV/0!</v>
      </c>
    </row>
    <row r="431" spans="1:9" ht="28.5" hidden="1">
      <c r="A431" s="46" t="s">
        <v>110</v>
      </c>
      <c r="B431" s="62"/>
      <c r="C431" s="57" t="s">
        <v>31</v>
      </c>
      <c r="D431" s="57" t="s">
        <v>942</v>
      </c>
      <c r="E431" s="57" t="s">
        <v>120</v>
      </c>
      <c r="F431" s="29"/>
      <c r="G431" s="50">
        <f>SUM(G432)</f>
        <v>0</v>
      </c>
      <c r="H431" s="50">
        <f>SUM(H432)</f>
        <v>0</v>
      </c>
      <c r="I431" s="30" t="e">
        <f t="shared" si="15"/>
        <v>#DIV/0!</v>
      </c>
    </row>
    <row r="432" spans="1:9" ht="28.5" hidden="1">
      <c r="A432" s="26" t="s">
        <v>947</v>
      </c>
      <c r="B432" s="62"/>
      <c r="C432" s="57" t="s">
        <v>31</v>
      </c>
      <c r="D432" s="57" t="s">
        <v>942</v>
      </c>
      <c r="E432" s="57" t="s">
        <v>120</v>
      </c>
      <c r="F432" s="29" t="s">
        <v>948</v>
      </c>
      <c r="G432" s="50">
        <f>4200.9-4200.9</f>
        <v>0</v>
      </c>
      <c r="H432" s="50">
        <f>4200.9-4200.9</f>
        <v>0</v>
      </c>
      <c r="I432" s="30" t="e">
        <f t="shared" si="15"/>
        <v>#DIV/0!</v>
      </c>
    </row>
    <row r="433" spans="1:9" s="63" customFormat="1" ht="16.5" customHeight="1" hidden="1">
      <c r="A433" s="26" t="s">
        <v>121</v>
      </c>
      <c r="B433" s="27"/>
      <c r="C433" s="28" t="s">
        <v>31</v>
      </c>
      <c r="D433" s="28" t="s">
        <v>950</v>
      </c>
      <c r="E433" s="28"/>
      <c r="F433" s="29"/>
      <c r="G433" s="30">
        <f>SUM(G436+G453)+G434</f>
        <v>0</v>
      </c>
      <c r="H433" s="30">
        <f>SUM(H436+H453)+H434</f>
        <v>71482.59999999999</v>
      </c>
      <c r="I433" s="30" t="e">
        <f t="shared" si="15"/>
        <v>#DIV/0!</v>
      </c>
    </row>
    <row r="434" spans="1:9" s="64" customFormat="1" ht="76.5" customHeight="1" hidden="1">
      <c r="A434" s="26" t="s">
        <v>122</v>
      </c>
      <c r="B434" s="27"/>
      <c r="C434" s="28" t="s">
        <v>31</v>
      </c>
      <c r="D434" s="28" t="s">
        <v>950</v>
      </c>
      <c r="E434" s="28" t="s">
        <v>123</v>
      </c>
      <c r="F434" s="29"/>
      <c r="G434" s="30">
        <f>SUM(G435)</f>
        <v>0</v>
      </c>
      <c r="H434" s="30">
        <f>SUM(H435)</f>
        <v>0</v>
      </c>
      <c r="I434" s="30" t="e">
        <f t="shared" si="15"/>
        <v>#DIV/0!</v>
      </c>
    </row>
    <row r="435" spans="1:9" s="64" customFormat="1" ht="61.5" customHeight="1" hidden="1">
      <c r="A435" s="26" t="s">
        <v>124</v>
      </c>
      <c r="B435" s="27"/>
      <c r="C435" s="28" t="s">
        <v>31</v>
      </c>
      <c r="D435" s="28" t="s">
        <v>950</v>
      </c>
      <c r="E435" s="28" t="s">
        <v>123</v>
      </c>
      <c r="F435" s="29" t="s">
        <v>125</v>
      </c>
      <c r="G435" s="30"/>
      <c r="H435" s="30"/>
      <c r="I435" s="30" t="e">
        <f t="shared" si="15"/>
        <v>#DIV/0!</v>
      </c>
    </row>
    <row r="436" spans="1:9" s="64" customFormat="1" ht="18.75" customHeight="1" hidden="1">
      <c r="A436" s="26" t="s">
        <v>121</v>
      </c>
      <c r="B436" s="51"/>
      <c r="C436" s="28" t="s">
        <v>31</v>
      </c>
      <c r="D436" s="28" t="s">
        <v>950</v>
      </c>
      <c r="E436" s="57" t="s">
        <v>126</v>
      </c>
      <c r="F436" s="49"/>
      <c r="G436" s="30">
        <f>SUM(G437+G442+G447+G450)+G445</f>
        <v>0</v>
      </c>
      <c r="H436" s="30">
        <f>SUM(H437+H442+H447+H450)+H445</f>
        <v>71087.2</v>
      </c>
      <c r="I436" s="30" t="e">
        <f t="shared" si="15"/>
        <v>#DIV/0!</v>
      </c>
    </row>
    <row r="437" spans="1:9" s="64" customFormat="1" ht="15.75" customHeight="1" hidden="1">
      <c r="A437" s="46" t="s">
        <v>127</v>
      </c>
      <c r="B437" s="62"/>
      <c r="C437" s="28" t="s">
        <v>31</v>
      </c>
      <c r="D437" s="28" t="s">
        <v>950</v>
      </c>
      <c r="E437" s="57" t="s">
        <v>128</v>
      </c>
      <c r="F437" s="49"/>
      <c r="G437" s="30">
        <f>SUM(G438:G440)</f>
        <v>0</v>
      </c>
      <c r="H437" s="30">
        <f>SUM(H439:H440)</f>
        <v>20816.7</v>
      </c>
      <c r="I437" s="30" t="e">
        <f t="shared" si="15"/>
        <v>#DIV/0!</v>
      </c>
    </row>
    <row r="438" spans="1:9" s="64" customFormat="1" ht="15.75" customHeight="1" hidden="1">
      <c r="A438" s="26" t="s">
        <v>10</v>
      </c>
      <c r="B438" s="62"/>
      <c r="C438" s="28" t="s">
        <v>31</v>
      </c>
      <c r="D438" s="28" t="s">
        <v>950</v>
      </c>
      <c r="E438" s="57" t="s">
        <v>128</v>
      </c>
      <c r="F438" s="49" t="s">
        <v>11</v>
      </c>
      <c r="G438" s="30"/>
      <c r="H438" s="30"/>
      <c r="I438" s="30"/>
    </row>
    <row r="439" spans="1:9" s="64" customFormat="1" ht="28.5" hidden="1">
      <c r="A439" s="26" t="s">
        <v>947</v>
      </c>
      <c r="B439" s="62"/>
      <c r="C439" s="28" t="s">
        <v>31</v>
      </c>
      <c r="D439" s="28" t="s">
        <v>950</v>
      </c>
      <c r="E439" s="57" t="s">
        <v>128</v>
      </c>
      <c r="F439" s="49" t="s">
        <v>948</v>
      </c>
      <c r="G439" s="30"/>
      <c r="H439" s="30">
        <v>20816.7</v>
      </c>
      <c r="I439" s="30" t="e">
        <f t="shared" si="15"/>
        <v>#DIV/0!</v>
      </c>
    </row>
    <row r="440" spans="1:9" s="64" customFormat="1" ht="59.25" customHeight="1" hidden="1">
      <c r="A440" s="26" t="s">
        <v>129</v>
      </c>
      <c r="B440" s="62"/>
      <c r="C440" s="28" t="s">
        <v>31</v>
      </c>
      <c r="D440" s="28" t="s">
        <v>950</v>
      </c>
      <c r="E440" s="57" t="s">
        <v>130</v>
      </c>
      <c r="F440" s="49"/>
      <c r="G440" s="30">
        <f>SUM(G441)</f>
        <v>0</v>
      </c>
      <c r="H440" s="30">
        <f>SUM(H441)</f>
        <v>0</v>
      </c>
      <c r="I440" s="30" t="e">
        <f t="shared" si="15"/>
        <v>#DIV/0!</v>
      </c>
    </row>
    <row r="441" spans="1:9" s="64" customFormat="1" ht="28.5" hidden="1">
      <c r="A441" s="26" t="s">
        <v>947</v>
      </c>
      <c r="B441" s="62"/>
      <c r="C441" s="28" t="s">
        <v>31</v>
      </c>
      <c r="D441" s="28" t="s">
        <v>950</v>
      </c>
      <c r="E441" s="57" t="s">
        <v>130</v>
      </c>
      <c r="F441" s="49" t="s">
        <v>948</v>
      </c>
      <c r="G441" s="30"/>
      <c r="H441" s="30"/>
      <c r="I441" s="30" t="e">
        <f t="shared" si="15"/>
        <v>#DIV/0!</v>
      </c>
    </row>
    <row r="442" spans="1:9" s="64" customFormat="1" ht="43.5" customHeight="1" hidden="1">
      <c r="A442" s="46" t="s">
        <v>193</v>
      </c>
      <c r="B442" s="62"/>
      <c r="C442" s="28" t="s">
        <v>31</v>
      </c>
      <c r="D442" s="28" t="s">
        <v>950</v>
      </c>
      <c r="E442" s="57" t="s">
        <v>194</v>
      </c>
      <c r="F442" s="49"/>
      <c r="G442" s="30">
        <f>SUM(G444+G443)</f>
        <v>0</v>
      </c>
      <c r="H442" s="30">
        <f>SUM(H444)</f>
        <v>43097.5</v>
      </c>
      <c r="I442" s="30" t="e">
        <f t="shared" si="15"/>
        <v>#DIV/0!</v>
      </c>
    </row>
    <row r="443" spans="1:10" ht="15" hidden="1">
      <c r="A443" s="26" t="s">
        <v>10</v>
      </c>
      <c r="B443" s="62"/>
      <c r="C443" s="28" t="s">
        <v>31</v>
      </c>
      <c r="D443" s="28" t="s">
        <v>950</v>
      </c>
      <c r="E443" s="57" t="s">
        <v>194</v>
      </c>
      <c r="F443" s="49" t="s">
        <v>11</v>
      </c>
      <c r="G443" s="30"/>
      <c r="H443" s="30"/>
      <c r="I443" s="30"/>
      <c r="J443" s="65"/>
    </row>
    <row r="444" spans="1:9" s="64" customFormat="1" ht="14.25" customHeight="1" hidden="1">
      <c r="A444" s="26" t="s">
        <v>947</v>
      </c>
      <c r="B444" s="62"/>
      <c r="C444" s="28" t="s">
        <v>31</v>
      </c>
      <c r="D444" s="28" t="s">
        <v>950</v>
      </c>
      <c r="E444" s="57" t="s">
        <v>194</v>
      </c>
      <c r="F444" s="49" t="s">
        <v>948</v>
      </c>
      <c r="G444" s="30"/>
      <c r="H444" s="30">
        <v>43097.5</v>
      </c>
      <c r="I444" s="30" t="e">
        <f t="shared" si="15"/>
        <v>#DIV/0!</v>
      </c>
    </row>
    <row r="445" spans="1:9" ht="71.25" hidden="1">
      <c r="A445" s="26" t="s">
        <v>196</v>
      </c>
      <c r="B445" s="62"/>
      <c r="C445" s="28" t="s">
        <v>31</v>
      </c>
      <c r="D445" s="28" t="s">
        <v>950</v>
      </c>
      <c r="E445" s="57" t="s">
        <v>197</v>
      </c>
      <c r="F445" s="49"/>
      <c r="G445" s="30">
        <f>SUM(G446)</f>
        <v>0</v>
      </c>
      <c r="H445" s="30">
        <f>SUM(H446)</f>
        <v>482.9</v>
      </c>
      <c r="I445" s="30" t="e">
        <f t="shared" si="15"/>
        <v>#DIV/0!</v>
      </c>
    </row>
    <row r="446" spans="1:9" ht="29.25" customHeight="1" hidden="1">
      <c r="A446" s="26" t="s">
        <v>947</v>
      </c>
      <c r="B446" s="62"/>
      <c r="C446" s="28" t="s">
        <v>31</v>
      </c>
      <c r="D446" s="28" t="s">
        <v>950</v>
      </c>
      <c r="E446" s="57" t="s">
        <v>197</v>
      </c>
      <c r="F446" s="49" t="s">
        <v>948</v>
      </c>
      <c r="G446" s="30"/>
      <c r="H446" s="30">
        <v>482.9</v>
      </c>
      <c r="I446" s="30" t="e">
        <f t="shared" si="15"/>
        <v>#DIV/0!</v>
      </c>
    </row>
    <row r="447" spans="1:9" ht="16.5" customHeight="1" hidden="1">
      <c r="A447" s="46" t="s">
        <v>198</v>
      </c>
      <c r="B447" s="62"/>
      <c r="C447" s="28" t="s">
        <v>31</v>
      </c>
      <c r="D447" s="28" t="s">
        <v>950</v>
      </c>
      <c r="E447" s="57" t="s">
        <v>199</v>
      </c>
      <c r="F447" s="56"/>
      <c r="G447" s="30">
        <f>SUM(G449+G448)</f>
        <v>0</v>
      </c>
      <c r="H447" s="30">
        <f>SUM(H449)</f>
        <v>489.8</v>
      </c>
      <c r="I447" s="30" t="e">
        <f t="shared" si="15"/>
        <v>#DIV/0!</v>
      </c>
    </row>
    <row r="448" spans="1:9" ht="16.5" customHeight="1" hidden="1">
      <c r="A448" s="26" t="s">
        <v>10</v>
      </c>
      <c r="B448" s="62"/>
      <c r="C448" s="28" t="s">
        <v>31</v>
      </c>
      <c r="D448" s="28" t="s">
        <v>950</v>
      </c>
      <c r="E448" s="57" t="s">
        <v>199</v>
      </c>
      <c r="F448" s="56" t="s">
        <v>11</v>
      </c>
      <c r="G448" s="30"/>
      <c r="H448" s="30"/>
      <c r="I448" s="30"/>
    </row>
    <row r="449" spans="1:9" s="63" customFormat="1" ht="27.75" customHeight="1" hidden="1">
      <c r="A449" s="26" t="s">
        <v>947</v>
      </c>
      <c r="B449" s="62"/>
      <c r="C449" s="28" t="s">
        <v>31</v>
      </c>
      <c r="D449" s="28" t="s">
        <v>950</v>
      </c>
      <c r="E449" s="57" t="s">
        <v>199</v>
      </c>
      <c r="F449" s="49" t="s">
        <v>948</v>
      </c>
      <c r="G449" s="30"/>
      <c r="H449" s="30">
        <v>489.8</v>
      </c>
      <c r="I449" s="30" t="e">
        <f t="shared" si="15"/>
        <v>#DIV/0!</v>
      </c>
    </row>
    <row r="450" spans="1:9" s="63" customFormat="1" ht="28.5" hidden="1">
      <c r="A450" s="46" t="s">
        <v>200</v>
      </c>
      <c r="B450" s="62"/>
      <c r="C450" s="28" t="s">
        <v>31</v>
      </c>
      <c r="D450" s="28" t="s">
        <v>950</v>
      </c>
      <c r="E450" s="57" t="s">
        <v>201</v>
      </c>
      <c r="F450" s="49"/>
      <c r="G450" s="30">
        <f>SUM(G452+G451)</f>
        <v>0</v>
      </c>
      <c r="H450" s="30">
        <f>SUM(H452)</f>
        <v>6200.3</v>
      </c>
      <c r="I450" s="30" t="e">
        <f t="shared" si="15"/>
        <v>#DIV/0!</v>
      </c>
    </row>
    <row r="451" spans="1:9" s="63" customFormat="1" ht="15" hidden="1">
      <c r="A451" s="26" t="s">
        <v>10</v>
      </c>
      <c r="B451" s="62"/>
      <c r="C451" s="28" t="s">
        <v>31</v>
      </c>
      <c r="D451" s="28" t="s">
        <v>950</v>
      </c>
      <c r="E451" s="57" t="s">
        <v>201</v>
      </c>
      <c r="F451" s="49" t="s">
        <v>11</v>
      </c>
      <c r="G451" s="30"/>
      <c r="H451" s="30"/>
      <c r="I451" s="30"/>
    </row>
    <row r="452" spans="1:9" s="63" customFormat="1" ht="27" customHeight="1" hidden="1">
      <c r="A452" s="26" t="s">
        <v>947</v>
      </c>
      <c r="B452" s="62"/>
      <c r="C452" s="28" t="s">
        <v>31</v>
      </c>
      <c r="D452" s="28" t="s">
        <v>950</v>
      </c>
      <c r="E452" s="57" t="s">
        <v>201</v>
      </c>
      <c r="F452" s="49" t="s">
        <v>948</v>
      </c>
      <c r="G452" s="30"/>
      <c r="H452" s="30">
        <v>6200.3</v>
      </c>
      <c r="I452" s="30" t="e">
        <f t="shared" si="15"/>
        <v>#DIV/0!</v>
      </c>
    </row>
    <row r="453" spans="1:9" s="63" customFormat="1" ht="15" hidden="1">
      <c r="A453" s="46" t="s">
        <v>20</v>
      </c>
      <c r="B453" s="62"/>
      <c r="C453" s="28" t="s">
        <v>31</v>
      </c>
      <c r="D453" s="28" t="s">
        <v>950</v>
      </c>
      <c r="E453" s="57" t="s">
        <v>21</v>
      </c>
      <c r="F453" s="49"/>
      <c r="G453" s="30">
        <f>SUM(G460)</f>
        <v>0</v>
      </c>
      <c r="H453" s="30">
        <f>SUM(H454)</f>
        <v>395.4</v>
      </c>
      <c r="I453" s="30" t="e">
        <f t="shared" si="15"/>
        <v>#DIV/0!</v>
      </c>
    </row>
    <row r="454" spans="1:9" s="63" customFormat="1" ht="42.75" hidden="1">
      <c r="A454" s="26" t="s">
        <v>202</v>
      </c>
      <c r="B454" s="62"/>
      <c r="C454" s="28" t="s">
        <v>31</v>
      </c>
      <c r="D454" s="28" t="s">
        <v>950</v>
      </c>
      <c r="E454" s="57" t="s">
        <v>115</v>
      </c>
      <c r="F454" s="49"/>
      <c r="G454" s="30">
        <f>SUM(G456)+G455</f>
        <v>0</v>
      </c>
      <c r="H454" s="30">
        <f>SUM(H456)+H455</f>
        <v>395.4</v>
      </c>
      <c r="I454" s="30" t="e">
        <f t="shared" si="15"/>
        <v>#DIV/0!</v>
      </c>
    </row>
    <row r="455" spans="1:9" s="63" customFormat="1" ht="29.25" customHeight="1" hidden="1">
      <c r="A455" s="26" t="s">
        <v>947</v>
      </c>
      <c r="B455" s="62"/>
      <c r="C455" s="28" t="s">
        <v>31</v>
      </c>
      <c r="D455" s="28" t="s">
        <v>950</v>
      </c>
      <c r="E455" s="57" t="s">
        <v>115</v>
      </c>
      <c r="F455" s="29" t="s">
        <v>948</v>
      </c>
      <c r="G455" s="50"/>
      <c r="H455" s="50">
        <v>395.4</v>
      </c>
      <c r="I455" s="30" t="e">
        <f t="shared" si="15"/>
        <v>#DIV/0!</v>
      </c>
    </row>
    <row r="456" spans="1:9" s="63" customFormat="1" ht="39.75" customHeight="1" hidden="1">
      <c r="A456" s="46" t="s">
        <v>203</v>
      </c>
      <c r="B456" s="66"/>
      <c r="C456" s="28" t="s">
        <v>31</v>
      </c>
      <c r="D456" s="28" t="s">
        <v>950</v>
      </c>
      <c r="E456" s="57" t="s">
        <v>204</v>
      </c>
      <c r="F456" s="49" t="s">
        <v>948</v>
      </c>
      <c r="G456" s="50"/>
      <c r="H456" s="50"/>
      <c r="I456" s="30" t="e">
        <f t="shared" si="15"/>
        <v>#DIV/0!</v>
      </c>
    </row>
    <row r="457" spans="1:9" s="63" customFormat="1" ht="26.25" customHeight="1" hidden="1">
      <c r="A457" s="47" t="s">
        <v>205</v>
      </c>
      <c r="B457" s="66"/>
      <c r="C457" s="28" t="s">
        <v>31</v>
      </c>
      <c r="D457" s="28" t="s">
        <v>950</v>
      </c>
      <c r="E457" s="57" t="s">
        <v>206</v>
      </c>
      <c r="F457" s="49" t="s">
        <v>948</v>
      </c>
      <c r="G457" s="50"/>
      <c r="H457" s="50"/>
      <c r="I457" s="30" t="e">
        <f t="shared" si="15"/>
        <v>#DIV/0!</v>
      </c>
    </row>
    <row r="458" spans="1:9" ht="28.5" hidden="1">
      <c r="A458" s="26" t="s">
        <v>207</v>
      </c>
      <c r="B458" s="27"/>
      <c r="C458" s="67" t="s">
        <v>31</v>
      </c>
      <c r="D458" s="67" t="s">
        <v>950</v>
      </c>
      <c r="E458" s="67" t="s">
        <v>208</v>
      </c>
      <c r="F458" s="29"/>
      <c r="G458" s="50">
        <f>SUM(G459)</f>
        <v>0</v>
      </c>
      <c r="H458" s="50"/>
      <c r="I458" s="30"/>
    </row>
    <row r="459" spans="1:9" ht="15" hidden="1">
      <c r="A459" s="26" t="s">
        <v>10</v>
      </c>
      <c r="B459" s="27"/>
      <c r="C459" s="67" t="s">
        <v>31</v>
      </c>
      <c r="D459" s="67" t="s">
        <v>950</v>
      </c>
      <c r="E459" s="67" t="s">
        <v>209</v>
      </c>
      <c r="F459" s="29" t="s">
        <v>11</v>
      </c>
      <c r="G459" s="50"/>
      <c r="H459" s="50"/>
      <c r="I459" s="30"/>
    </row>
    <row r="460" spans="1:9" ht="28.5" hidden="1">
      <c r="A460" s="26" t="s">
        <v>336</v>
      </c>
      <c r="B460" s="27"/>
      <c r="C460" s="67" t="s">
        <v>31</v>
      </c>
      <c r="D460" s="67" t="s">
        <v>950</v>
      </c>
      <c r="E460" s="57" t="s">
        <v>92</v>
      </c>
      <c r="F460" s="29"/>
      <c r="G460" s="50">
        <f>SUM(G461)</f>
        <v>0</v>
      </c>
      <c r="H460" s="50"/>
      <c r="I460" s="30"/>
    </row>
    <row r="461" spans="1:9" ht="15" hidden="1">
      <c r="A461" s="26" t="s">
        <v>195</v>
      </c>
      <c r="B461" s="27"/>
      <c r="C461" s="67" t="s">
        <v>31</v>
      </c>
      <c r="D461" s="67" t="s">
        <v>950</v>
      </c>
      <c r="E461" s="57" t="s">
        <v>92</v>
      </c>
      <c r="F461" s="29" t="s">
        <v>42</v>
      </c>
      <c r="G461" s="50"/>
      <c r="H461" s="50"/>
      <c r="I461" s="30"/>
    </row>
    <row r="462" spans="1:9" ht="28.5">
      <c r="A462" s="60" t="s">
        <v>210</v>
      </c>
      <c r="B462" s="27"/>
      <c r="C462" s="28" t="s">
        <v>31</v>
      </c>
      <c r="D462" s="28" t="s">
        <v>31</v>
      </c>
      <c r="E462" s="28"/>
      <c r="F462" s="29"/>
      <c r="G462" s="30">
        <f>SUM(G463+G466+G482+G470)+G478</f>
        <v>50675.8</v>
      </c>
      <c r="H462" s="30">
        <f>SUM(H463+H466+H482+H470)+H478</f>
        <v>7261.6</v>
      </c>
      <c r="I462" s="30">
        <f t="shared" si="15"/>
        <v>14.329522178238923</v>
      </c>
    </row>
    <row r="463" spans="1:9" ht="41.25" customHeight="1" hidden="1">
      <c r="A463" s="26" t="s">
        <v>51</v>
      </c>
      <c r="B463" s="27"/>
      <c r="C463" s="28" t="s">
        <v>31</v>
      </c>
      <c r="D463" s="28" t="s">
        <v>31</v>
      </c>
      <c r="E463" s="28" t="s">
        <v>52</v>
      </c>
      <c r="F463" s="29"/>
      <c r="G463" s="30">
        <f>SUM(G464+G467)</f>
        <v>0</v>
      </c>
      <c r="H463" s="30">
        <f>SUM(H464+H467)</f>
        <v>0</v>
      </c>
      <c r="I463" s="30" t="e">
        <f t="shared" si="15"/>
        <v>#DIV/0!</v>
      </c>
    </row>
    <row r="464" spans="1:9" ht="27.75" customHeight="1" hidden="1">
      <c r="A464" s="26" t="s">
        <v>337</v>
      </c>
      <c r="B464" s="27"/>
      <c r="C464" s="28" t="s">
        <v>31</v>
      </c>
      <c r="D464" s="28" t="s">
        <v>31</v>
      </c>
      <c r="E464" s="28" t="s">
        <v>54</v>
      </c>
      <c r="F464" s="29"/>
      <c r="G464" s="30">
        <f>SUM(G465)</f>
        <v>0</v>
      </c>
      <c r="H464" s="30">
        <f>SUM(H465)</f>
        <v>0</v>
      </c>
      <c r="I464" s="30" t="e">
        <f t="shared" si="15"/>
        <v>#DIV/0!</v>
      </c>
    </row>
    <row r="465" spans="1:9" ht="18.75" customHeight="1" hidden="1">
      <c r="A465" s="26" t="s">
        <v>195</v>
      </c>
      <c r="B465" s="27"/>
      <c r="C465" s="28" t="s">
        <v>31</v>
      </c>
      <c r="D465" s="28" t="s">
        <v>31</v>
      </c>
      <c r="E465" s="28" t="s">
        <v>54</v>
      </c>
      <c r="F465" s="29" t="s">
        <v>42</v>
      </c>
      <c r="G465" s="30"/>
      <c r="H465" s="30"/>
      <c r="I465" s="30" t="e">
        <f t="shared" si="15"/>
        <v>#DIV/0!</v>
      </c>
    </row>
    <row r="466" spans="1:9" ht="25.5" customHeight="1" hidden="1">
      <c r="A466" s="31" t="s">
        <v>211</v>
      </c>
      <c r="B466" s="27"/>
      <c r="C466" s="28" t="s">
        <v>31</v>
      </c>
      <c r="D466" s="28" t="s">
        <v>31</v>
      </c>
      <c r="E466" s="28" t="s">
        <v>212</v>
      </c>
      <c r="F466" s="29"/>
      <c r="G466" s="30"/>
      <c r="H466" s="30"/>
      <c r="I466" s="30" t="e">
        <f t="shared" si="15"/>
        <v>#DIV/0!</v>
      </c>
    </row>
    <row r="467" spans="1:9" ht="27.75" customHeight="1" hidden="1">
      <c r="A467" s="31" t="s">
        <v>213</v>
      </c>
      <c r="B467" s="27"/>
      <c r="C467" s="28" t="s">
        <v>31</v>
      </c>
      <c r="D467" s="28" t="s">
        <v>31</v>
      </c>
      <c r="E467" s="28" t="s">
        <v>214</v>
      </c>
      <c r="F467" s="29"/>
      <c r="G467" s="30">
        <f>SUM(G469)</f>
        <v>0</v>
      </c>
      <c r="H467" s="30">
        <f>SUM(H469)</f>
        <v>0</v>
      </c>
      <c r="I467" s="30" t="e">
        <f t="shared" si="15"/>
        <v>#DIV/0!</v>
      </c>
    </row>
    <row r="468" spans="1:9" ht="42.75" customHeight="1" hidden="1">
      <c r="A468" s="31" t="s">
        <v>215</v>
      </c>
      <c r="B468" s="27"/>
      <c r="C468" s="28" t="s">
        <v>31</v>
      </c>
      <c r="D468" s="28" t="s">
        <v>31</v>
      </c>
      <c r="E468" s="28" t="s">
        <v>216</v>
      </c>
      <c r="F468" s="29"/>
      <c r="G468" s="30">
        <f>SUM(G469)</f>
        <v>0</v>
      </c>
      <c r="H468" s="30">
        <f>SUM(H469)</f>
        <v>0</v>
      </c>
      <c r="I468" s="30" t="e">
        <f t="shared" si="15"/>
        <v>#DIV/0!</v>
      </c>
    </row>
    <row r="469" spans="1:9" ht="19.5" customHeight="1" hidden="1">
      <c r="A469" s="26" t="s">
        <v>195</v>
      </c>
      <c r="B469" s="27"/>
      <c r="C469" s="28" t="s">
        <v>31</v>
      </c>
      <c r="D469" s="28" t="s">
        <v>31</v>
      </c>
      <c r="E469" s="28" t="s">
        <v>216</v>
      </c>
      <c r="F469" s="29" t="s">
        <v>42</v>
      </c>
      <c r="G469" s="50"/>
      <c r="H469" s="50"/>
      <c r="I469" s="30" t="e">
        <f t="shared" si="15"/>
        <v>#DIV/0!</v>
      </c>
    </row>
    <row r="470" spans="1:9" ht="21.75" customHeight="1">
      <c r="A470" s="31" t="s">
        <v>67</v>
      </c>
      <c r="B470" s="51"/>
      <c r="C470" s="28" t="s">
        <v>31</v>
      </c>
      <c r="D470" s="28" t="s">
        <v>31</v>
      </c>
      <c r="E470" s="57" t="s">
        <v>68</v>
      </c>
      <c r="F470" s="29"/>
      <c r="G470" s="50">
        <f>SUM(G471+G476)</f>
        <v>15782.1</v>
      </c>
      <c r="H470" s="50">
        <f>SUM(H471+H476)</f>
        <v>4731.200000000001</v>
      </c>
      <c r="I470" s="30">
        <f t="shared" si="15"/>
        <v>29.97826651713017</v>
      </c>
    </row>
    <row r="471" spans="1:9" ht="47.25" customHeight="1">
      <c r="A471" s="26" t="s">
        <v>71</v>
      </c>
      <c r="B471" s="51"/>
      <c r="C471" s="28" t="s">
        <v>31</v>
      </c>
      <c r="D471" s="28" t="s">
        <v>31</v>
      </c>
      <c r="E471" s="57" t="s">
        <v>72</v>
      </c>
      <c r="F471" s="29"/>
      <c r="G471" s="50">
        <f>SUM(G472+G474)</f>
        <v>13251.1</v>
      </c>
      <c r="H471" s="50">
        <f>SUM(H472+H474)</f>
        <v>4731.200000000001</v>
      </c>
      <c r="I471" s="30">
        <f t="shared" si="15"/>
        <v>35.70420568858435</v>
      </c>
    </row>
    <row r="472" spans="1:9" ht="28.5">
      <c r="A472" s="31" t="s">
        <v>110</v>
      </c>
      <c r="B472" s="27"/>
      <c r="C472" s="28" t="s">
        <v>31</v>
      </c>
      <c r="D472" s="28" t="s">
        <v>31</v>
      </c>
      <c r="E472" s="57" t="s">
        <v>111</v>
      </c>
      <c r="F472" s="29"/>
      <c r="G472" s="50">
        <f>SUM(G473,G481)</f>
        <v>13251.1</v>
      </c>
      <c r="H472" s="50">
        <f>SUM(H473,H481)</f>
        <v>4731.200000000001</v>
      </c>
      <c r="I472" s="30">
        <f t="shared" si="15"/>
        <v>35.70420568858435</v>
      </c>
    </row>
    <row r="473" spans="1:9" ht="18.75" customHeight="1">
      <c r="A473" s="26" t="s">
        <v>195</v>
      </c>
      <c r="B473" s="27"/>
      <c r="C473" s="28" t="s">
        <v>31</v>
      </c>
      <c r="D473" s="28" t="s">
        <v>31</v>
      </c>
      <c r="E473" s="57" t="s">
        <v>111</v>
      </c>
      <c r="F473" s="29" t="s">
        <v>42</v>
      </c>
      <c r="G473" s="50">
        <f>13976-724.9</f>
        <v>13251.1</v>
      </c>
      <c r="H473" s="50">
        <v>2740.8</v>
      </c>
      <c r="I473" s="30">
        <f t="shared" si="15"/>
        <v>20.683565892642875</v>
      </c>
    </row>
    <row r="474" spans="1:9" ht="27" customHeight="1" hidden="1">
      <c r="A474" s="26" t="s">
        <v>217</v>
      </c>
      <c r="B474" s="27"/>
      <c r="C474" s="28" t="s">
        <v>31</v>
      </c>
      <c r="D474" s="28" t="s">
        <v>31</v>
      </c>
      <c r="E474" s="57" t="s">
        <v>218</v>
      </c>
      <c r="F474" s="29"/>
      <c r="G474" s="50">
        <f>SUM(G475)</f>
        <v>0</v>
      </c>
      <c r="H474" s="50">
        <f>SUM(H475)</f>
        <v>0</v>
      </c>
      <c r="I474" s="30" t="e">
        <f t="shared" si="15"/>
        <v>#DIV/0!</v>
      </c>
    </row>
    <row r="475" spans="1:9" ht="19.5" customHeight="1" hidden="1">
      <c r="A475" s="26" t="s">
        <v>195</v>
      </c>
      <c r="B475" s="27"/>
      <c r="C475" s="28" t="s">
        <v>31</v>
      </c>
      <c r="D475" s="28" t="s">
        <v>31</v>
      </c>
      <c r="E475" s="57" t="s">
        <v>218</v>
      </c>
      <c r="F475" s="29" t="s">
        <v>42</v>
      </c>
      <c r="G475" s="50"/>
      <c r="H475" s="50"/>
      <c r="I475" s="30" t="e">
        <f t="shared" si="15"/>
        <v>#DIV/0!</v>
      </c>
    </row>
    <row r="476" spans="1:9" ht="66" customHeight="1">
      <c r="A476" s="26" t="s">
        <v>338</v>
      </c>
      <c r="B476" s="27"/>
      <c r="C476" s="28" t="s">
        <v>31</v>
      </c>
      <c r="D476" s="28" t="s">
        <v>31</v>
      </c>
      <c r="E476" s="57" t="s">
        <v>222</v>
      </c>
      <c r="F476" s="29"/>
      <c r="G476" s="50">
        <f>SUM(G477)</f>
        <v>2531</v>
      </c>
      <c r="H476" s="50">
        <f>SUM(H477)</f>
        <v>0</v>
      </c>
      <c r="I476" s="30">
        <f t="shared" si="15"/>
        <v>0</v>
      </c>
    </row>
    <row r="477" spans="1:9" ht="21.75" customHeight="1">
      <c r="A477" s="26" t="s">
        <v>195</v>
      </c>
      <c r="B477" s="27"/>
      <c r="C477" s="28" t="s">
        <v>31</v>
      </c>
      <c r="D477" s="28" t="s">
        <v>31</v>
      </c>
      <c r="E477" s="57" t="s">
        <v>222</v>
      </c>
      <c r="F477" s="29" t="s">
        <v>42</v>
      </c>
      <c r="G477" s="50">
        <f>4186-1655</f>
        <v>2531</v>
      </c>
      <c r="H477" s="50"/>
      <c r="I477" s="30">
        <f t="shared" si="15"/>
        <v>0</v>
      </c>
    </row>
    <row r="478" spans="1:9" ht="16.5" customHeight="1" hidden="1">
      <c r="A478" s="26" t="s">
        <v>223</v>
      </c>
      <c r="B478" s="27"/>
      <c r="C478" s="28" t="s">
        <v>31</v>
      </c>
      <c r="D478" s="28" t="s">
        <v>31</v>
      </c>
      <c r="E478" s="57" t="s">
        <v>224</v>
      </c>
      <c r="F478" s="29"/>
      <c r="G478" s="50">
        <f>SUM(G479)</f>
        <v>0</v>
      </c>
      <c r="H478" s="50">
        <f>SUM(H479)</f>
        <v>0</v>
      </c>
      <c r="I478" s="30" t="e">
        <f t="shared" si="15"/>
        <v>#DIV/0!</v>
      </c>
    </row>
    <row r="479" spans="1:9" ht="16.5" customHeight="1" hidden="1">
      <c r="A479" s="26" t="s">
        <v>225</v>
      </c>
      <c r="B479" s="27"/>
      <c r="C479" s="28" t="s">
        <v>31</v>
      </c>
      <c r="D479" s="28" t="s">
        <v>31</v>
      </c>
      <c r="E479" s="57" t="s">
        <v>226</v>
      </c>
      <c r="F479" s="29"/>
      <c r="G479" s="50">
        <f>SUM(G480)</f>
        <v>0</v>
      </c>
      <c r="H479" s="50">
        <f>SUM(H480)</f>
        <v>0</v>
      </c>
      <c r="I479" s="30" t="e">
        <f t="shared" si="15"/>
        <v>#DIV/0!</v>
      </c>
    </row>
    <row r="480" spans="1:9" ht="15" customHeight="1" hidden="1">
      <c r="A480" s="26" t="s">
        <v>195</v>
      </c>
      <c r="B480" s="27"/>
      <c r="C480" s="28" t="s">
        <v>31</v>
      </c>
      <c r="D480" s="28" t="s">
        <v>31</v>
      </c>
      <c r="E480" s="57" t="s">
        <v>226</v>
      </c>
      <c r="F480" s="29" t="s">
        <v>42</v>
      </c>
      <c r="G480" s="50"/>
      <c r="H480" s="50"/>
      <c r="I480" s="30" t="e">
        <f t="shared" si="15"/>
        <v>#DIV/0!</v>
      </c>
    </row>
    <row r="481" spans="1:9" ht="30" customHeight="1" hidden="1">
      <c r="A481" s="26" t="s">
        <v>947</v>
      </c>
      <c r="B481" s="27"/>
      <c r="C481" s="28" t="s">
        <v>31</v>
      </c>
      <c r="D481" s="28" t="s">
        <v>31</v>
      </c>
      <c r="E481" s="57" t="s">
        <v>111</v>
      </c>
      <c r="F481" s="29" t="s">
        <v>948</v>
      </c>
      <c r="G481" s="50"/>
      <c r="H481" s="50">
        <v>1990.4</v>
      </c>
      <c r="I481" s="30" t="e">
        <f t="shared" si="15"/>
        <v>#DIV/0!</v>
      </c>
    </row>
    <row r="482" spans="1:9" ht="15">
      <c r="A482" s="26" t="s">
        <v>20</v>
      </c>
      <c r="B482" s="27"/>
      <c r="C482" s="28" t="s">
        <v>31</v>
      </c>
      <c r="D482" s="28" t="s">
        <v>31</v>
      </c>
      <c r="E482" s="28" t="s">
        <v>21</v>
      </c>
      <c r="F482" s="29"/>
      <c r="G482" s="30">
        <f>SUM(G487+G489+G490+G496)+G483+G498</f>
        <v>34893.700000000004</v>
      </c>
      <c r="H482" s="30">
        <f>SUM(H487+H489+H490+H496)</f>
        <v>2530.4</v>
      </c>
      <c r="I482" s="30">
        <f t="shared" si="15"/>
        <v>7.25173885257224</v>
      </c>
    </row>
    <row r="483" spans="1:9" ht="15">
      <c r="A483" s="26" t="s">
        <v>195</v>
      </c>
      <c r="B483" s="27"/>
      <c r="C483" s="28" t="s">
        <v>31</v>
      </c>
      <c r="D483" s="28" t="s">
        <v>31</v>
      </c>
      <c r="E483" s="28" t="s">
        <v>21</v>
      </c>
      <c r="F483" s="29" t="s">
        <v>42</v>
      </c>
      <c r="G483" s="30">
        <f>SUM(G484:G487)</f>
        <v>22759.600000000002</v>
      </c>
      <c r="H483" s="30">
        <f>SUM(H487)</f>
        <v>492.1</v>
      </c>
      <c r="I483" s="30">
        <f t="shared" si="15"/>
        <v>2.16216453716234</v>
      </c>
    </row>
    <row r="484" spans="1:9" ht="15">
      <c r="A484" s="26" t="s">
        <v>227</v>
      </c>
      <c r="B484" s="27"/>
      <c r="C484" s="69" t="s">
        <v>31</v>
      </c>
      <c r="D484" s="69" t="s">
        <v>31</v>
      </c>
      <c r="E484" s="69" t="s">
        <v>228</v>
      </c>
      <c r="F484" s="29" t="s">
        <v>42</v>
      </c>
      <c r="G484" s="30">
        <f>4600+710+4500-421.4-13.3</f>
        <v>9375.300000000001</v>
      </c>
      <c r="H484" s="30"/>
      <c r="I484" s="30"/>
    </row>
    <row r="485" spans="1:9" ht="28.5">
      <c r="A485" s="26" t="s">
        <v>339</v>
      </c>
      <c r="B485" s="27"/>
      <c r="C485" s="69" t="s">
        <v>31</v>
      </c>
      <c r="D485" s="69" t="s">
        <v>31</v>
      </c>
      <c r="E485" s="69" t="s">
        <v>340</v>
      </c>
      <c r="F485" s="29" t="s">
        <v>42</v>
      </c>
      <c r="G485" s="30">
        <f>4549-262.8-437.2</f>
        <v>3849</v>
      </c>
      <c r="H485" s="30"/>
      <c r="I485" s="30"/>
    </row>
    <row r="486" spans="1:9" ht="41.25" customHeight="1">
      <c r="A486" s="26" t="s">
        <v>341</v>
      </c>
      <c r="B486" s="27"/>
      <c r="C486" s="69" t="s">
        <v>31</v>
      </c>
      <c r="D486" s="69" t="s">
        <v>31</v>
      </c>
      <c r="E486" s="69" t="s">
        <v>316</v>
      </c>
      <c r="F486" s="29" t="s">
        <v>42</v>
      </c>
      <c r="G486" s="30">
        <f>13802.4-4947.2+680.1</f>
        <v>9535.300000000001</v>
      </c>
      <c r="H486" s="30"/>
      <c r="I486" s="30"/>
    </row>
    <row r="487" spans="1:9" ht="21.75" customHeight="1" hidden="1">
      <c r="A487" s="47" t="s">
        <v>227</v>
      </c>
      <c r="B487" s="68"/>
      <c r="C487" s="69" t="s">
        <v>31</v>
      </c>
      <c r="D487" s="69" t="s">
        <v>31</v>
      </c>
      <c r="E487" s="69" t="s">
        <v>228</v>
      </c>
      <c r="F487" s="29" t="s">
        <v>42</v>
      </c>
      <c r="G487" s="58"/>
      <c r="H487" s="58">
        <v>492.1</v>
      </c>
      <c r="I487" s="30" t="e">
        <f aca="true" t="shared" si="16" ref="I487:I549">SUM(H487/G487*100)</f>
        <v>#DIV/0!</v>
      </c>
    </row>
    <row r="488" spans="1:9" ht="18.75" customHeight="1" hidden="1">
      <c r="A488" s="26" t="s">
        <v>947</v>
      </c>
      <c r="B488" s="62"/>
      <c r="C488" s="69" t="s">
        <v>31</v>
      </c>
      <c r="D488" s="69" t="s">
        <v>31</v>
      </c>
      <c r="E488" s="57" t="s">
        <v>21</v>
      </c>
      <c r="F488" s="49" t="s">
        <v>948</v>
      </c>
      <c r="G488" s="30">
        <f>SUM(G489)</f>
        <v>0</v>
      </c>
      <c r="H488" s="30">
        <f>SUM(H489)</f>
        <v>0</v>
      </c>
      <c r="I488" s="30" t="e">
        <f t="shared" si="16"/>
        <v>#DIV/0!</v>
      </c>
    </row>
    <row r="489" spans="1:9" ht="18" customHeight="1" hidden="1">
      <c r="A489" s="46" t="s">
        <v>116</v>
      </c>
      <c r="B489" s="62"/>
      <c r="C489" s="69" t="s">
        <v>31</v>
      </c>
      <c r="D489" s="69" t="s">
        <v>31</v>
      </c>
      <c r="E489" s="57" t="s">
        <v>117</v>
      </c>
      <c r="F489" s="29" t="s">
        <v>948</v>
      </c>
      <c r="G489" s="50"/>
      <c r="H489" s="50"/>
      <c r="I489" s="30" t="e">
        <f t="shared" si="16"/>
        <v>#DIV/0!</v>
      </c>
    </row>
    <row r="490" spans="1:9" ht="27" customHeight="1">
      <c r="A490" s="26" t="s">
        <v>342</v>
      </c>
      <c r="B490" s="27"/>
      <c r="C490" s="28" t="s">
        <v>31</v>
      </c>
      <c r="D490" s="28" t="s">
        <v>31</v>
      </c>
      <c r="E490" s="28" t="s">
        <v>119</v>
      </c>
      <c r="F490" s="29"/>
      <c r="G490" s="30">
        <f>SUM(G491+G494)</f>
        <v>10334.1</v>
      </c>
      <c r="H490" s="30">
        <f>SUM(H491+H494)</f>
        <v>2038.3</v>
      </c>
      <c r="I490" s="30">
        <f t="shared" si="16"/>
        <v>19.724020475900176</v>
      </c>
    </row>
    <row r="491" spans="1:9" ht="30.75" customHeight="1">
      <c r="A491" s="47" t="s">
        <v>110</v>
      </c>
      <c r="B491" s="68"/>
      <c r="C491" s="28" t="s">
        <v>31</v>
      </c>
      <c r="D491" s="28" t="s">
        <v>31</v>
      </c>
      <c r="E491" s="28" t="s">
        <v>120</v>
      </c>
      <c r="F491" s="29"/>
      <c r="G491" s="58">
        <f>SUM(G492:G493)</f>
        <v>4740.200000000001</v>
      </c>
      <c r="H491" s="58">
        <f>SUM(H492:H493)</f>
        <v>1157.5</v>
      </c>
      <c r="I491" s="30">
        <f t="shared" si="16"/>
        <v>24.418800894477023</v>
      </c>
    </row>
    <row r="492" spans="1:9" ht="27" customHeight="1">
      <c r="A492" s="26" t="s">
        <v>195</v>
      </c>
      <c r="B492" s="27"/>
      <c r="C492" s="28" t="s">
        <v>31</v>
      </c>
      <c r="D492" s="28" t="s">
        <v>31</v>
      </c>
      <c r="E492" s="28" t="s">
        <v>120</v>
      </c>
      <c r="F492" s="29" t="s">
        <v>42</v>
      </c>
      <c r="G492" s="50">
        <f>4154-7.4+593.6</f>
        <v>4740.200000000001</v>
      </c>
      <c r="H492" s="50">
        <v>1157.5</v>
      </c>
      <c r="I492" s="30">
        <f t="shared" si="16"/>
        <v>24.418800894477023</v>
      </c>
    </row>
    <row r="493" spans="1:9" ht="36" customHeight="1" hidden="1">
      <c r="A493" s="26" t="s">
        <v>947</v>
      </c>
      <c r="B493" s="62"/>
      <c r="C493" s="28" t="s">
        <v>31</v>
      </c>
      <c r="D493" s="28" t="s">
        <v>31</v>
      </c>
      <c r="E493" s="28" t="s">
        <v>120</v>
      </c>
      <c r="F493" s="49" t="s">
        <v>948</v>
      </c>
      <c r="G493" s="30"/>
      <c r="H493" s="30"/>
      <c r="I493" s="30" t="e">
        <f t="shared" si="16"/>
        <v>#DIV/0!</v>
      </c>
    </row>
    <row r="494" spans="1:9" ht="36.75" customHeight="1">
      <c r="A494" s="46" t="s">
        <v>229</v>
      </c>
      <c r="B494" s="27"/>
      <c r="C494" s="28" t="s">
        <v>31</v>
      </c>
      <c r="D494" s="28" t="s">
        <v>31</v>
      </c>
      <c r="E494" s="28" t="s">
        <v>230</v>
      </c>
      <c r="F494" s="29"/>
      <c r="G494" s="30">
        <f>SUM(G495)</f>
        <v>5593.9</v>
      </c>
      <c r="H494" s="30">
        <f>SUM(H495)</f>
        <v>880.8</v>
      </c>
      <c r="I494" s="30">
        <f t="shared" si="16"/>
        <v>15.745723019717909</v>
      </c>
    </row>
    <row r="495" spans="1:9" ht="15" customHeight="1">
      <c r="A495" s="26" t="s">
        <v>195</v>
      </c>
      <c r="B495" s="27"/>
      <c r="C495" s="28" t="s">
        <v>31</v>
      </c>
      <c r="D495" s="28" t="s">
        <v>31</v>
      </c>
      <c r="E495" s="28" t="s">
        <v>230</v>
      </c>
      <c r="F495" s="29" t="s">
        <v>42</v>
      </c>
      <c r="G495" s="50">
        <f>5674.5-80.6</f>
        <v>5593.9</v>
      </c>
      <c r="H495" s="50">
        <v>880.8</v>
      </c>
      <c r="I495" s="30">
        <f t="shared" si="16"/>
        <v>15.745723019717909</v>
      </c>
    </row>
    <row r="496" spans="1:9" ht="43.5" customHeight="1" hidden="1">
      <c r="A496" s="26" t="s">
        <v>343</v>
      </c>
      <c r="B496" s="27"/>
      <c r="C496" s="28" t="s">
        <v>31</v>
      </c>
      <c r="D496" s="28" t="s">
        <v>31</v>
      </c>
      <c r="E496" s="57" t="s">
        <v>92</v>
      </c>
      <c r="F496" s="29"/>
      <c r="G496" s="50">
        <f>SUM(G497)</f>
        <v>0</v>
      </c>
      <c r="H496" s="50">
        <f>SUM(H497)</f>
        <v>0</v>
      </c>
      <c r="I496" s="30" t="e">
        <f t="shared" si="16"/>
        <v>#DIV/0!</v>
      </c>
    </row>
    <row r="497" spans="1:9" ht="21" customHeight="1" hidden="1">
      <c r="A497" s="26" t="s">
        <v>195</v>
      </c>
      <c r="B497" s="27"/>
      <c r="C497" s="28" t="s">
        <v>31</v>
      </c>
      <c r="D497" s="28" t="s">
        <v>31</v>
      </c>
      <c r="E497" s="57" t="s">
        <v>92</v>
      </c>
      <c r="F497" s="29" t="s">
        <v>42</v>
      </c>
      <c r="G497" s="50"/>
      <c r="H497" s="50"/>
      <c r="I497" s="30" t="e">
        <f t="shared" si="16"/>
        <v>#DIV/0!</v>
      </c>
    </row>
    <row r="498" spans="1:9" ht="36.75" customHeight="1">
      <c r="A498" s="26" t="s">
        <v>344</v>
      </c>
      <c r="B498" s="27"/>
      <c r="C498" s="28" t="s">
        <v>31</v>
      </c>
      <c r="D498" s="28" t="s">
        <v>31</v>
      </c>
      <c r="E498" s="57" t="s">
        <v>345</v>
      </c>
      <c r="F498" s="29"/>
      <c r="G498" s="50">
        <f>SUM(G499)</f>
        <v>1800</v>
      </c>
      <c r="H498" s="50">
        <f>SUM(H499)</f>
        <v>0</v>
      </c>
      <c r="I498" s="30">
        <f>SUM(H498/G498*100)</f>
        <v>0</v>
      </c>
    </row>
    <row r="499" spans="1:9" ht="21" customHeight="1">
      <c r="A499" s="26" t="s">
        <v>195</v>
      </c>
      <c r="B499" s="27"/>
      <c r="C499" s="28" t="s">
        <v>31</v>
      </c>
      <c r="D499" s="28" t="s">
        <v>31</v>
      </c>
      <c r="E499" s="57" t="s">
        <v>345</v>
      </c>
      <c r="F499" s="29" t="s">
        <v>42</v>
      </c>
      <c r="G499" s="50">
        <v>1800</v>
      </c>
      <c r="H499" s="50"/>
      <c r="I499" s="30">
        <f>SUM(H499/G499*100)</f>
        <v>0</v>
      </c>
    </row>
    <row r="500" spans="1:9" ht="16.5" customHeight="1">
      <c r="A500" s="26" t="s">
        <v>346</v>
      </c>
      <c r="B500" s="27"/>
      <c r="C500" s="28" t="s">
        <v>983</v>
      </c>
      <c r="D500" s="28"/>
      <c r="E500" s="28"/>
      <c r="F500" s="29"/>
      <c r="G500" s="30">
        <f>SUM(G501)+G505</f>
        <v>15790.4</v>
      </c>
      <c r="H500" s="30">
        <f>SUM(H501)+H505</f>
        <v>2547</v>
      </c>
      <c r="I500" s="30">
        <f t="shared" si="16"/>
        <v>16.13005370351606</v>
      </c>
    </row>
    <row r="501" spans="1:9" ht="31.5" customHeight="1">
      <c r="A501" s="26" t="s">
        <v>347</v>
      </c>
      <c r="B501" s="27"/>
      <c r="C501" s="28" t="s">
        <v>983</v>
      </c>
      <c r="D501" s="28" t="s">
        <v>950</v>
      </c>
      <c r="E501" s="28"/>
      <c r="F501" s="29"/>
      <c r="G501" s="30">
        <f>SUM(G504)</f>
        <v>3861.6</v>
      </c>
      <c r="H501" s="30">
        <f>SUM(H504)</f>
        <v>2199.7</v>
      </c>
      <c r="I501" s="30">
        <f t="shared" si="16"/>
        <v>56.96343484565982</v>
      </c>
    </row>
    <row r="502" spans="1:9" ht="15.75" customHeight="1">
      <c r="A502" s="26" t="s">
        <v>348</v>
      </c>
      <c r="B502" s="27"/>
      <c r="C502" s="28" t="s">
        <v>983</v>
      </c>
      <c r="D502" s="28" t="s">
        <v>950</v>
      </c>
      <c r="E502" s="28" t="s">
        <v>349</v>
      </c>
      <c r="F502" s="29"/>
      <c r="G502" s="30">
        <f>SUM(G503)</f>
        <v>3861.6</v>
      </c>
      <c r="H502" s="30">
        <f>SUM(H503)</f>
        <v>2199.7</v>
      </c>
      <c r="I502" s="30">
        <f t="shared" si="16"/>
        <v>56.96343484565982</v>
      </c>
    </row>
    <row r="503" spans="1:9" ht="28.5">
      <c r="A503" s="26" t="s">
        <v>234</v>
      </c>
      <c r="B503" s="27"/>
      <c r="C503" s="28" t="s">
        <v>983</v>
      </c>
      <c r="D503" s="28" t="s">
        <v>950</v>
      </c>
      <c r="E503" s="28" t="s">
        <v>350</v>
      </c>
      <c r="F503" s="29"/>
      <c r="G503" s="30">
        <f>SUM(G504)</f>
        <v>3861.6</v>
      </c>
      <c r="H503" s="30">
        <f>SUM(H504)</f>
        <v>2199.7</v>
      </c>
      <c r="I503" s="30">
        <f t="shared" si="16"/>
        <v>56.96343484565982</v>
      </c>
    </row>
    <row r="504" spans="1:9" ht="21.75" customHeight="1">
      <c r="A504" s="26" t="s">
        <v>969</v>
      </c>
      <c r="B504" s="27"/>
      <c r="C504" s="28" t="s">
        <v>983</v>
      </c>
      <c r="D504" s="28" t="s">
        <v>950</v>
      </c>
      <c r="E504" s="28" t="s">
        <v>350</v>
      </c>
      <c r="F504" s="29" t="s">
        <v>970</v>
      </c>
      <c r="G504" s="30">
        <v>3861.6</v>
      </c>
      <c r="H504" s="30">
        <v>2199.7</v>
      </c>
      <c r="I504" s="30">
        <f t="shared" si="16"/>
        <v>56.96343484565982</v>
      </c>
    </row>
    <row r="505" spans="1:9" ht="29.25" customHeight="1">
      <c r="A505" s="44" t="s">
        <v>240</v>
      </c>
      <c r="B505" s="27"/>
      <c r="C505" s="67" t="s">
        <v>983</v>
      </c>
      <c r="D505" s="67" t="s">
        <v>31</v>
      </c>
      <c r="E505" s="67"/>
      <c r="F505" s="34"/>
      <c r="G505" s="50">
        <f>SUM(G506+G509)</f>
        <v>11928.8</v>
      </c>
      <c r="H505" s="50">
        <f>SUM(H506+H509)</f>
        <v>347.3</v>
      </c>
      <c r="I505" s="30">
        <f t="shared" si="16"/>
        <v>2.9114412178928313</v>
      </c>
    </row>
    <row r="506" spans="1:9" ht="19.5" customHeight="1">
      <c r="A506" s="31" t="s">
        <v>67</v>
      </c>
      <c r="B506" s="27"/>
      <c r="C506" s="67" t="s">
        <v>983</v>
      </c>
      <c r="D506" s="67" t="s">
        <v>31</v>
      </c>
      <c r="E506" s="28" t="s">
        <v>68</v>
      </c>
      <c r="F506" s="34"/>
      <c r="G506" s="50">
        <f>SUM(G507)</f>
        <v>9800</v>
      </c>
      <c r="H506" s="50">
        <f>SUM(H507)</f>
        <v>0</v>
      </c>
      <c r="I506" s="30">
        <f t="shared" si="16"/>
        <v>0</v>
      </c>
    </row>
    <row r="507" spans="1:9" ht="42.75" customHeight="1">
      <c r="A507" s="31" t="s">
        <v>351</v>
      </c>
      <c r="B507" s="27"/>
      <c r="C507" s="67" t="s">
        <v>983</v>
      </c>
      <c r="D507" s="67" t="s">
        <v>31</v>
      </c>
      <c r="E507" s="28" t="s">
        <v>242</v>
      </c>
      <c r="F507" s="29"/>
      <c r="G507" s="50">
        <f>SUM(G508)</f>
        <v>9800</v>
      </c>
      <c r="H507" s="50">
        <f>SUM(H508)</f>
        <v>0</v>
      </c>
      <c r="I507" s="30">
        <f t="shared" si="16"/>
        <v>0</v>
      </c>
    </row>
    <row r="508" spans="1:9" ht="18" customHeight="1">
      <c r="A508" s="26" t="s">
        <v>195</v>
      </c>
      <c r="B508" s="27"/>
      <c r="C508" s="67" t="s">
        <v>983</v>
      </c>
      <c r="D508" s="67" t="s">
        <v>31</v>
      </c>
      <c r="E508" s="28" t="s">
        <v>242</v>
      </c>
      <c r="F508" s="29" t="s">
        <v>42</v>
      </c>
      <c r="G508" s="50">
        <v>9800</v>
      </c>
      <c r="H508" s="50"/>
      <c r="I508" s="30">
        <f t="shared" si="16"/>
        <v>0</v>
      </c>
    </row>
    <row r="509" spans="1:9" ht="20.25" customHeight="1">
      <c r="A509" s="26" t="s">
        <v>20</v>
      </c>
      <c r="B509" s="27"/>
      <c r="C509" s="67" t="s">
        <v>983</v>
      </c>
      <c r="D509" s="67" t="s">
        <v>31</v>
      </c>
      <c r="E509" s="28" t="s">
        <v>21</v>
      </c>
      <c r="F509" s="34"/>
      <c r="G509" s="50">
        <f>SUM(G513+G518)</f>
        <v>2128.8</v>
      </c>
      <c r="H509" s="50">
        <f>SUM(H513+H518)</f>
        <v>347.3</v>
      </c>
      <c r="I509" s="30">
        <f t="shared" si="16"/>
        <v>16.31435550544908</v>
      </c>
    </row>
    <row r="510" spans="1:9" ht="24" customHeight="1" hidden="1">
      <c r="A510" s="31" t="s">
        <v>243</v>
      </c>
      <c r="B510" s="27"/>
      <c r="C510" s="67" t="s">
        <v>983</v>
      </c>
      <c r="D510" s="67" t="s">
        <v>31</v>
      </c>
      <c r="E510" s="28" t="s">
        <v>21</v>
      </c>
      <c r="F510" s="34" t="s">
        <v>244</v>
      </c>
      <c r="G510" s="50"/>
      <c r="H510" s="50"/>
      <c r="I510" s="30" t="e">
        <f t="shared" si="16"/>
        <v>#DIV/0!</v>
      </c>
    </row>
    <row r="511" spans="1:9" ht="22.5" customHeight="1" hidden="1">
      <c r="A511" s="71" t="s">
        <v>245</v>
      </c>
      <c r="B511" s="27"/>
      <c r="C511" s="67" t="s">
        <v>983</v>
      </c>
      <c r="D511" s="67" t="s">
        <v>31</v>
      </c>
      <c r="E511" s="72" t="s">
        <v>21</v>
      </c>
      <c r="F511" s="73" t="s">
        <v>244</v>
      </c>
      <c r="G511" s="74"/>
      <c r="H511" s="74"/>
      <c r="I511" s="30" t="e">
        <f t="shared" si="16"/>
        <v>#DIV/0!</v>
      </c>
    </row>
    <row r="512" spans="1:9" ht="0.75" customHeight="1" hidden="1">
      <c r="A512" s="26" t="s">
        <v>969</v>
      </c>
      <c r="B512" s="27"/>
      <c r="C512" s="67" t="s">
        <v>983</v>
      </c>
      <c r="D512" s="67" t="s">
        <v>31</v>
      </c>
      <c r="E512" s="67" t="s">
        <v>21</v>
      </c>
      <c r="F512" s="34" t="s">
        <v>970</v>
      </c>
      <c r="G512" s="50"/>
      <c r="H512" s="50"/>
      <c r="I512" s="30" t="e">
        <f t="shared" si="16"/>
        <v>#DIV/0!</v>
      </c>
    </row>
    <row r="513" spans="1:9" ht="27.75" customHeight="1">
      <c r="A513" s="44" t="s">
        <v>207</v>
      </c>
      <c r="B513" s="27"/>
      <c r="C513" s="67" t="s">
        <v>983</v>
      </c>
      <c r="D513" s="67" t="s">
        <v>31</v>
      </c>
      <c r="E513" s="67" t="s">
        <v>209</v>
      </c>
      <c r="F513" s="34"/>
      <c r="G513" s="50">
        <f>SUM(G514:G517)</f>
        <v>2128.8</v>
      </c>
      <c r="H513" s="50">
        <f>SUM(H514:H516)</f>
        <v>347.3</v>
      </c>
      <c r="I513" s="30">
        <f t="shared" si="16"/>
        <v>16.31435550544908</v>
      </c>
    </row>
    <row r="514" spans="1:9" ht="15.75" customHeight="1" hidden="1">
      <c r="A514" s="26" t="s">
        <v>195</v>
      </c>
      <c r="B514" s="27"/>
      <c r="C514" s="67" t="s">
        <v>983</v>
      </c>
      <c r="D514" s="67" t="s">
        <v>31</v>
      </c>
      <c r="E514" s="67" t="s">
        <v>209</v>
      </c>
      <c r="F514" s="29" t="s">
        <v>42</v>
      </c>
      <c r="G514" s="50"/>
      <c r="H514" s="50"/>
      <c r="I514" s="30" t="e">
        <f t="shared" si="16"/>
        <v>#DIV/0!</v>
      </c>
    </row>
    <row r="515" spans="1:9" ht="15" hidden="1">
      <c r="A515" s="26" t="s">
        <v>10</v>
      </c>
      <c r="B515" s="27"/>
      <c r="C515" s="67" t="s">
        <v>983</v>
      </c>
      <c r="D515" s="67" t="s">
        <v>31</v>
      </c>
      <c r="E515" s="67" t="s">
        <v>208</v>
      </c>
      <c r="F515" s="29" t="s">
        <v>11</v>
      </c>
      <c r="G515" s="50">
        <f>1300-1300</f>
        <v>0</v>
      </c>
      <c r="H515" s="50"/>
      <c r="I515" s="30"/>
    </row>
    <row r="516" spans="1:9" ht="18" customHeight="1">
      <c r="A516" s="26" t="s">
        <v>246</v>
      </c>
      <c r="B516" s="27"/>
      <c r="C516" s="67" t="s">
        <v>983</v>
      </c>
      <c r="D516" s="67" t="s">
        <v>31</v>
      </c>
      <c r="E516" s="67" t="s">
        <v>209</v>
      </c>
      <c r="F516" s="34" t="s">
        <v>247</v>
      </c>
      <c r="G516" s="50">
        <v>2128.8</v>
      </c>
      <c r="H516" s="50">
        <v>347.3</v>
      </c>
      <c r="I516" s="30">
        <f t="shared" si="16"/>
        <v>16.31435550544908</v>
      </c>
    </row>
    <row r="517" spans="1:9" ht="18" customHeight="1">
      <c r="A517" s="26" t="s">
        <v>195</v>
      </c>
      <c r="B517" s="27"/>
      <c r="C517" s="67" t="s">
        <v>983</v>
      </c>
      <c r="D517" s="67" t="s">
        <v>31</v>
      </c>
      <c r="E517" s="67" t="s">
        <v>209</v>
      </c>
      <c r="F517" s="29" t="s">
        <v>42</v>
      </c>
      <c r="G517" s="50">
        <f>4200-4200</f>
        <v>0</v>
      </c>
      <c r="H517" s="50"/>
      <c r="I517" s="30" t="e">
        <f>SUM(H517/G517*100)</f>
        <v>#DIV/0!</v>
      </c>
    </row>
    <row r="518" spans="1:9" ht="20.25" customHeight="1" hidden="1">
      <c r="A518" s="44" t="s">
        <v>352</v>
      </c>
      <c r="B518" s="27"/>
      <c r="C518" s="67" t="s">
        <v>983</v>
      </c>
      <c r="D518" s="67" t="s">
        <v>31</v>
      </c>
      <c r="E518" s="67" t="s">
        <v>353</v>
      </c>
      <c r="F518" s="34"/>
      <c r="G518" s="50">
        <f>SUM(G519:G520)</f>
        <v>0</v>
      </c>
      <c r="H518" s="50">
        <f>SUM(H519:H520)</f>
        <v>0</v>
      </c>
      <c r="I518" s="30" t="e">
        <f t="shared" si="16"/>
        <v>#DIV/0!</v>
      </c>
    </row>
    <row r="519" spans="1:9" ht="20.25" customHeight="1" hidden="1">
      <c r="A519" s="26" t="s">
        <v>195</v>
      </c>
      <c r="B519" s="27"/>
      <c r="C519" s="67" t="s">
        <v>983</v>
      </c>
      <c r="D519" s="67" t="s">
        <v>31</v>
      </c>
      <c r="E519" s="67" t="s">
        <v>353</v>
      </c>
      <c r="F519" s="29" t="s">
        <v>42</v>
      </c>
      <c r="G519" s="50"/>
      <c r="H519" s="50"/>
      <c r="I519" s="30" t="e">
        <f t="shared" si="16"/>
        <v>#DIV/0!</v>
      </c>
    </row>
    <row r="520" spans="1:9" ht="15" customHeight="1" hidden="1">
      <c r="A520" s="26" t="s">
        <v>246</v>
      </c>
      <c r="B520" s="27"/>
      <c r="C520" s="67" t="s">
        <v>983</v>
      </c>
      <c r="D520" s="67" t="s">
        <v>31</v>
      </c>
      <c r="E520" s="67" t="s">
        <v>353</v>
      </c>
      <c r="F520" s="34" t="s">
        <v>354</v>
      </c>
      <c r="G520" s="50"/>
      <c r="H520" s="50"/>
      <c r="I520" s="30" t="e">
        <f t="shared" si="16"/>
        <v>#DIV/0!</v>
      </c>
    </row>
    <row r="521" spans="1:9" ht="14.25" customHeight="1">
      <c r="A521" s="26" t="s">
        <v>962</v>
      </c>
      <c r="B521" s="32"/>
      <c r="C521" s="67" t="s">
        <v>963</v>
      </c>
      <c r="D521" s="67"/>
      <c r="E521" s="67"/>
      <c r="F521" s="34"/>
      <c r="G521" s="50">
        <f>SUM(G522+G529+G543+G536)+G551</f>
        <v>27621.899999999998</v>
      </c>
      <c r="H521" s="50" t="e">
        <f>SUM(H522+H529+H543+H536)</f>
        <v>#REF!</v>
      </c>
      <c r="I521" s="30" t="e">
        <f t="shared" si="16"/>
        <v>#REF!</v>
      </c>
    </row>
    <row r="522" spans="1:9" ht="15.75">
      <c r="A522" s="26" t="s">
        <v>355</v>
      </c>
      <c r="B522" s="36"/>
      <c r="C522" s="67" t="s">
        <v>963</v>
      </c>
      <c r="D522" s="67" t="s">
        <v>940</v>
      </c>
      <c r="E522" s="67"/>
      <c r="F522" s="34"/>
      <c r="G522" s="30">
        <f>SUM(G523)+G526</f>
        <v>16068.7</v>
      </c>
      <c r="H522" s="30" t="e">
        <f>SUM(H523)</f>
        <v>#REF!</v>
      </c>
      <c r="I522" s="30" t="e">
        <f t="shared" si="16"/>
        <v>#REF!</v>
      </c>
    </row>
    <row r="523" spans="1:9" ht="18.75" customHeight="1">
      <c r="A523" s="26" t="s">
        <v>67</v>
      </c>
      <c r="B523" s="36"/>
      <c r="C523" s="28" t="s">
        <v>963</v>
      </c>
      <c r="D523" s="28" t="s">
        <v>940</v>
      </c>
      <c r="E523" s="28" t="s">
        <v>68</v>
      </c>
      <c r="F523" s="29"/>
      <c r="G523" s="30">
        <f>SUM(G524)</f>
        <v>14200</v>
      </c>
      <c r="H523" s="30" t="e">
        <f>SUM(H524)</f>
        <v>#REF!</v>
      </c>
      <c r="I523" s="30" t="e">
        <f t="shared" si="16"/>
        <v>#REF!</v>
      </c>
    </row>
    <row r="524" spans="1:9" ht="63" customHeight="1">
      <c r="A524" s="26" t="s">
        <v>356</v>
      </c>
      <c r="B524" s="36"/>
      <c r="C524" s="28" t="s">
        <v>963</v>
      </c>
      <c r="D524" s="28" t="s">
        <v>940</v>
      </c>
      <c r="E524" s="28" t="s">
        <v>357</v>
      </c>
      <c r="F524" s="29"/>
      <c r="G524" s="30">
        <f>SUM(G525)</f>
        <v>14200</v>
      </c>
      <c r="H524" s="30" t="e">
        <f>SUM(#REF!)</f>
        <v>#REF!</v>
      </c>
      <c r="I524" s="30" t="e">
        <f t="shared" si="16"/>
        <v>#REF!</v>
      </c>
    </row>
    <row r="525" spans="1:9" ht="18.75" customHeight="1">
      <c r="A525" s="26" t="s">
        <v>195</v>
      </c>
      <c r="B525" s="36"/>
      <c r="C525" s="28" t="s">
        <v>963</v>
      </c>
      <c r="D525" s="28" t="s">
        <v>940</v>
      </c>
      <c r="E525" s="28" t="s">
        <v>357</v>
      </c>
      <c r="F525" s="29" t="s">
        <v>42</v>
      </c>
      <c r="G525" s="30">
        <v>14200</v>
      </c>
      <c r="H525" s="30">
        <v>9549.8</v>
      </c>
      <c r="I525" s="30">
        <f>SUM(H525/G525*100)</f>
        <v>67.25211267605633</v>
      </c>
    </row>
    <row r="526" spans="1:10" s="82" customFormat="1" ht="15">
      <c r="A526" s="26" t="s">
        <v>20</v>
      </c>
      <c r="B526" s="80"/>
      <c r="C526" s="28" t="s">
        <v>963</v>
      </c>
      <c r="D526" s="28" t="s">
        <v>940</v>
      </c>
      <c r="E526" s="28" t="s">
        <v>21</v>
      </c>
      <c r="F526" s="29"/>
      <c r="G526" s="30">
        <f>SUM(G527)</f>
        <v>1868.7000000000003</v>
      </c>
      <c r="H526" s="30" t="e">
        <f>SUM(#REF!)</f>
        <v>#REF!</v>
      </c>
      <c r="I526" s="30" t="e">
        <f>SUM(H526/G526*100)</f>
        <v>#REF!</v>
      </c>
      <c r="J526" s="81"/>
    </row>
    <row r="527" spans="1:10" s="82" customFormat="1" ht="42.75">
      <c r="A527" s="26" t="s">
        <v>358</v>
      </c>
      <c r="B527" s="27"/>
      <c r="C527" s="28" t="s">
        <v>963</v>
      </c>
      <c r="D527" s="28" t="s">
        <v>940</v>
      </c>
      <c r="E527" s="28" t="s">
        <v>359</v>
      </c>
      <c r="F527" s="34"/>
      <c r="G527" s="50">
        <f>SUM(G528)</f>
        <v>1868.7000000000003</v>
      </c>
      <c r="H527" s="30"/>
      <c r="I527" s="30"/>
      <c r="J527" s="81"/>
    </row>
    <row r="528" spans="1:10" s="82" customFormat="1" ht="15">
      <c r="A528" s="26" t="s">
        <v>195</v>
      </c>
      <c r="B528" s="27"/>
      <c r="C528" s="28" t="s">
        <v>963</v>
      </c>
      <c r="D528" s="28" t="s">
        <v>940</v>
      </c>
      <c r="E528" s="28" t="s">
        <v>359</v>
      </c>
      <c r="F528" s="34" t="s">
        <v>42</v>
      </c>
      <c r="G528" s="50">
        <f>5200-2560-0.6-770.6-0.1</f>
        <v>1868.7000000000003</v>
      </c>
      <c r="H528" s="30"/>
      <c r="I528" s="30"/>
      <c r="J528" s="81"/>
    </row>
    <row r="529" spans="1:9" ht="15.75">
      <c r="A529" s="26" t="s">
        <v>231</v>
      </c>
      <c r="B529" s="36"/>
      <c r="C529" s="28" t="s">
        <v>963</v>
      </c>
      <c r="D529" s="28" t="s">
        <v>942</v>
      </c>
      <c r="E529" s="28"/>
      <c r="F529" s="29"/>
      <c r="G529" s="30">
        <f>SUM(G530+G533)</f>
        <v>5950.4</v>
      </c>
      <c r="H529" s="30">
        <f>SUM(H530+H533)</f>
        <v>0</v>
      </c>
      <c r="I529" s="30">
        <f t="shared" si="16"/>
        <v>0</v>
      </c>
    </row>
    <row r="530" spans="1:9" ht="14.25" customHeight="1">
      <c r="A530" s="26" t="s">
        <v>360</v>
      </c>
      <c r="B530" s="36"/>
      <c r="C530" s="28" t="s">
        <v>963</v>
      </c>
      <c r="D530" s="28" t="s">
        <v>942</v>
      </c>
      <c r="E530" s="28" t="s">
        <v>361</v>
      </c>
      <c r="F530" s="29"/>
      <c r="G530" s="30">
        <f>SUM(G531)</f>
        <v>5950.4</v>
      </c>
      <c r="H530" s="30">
        <f>SUM(H531)</f>
        <v>0</v>
      </c>
      <c r="I530" s="30">
        <f t="shared" si="16"/>
        <v>0</v>
      </c>
    </row>
    <row r="531" spans="1:9" ht="28.5">
      <c r="A531" s="26" t="s">
        <v>234</v>
      </c>
      <c r="B531" s="36"/>
      <c r="C531" s="28" t="s">
        <v>963</v>
      </c>
      <c r="D531" s="28" t="s">
        <v>942</v>
      </c>
      <c r="E531" s="28" t="s">
        <v>362</v>
      </c>
      <c r="F531" s="29"/>
      <c r="G531" s="30">
        <f>SUM(G532)</f>
        <v>5950.4</v>
      </c>
      <c r="H531" s="30">
        <f>SUM(H532)</f>
        <v>0</v>
      </c>
      <c r="I531" s="30">
        <f t="shared" si="16"/>
        <v>0</v>
      </c>
    </row>
    <row r="532" spans="1:9" ht="14.25" customHeight="1">
      <c r="A532" s="26" t="s">
        <v>969</v>
      </c>
      <c r="B532" s="36"/>
      <c r="C532" s="28" t="s">
        <v>963</v>
      </c>
      <c r="D532" s="28" t="s">
        <v>942</v>
      </c>
      <c r="E532" s="28" t="s">
        <v>362</v>
      </c>
      <c r="F532" s="29" t="s">
        <v>970</v>
      </c>
      <c r="G532" s="30">
        <f>5936.1+76.4-62.1</f>
        <v>5950.4</v>
      </c>
      <c r="H532" s="30"/>
      <c r="I532" s="30">
        <f t="shared" si="16"/>
        <v>0</v>
      </c>
    </row>
    <row r="533" spans="1:9" ht="15.75" hidden="1">
      <c r="A533" s="26" t="s">
        <v>236</v>
      </c>
      <c r="B533" s="36"/>
      <c r="C533" s="28" t="s">
        <v>963</v>
      </c>
      <c r="D533" s="28" t="s">
        <v>942</v>
      </c>
      <c r="E533" s="28" t="s">
        <v>237</v>
      </c>
      <c r="F533" s="29"/>
      <c r="G533" s="83">
        <f>SUM(G534)</f>
        <v>0</v>
      </c>
      <c r="H533" s="83">
        <f>SUM(H534)</f>
        <v>0</v>
      </c>
      <c r="I533" s="30" t="e">
        <f t="shared" si="16"/>
        <v>#DIV/0!</v>
      </c>
    </row>
    <row r="534" spans="1:9" ht="57" hidden="1">
      <c r="A534" s="26" t="s">
        <v>363</v>
      </c>
      <c r="B534" s="36"/>
      <c r="C534" s="28" t="s">
        <v>963</v>
      </c>
      <c r="D534" s="28" t="s">
        <v>942</v>
      </c>
      <c r="E534" s="28" t="s">
        <v>364</v>
      </c>
      <c r="F534" s="29"/>
      <c r="G534" s="83">
        <f>SUM(G535)</f>
        <v>0</v>
      </c>
      <c r="H534" s="83">
        <f>SUM(H535)</f>
        <v>0</v>
      </c>
      <c r="I534" s="30" t="e">
        <f t="shared" si="16"/>
        <v>#DIV/0!</v>
      </c>
    </row>
    <row r="535" spans="1:9" s="59" customFormat="1" ht="20.25" customHeight="1" hidden="1">
      <c r="A535" s="26" t="s">
        <v>969</v>
      </c>
      <c r="B535" s="36"/>
      <c r="C535" s="28" t="s">
        <v>963</v>
      </c>
      <c r="D535" s="28" t="s">
        <v>942</v>
      </c>
      <c r="E535" s="28" t="s">
        <v>364</v>
      </c>
      <c r="F535" s="29" t="s">
        <v>970</v>
      </c>
      <c r="G535" s="83"/>
      <c r="H535" s="83"/>
      <c r="I535" s="30" t="e">
        <f t="shared" si="16"/>
        <v>#DIV/0!</v>
      </c>
    </row>
    <row r="536" spans="1:9" ht="17.25" customHeight="1" hidden="1">
      <c r="A536" s="26" t="s">
        <v>964</v>
      </c>
      <c r="B536" s="32"/>
      <c r="C536" s="28" t="s">
        <v>963</v>
      </c>
      <c r="D536" s="28" t="s">
        <v>963</v>
      </c>
      <c r="E536" s="28"/>
      <c r="F536" s="29"/>
      <c r="G536" s="30">
        <f>SUM(G540)+G537</f>
        <v>0</v>
      </c>
      <c r="H536" s="30">
        <f>SUM(H540)+H537</f>
        <v>0</v>
      </c>
      <c r="I536" s="30" t="e">
        <f t="shared" si="16"/>
        <v>#DIV/0!</v>
      </c>
    </row>
    <row r="537" spans="1:9" ht="29.25" customHeight="1" hidden="1">
      <c r="A537" s="26" t="s">
        <v>365</v>
      </c>
      <c r="B537" s="27"/>
      <c r="C537" s="28" t="s">
        <v>963</v>
      </c>
      <c r="D537" s="28" t="s">
        <v>963</v>
      </c>
      <c r="E537" s="28" t="s">
        <v>366</v>
      </c>
      <c r="F537" s="29"/>
      <c r="G537" s="30">
        <f>SUM(G538)</f>
        <v>0</v>
      </c>
      <c r="H537" s="30">
        <f>SUM(H538)</f>
        <v>0</v>
      </c>
      <c r="I537" s="30" t="e">
        <f t="shared" si="16"/>
        <v>#DIV/0!</v>
      </c>
    </row>
    <row r="538" spans="1:9" s="59" customFormat="1" ht="24.75" customHeight="1" hidden="1">
      <c r="A538" s="26" t="s">
        <v>367</v>
      </c>
      <c r="B538" s="28"/>
      <c r="C538" s="28" t="s">
        <v>963</v>
      </c>
      <c r="D538" s="28" t="s">
        <v>963</v>
      </c>
      <c r="E538" s="28" t="s">
        <v>368</v>
      </c>
      <c r="F538" s="29"/>
      <c r="G538" s="30">
        <f>SUM(G539)</f>
        <v>0</v>
      </c>
      <c r="H538" s="30">
        <f>SUM(H539)</f>
        <v>0</v>
      </c>
      <c r="I538" s="30" t="e">
        <f t="shared" si="16"/>
        <v>#DIV/0!</v>
      </c>
    </row>
    <row r="539" spans="1:9" s="59" customFormat="1" ht="27" customHeight="1" hidden="1">
      <c r="A539" s="26" t="s">
        <v>947</v>
      </c>
      <c r="B539" s="32"/>
      <c r="C539" s="28" t="s">
        <v>963</v>
      </c>
      <c r="D539" s="28" t="s">
        <v>963</v>
      </c>
      <c r="E539" s="28" t="s">
        <v>368</v>
      </c>
      <c r="F539" s="29" t="s">
        <v>948</v>
      </c>
      <c r="G539" s="30"/>
      <c r="H539" s="30"/>
      <c r="I539" s="30" t="e">
        <f t="shared" si="16"/>
        <v>#DIV/0!</v>
      </c>
    </row>
    <row r="540" spans="1:9" ht="28.5" hidden="1">
      <c r="A540" s="31" t="s">
        <v>965</v>
      </c>
      <c r="B540" s="32"/>
      <c r="C540" s="28" t="s">
        <v>963</v>
      </c>
      <c r="D540" s="28" t="s">
        <v>963</v>
      </c>
      <c r="E540" s="28" t="s">
        <v>966</v>
      </c>
      <c r="F540" s="29"/>
      <c r="G540" s="30">
        <f>SUM(G541)</f>
        <v>0</v>
      </c>
      <c r="H540" s="30">
        <f>SUM(H541)</f>
        <v>0</v>
      </c>
      <c r="I540" s="30" t="e">
        <f t="shared" si="16"/>
        <v>#DIV/0!</v>
      </c>
    </row>
    <row r="541" spans="1:9" ht="15" hidden="1">
      <c r="A541" s="31" t="s">
        <v>967</v>
      </c>
      <c r="B541" s="32"/>
      <c r="C541" s="28" t="s">
        <v>963</v>
      </c>
      <c r="D541" s="28" t="s">
        <v>963</v>
      </c>
      <c r="E541" s="28" t="s">
        <v>968</v>
      </c>
      <c r="F541" s="29"/>
      <c r="G541" s="30">
        <f>SUM(G542)</f>
        <v>0</v>
      </c>
      <c r="H541" s="30">
        <f>SUM(H542)</f>
        <v>0</v>
      </c>
      <c r="I541" s="30" t="e">
        <f t="shared" si="16"/>
        <v>#DIV/0!</v>
      </c>
    </row>
    <row r="542" spans="1:9" ht="15" hidden="1">
      <c r="A542" s="26" t="s">
        <v>969</v>
      </c>
      <c r="B542" s="32"/>
      <c r="C542" s="28" t="s">
        <v>963</v>
      </c>
      <c r="D542" s="28" t="s">
        <v>963</v>
      </c>
      <c r="E542" s="28" t="s">
        <v>968</v>
      </c>
      <c r="F542" s="29" t="s">
        <v>970</v>
      </c>
      <c r="G542" s="30"/>
      <c r="H542" s="30"/>
      <c r="I542" s="30" t="e">
        <f t="shared" si="16"/>
        <v>#DIV/0!</v>
      </c>
    </row>
    <row r="543" spans="1:9" ht="21.75" customHeight="1" hidden="1">
      <c r="A543" s="26" t="s">
        <v>369</v>
      </c>
      <c r="B543" s="27"/>
      <c r="C543" s="28" t="s">
        <v>963</v>
      </c>
      <c r="D543" s="28" t="s">
        <v>25</v>
      </c>
      <c r="E543" s="28"/>
      <c r="F543" s="29"/>
      <c r="G543" s="30">
        <f>SUM(G544+G547)</f>
        <v>0</v>
      </c>
      <c r="H543" s="30">
        <f>SUM(H544+H547)</f>
        <v>0</v>
      </c>
      <c r="I543" s="30" t="e">
        <f t="shared" si="16"/>
        <v>#DIV/0!</v>
      </c>
    </row>
    <row r="544" spans="1:9" ht="24" customHeight="1" hidden="1">
      <c r="A544" s="26" t="s">
        <v>51</v>
      </c>
      <c r="B544" s="27"/>
      <c r="C544" s="28" t="s">
        <v>963</v>
      </c>
      <c r="D544" s="28" t="s">
        <v>25</v>
      </c>
      <c r="E544" s="28" t="s">
        <v>52</v>
      </c>
      <c r="F544" s="29"/>
      <c r="G544" s="30">
        <f>SUM(G545)</f>
        <v>0</v>
      </c>
      <c r="H544" s="30">
        <f>SUM(H545)</f>
        <v>0</v>
      </c>
      <c r="I544" s="30" t="e">
        <f t="shared" si="16"/>
        <v>#DIV/0!</v>
      </c>
    </row>
    <row r="545" spans="1:9" ht="14.25" customHeight="1" hidden="1">
      <c r="A545" s="26" t="s">
        <v>337</v>
      </c>
      <c r="B545" s="27"/>
      <c r="C545" s="28" t="s">
        <v>963</v>
      </c>
      <c r="D545" s="28" t="s">
        <v>25</v>
      </c>
      <c r="E545" s="28" t="s">
        <v>54</v>
      </c>
      <c r="F545" s="29"/>
      <c r="G545" s="30">
        <f>SUM(G546)</f>
        <v>0</v>
      </c>
      <c r="H545" s="30">
        <f>SUM(H546)</f>
        <v>0</v>
      </c>
      <c r="I545" s="30" t="e">
        <f t="shared" si="16"/>
        <v>#DIV/0!</v>
      </c>
    </row>
    <row r="546" spans="1:9" ht="14.25" customHeight="1" hidden="1">
      <c r="A546" s="26" t="s">
        <v>195</v>
      </c>
      <c r="B546" s="27"/>
      <c r="C546" s="28" t="s">
        <v>963</v>
      </c>
      <c r="D546" s="28" t="s">
        <v>25</v>
      </c>
      <c r="E546" s="28" t="s">
        <v>54</v>
      </c>
      <c r="F546" s="29" t="s">
        <v>42</v>
      </c>
      <c r="G546" s="30"/>
      <c r="H546" s="30"/>
      <c r="I546" s="30" t="e">
        <f t="shared" si="16"/>
        <v>#DIV/0!</v>
      </c>
    </row>
    <row r="547" spans="1:9" ht="15" hidden="1">
      <c r="A547" s="31" t="s">
        <v>67</v>
      </c>
      <c r="B547" s="27"/>
      <c r="C547" s="28" t="s">
        <v>963</v>
      </c>
      <c r="D547" s="28" t="s">
        <v>25</v>
      </c>
      <c r="E547" s="28" t="s">
        <v>68</v>
      </c>
      <c r="F547" s="29"/>
      <c r="G547" s="30">
        <f>SUM(G548)</f>
        <v>0</v>
      </c>
      <c r="H547" s="30">
        <f>SUM(H548)</f>
        <v>0</v>
      </c>
      <c r="I547" s="30" t="e">
        <f t="shared" si="16"/>
        <v>#DIV/0!</v>
      </c>
    </row>
    <row r="548" spans="1:9" ht="42.75" hidden="1">
      <c r="A548" s="26" t="s">
        <v>370</v>
      </c>
      <c r="B548" s="27"/>
      <c r="C548" s="28" t="s">
        <v>963</v>
      </c>
      <c r="D548" s="28" t="s">
        <v>25</v>
      </c>
      <c r="E548" s="28" t="s">
        <v>357</v>
      </c>
      <c r="F548" s="29"/>
      <c r="G548" s="30">
        <f>SUM(G549)</f>
        <v>0</v>
      </c>
      <c r="H548" s="30">
        <f>SUM(H549)</f>
        <v>0</v>
      </c>
      <c r="I548" s="30" t="e">
        <f t="shared" si="16"/>
        <v>#DIV/0!</v>
      </c>
    </row>
    <row r="549" spans="1:9" ht="15.75" hidden="1">
      <c r="A549" s="26" t="s">
        <v>969</v>
      </c>
      <c r="B549" s="36"/>
      <c r="C549" s="28" t="s">
        <v>963</v>
      </c>
      <c r="D549" s="28" t="s">
        <v>25</v>
      </c>
      <c r="E549" s="28" t="s">
        <v>357</v>
      </c>
      <c r="F549" s="29" t="s">
        <v>970</v>
      </c>
      <c r="G549" s="30"/>
      <c r="H549" s="30"/>
      <c r="I549" s="30" t="e">
        <f t="shared" si="16"/>
        <v>#DIV/0!</v>
      </c>
    </row>
    <row r="550" spans="1:9" ht="15.75" hidden="1">
      <c r="A550" s="26" t="s">
        <v>962</v>
      </c>
      <c r="B550" s="36"/>
      <c r="C550" s="28" t="s">
        <v>963</v>
      </c>
      <c r="D550" s="28"/>
      <c r="E550" s="28"/>
      <c r="F550" s="29"/>
      <c r="G550" s="30"/>
      <c r="H550" s="30"/>
      <c r="I550" s="30"/>
    </row>
    <row r="551" spans="1:9" ht="15.75">
      <c r="A551" s="26" t="s">
        <v>369</v>
      </c>
      <c r="B551" s="36"/>
      <c r="C551" s="28" t="s">
        <v>963</v>
      </c>
      <c r="D551" s="28" t="s">
        <v>25</v>
      </c>
      <c r="E551" s="28"/>
      <c r="F551" s="29"/>
      <c r="G551" s="30">
        <f>SUM(G552)</f>
        <v>5602.799999999999</v>
      </c>
      <c r="H551" s="30"/>
      <c r="I551" s="30"/>
    </row>
    <row r="552" spans="1:10" s="82" customFormat="1" ht="18.75" customHeight="1">
      <c r="A552" s="26" t="s">
        <v>20</v>
      </c>
      <c r="B552" s="80"/>
      <c r="C552" s="28" t="s">
        <v>963</v>
      </c>
      <c r="D552" s="28" t="s">
        <v>25</v>
      </c>
      <c r="E552" s="28" t="s">
        <v>21</v>
      </c>
      <c r="F552" s="29"/>
      <c r="G552" s="30">
        <f>SUM(G555)+G553</f>
        <v>5602.799999999999</v>
      </c>
      <c r="H552" s="30">
        <f>SUM(H555)</f>
        <v>1042.3</v>
      </c>
      <c r="I552" s="30">
        <f>SUM(H552/G552*100)</f>
        <v>18.603198400799602</v>
      </c>
      <c r="J552" s="81"/>
    </row>
    <row r="553" spans="1:10" s="82" customFormat="1" ht="42.75" hidden="1">
      <c r="A553" s="26" t="s">
        <v>358</v>
      </c>
      <c r="B553" s="27"/>
      <c r="C553" s="28" t="s">
        <v>963</v>
      </c>
      <c r="D553" s="28" t="s">
        <v>25</v>
      </c>
      <c r="E553" s="28" t="s">
        <v>359</v>
      </c>
      <c r="F553" s="34"/>
      <c r="G553" s="50">
        <f>SUM(G554)</f>
        <v>0</v>
      </c>
      <c r="H553" s="30"/>
      <c r="I553" s="30"/>
      <c r="J553" s="81"/>
    </row>
    <row r="554" spans="1:10" s="82" customFormat="1" ht="15" hidden="1">
      <c r="A554" s="26" t="s">
        <v>195</v>
      </c>
      <c r="B554" s="27"/>
      <c r="C554" s="28" t="s">
        <v>963</v>
      </c>
      <c r="D554" s="28" t="s">
        <v>25</v>
      </c>
      <c r="E554" s="28" t="s">
        <v>359</v>
      </c>
      <c r="F554" s="34" t="s">
        <v>42</v>
      </c>
      <c r="G554" s="50"/>
      <c r="H554" s="30"/>
      <c r="I554" s="30"/>
      <c r="J554" s="81"/>
    </row>
    <row r="555" spans="1:9" ht="29.25" customHeight="1">
      <c r="A555" s="26" t="s">
        <v>336</v>
      </c>
      <c r="B555" s="27"/>
      <c r="C555" s="28" t="s">
        <v>963</v>
      </c>
      <c r="D555" s="28" t="s">
        <v>25</v>
      </c>
      <c r="E555" s="28" t="s">
        <v>92</v>
      </c>
      <c r="F555" s="34"/>
      <c r="G555" s="50">
        <f>SUM(G556)</f>
        <v>5602.799999999999</v>
      </c>
      <c r="H555" s="50">
        <f>SUM(H556)</f>
        <v>1042.3</v>
      </c>
      <c r="I555" s="30">
        <f>SUM(H555/G555*100)</f>
        <v>18.603198400799602</v>
      </c>
    </row>
    <row r="556" spans="1:9" ht="16.5" customHeight="1">
      <c r="A556" s="26" t="s">
        <v>195</v>
      </c>
      <c r="B556" s="27"/>
      <c r="C556" s="28" t="s">
        <v>963</v>
      </c>
      <c r="D556" s="28" t="s">
        <v>25</v>
      </c>
      <c r="E556" s="28" t="s">
        <v>92</v>
      </c>
      <c r="F556" s="34" t="s">
        <v>42</v>
      </c>
      <c r="G556" s="50">
        <f>5587.4+18-2.6</f>
        <v>5602.799999999999</v>
      </c>
      <c r="H556" s="50">
        <v>1042.3</v>
      </c>
      <c r="I556" s="30">
        <f>SUM(H556/G556*100)</f>
        <v>18.603198400799602</v>
      </c>
    </row>
    <row r="557" spans="1:9" ht="28.5" hidden="1">
      <c r="A557" s="26" t="s">
        <v>371</v>
      </c>
      <c r="B557" s="27"/>
      <c r="C557" s="28" t="s">
        <v>7</v>
      </c>
      <c r="D557" s="28"/>
      <c r="E557" s="28"/>
      <c r="F557" s="29"/>
      <c r="G557" s="30">
        <f>SUM(G558+G565+G569)</f>
        <v>0</v>
      </c>
      <c r="H557" s="30">
        <f>SUM(H558+H565)</f>
        <v>0</v>
      </c>
      <c r="I557" s="30" t="e">
        <f aca="true" t="shared" si="17" ref="I557:I620">SUM(H557/G557*100)</f>
        <v>#DIV/0!</v>
      </c>
    </row>
    <row r="558" spans="1:9" ht="15" hidden="1">
      <c r="A558" s="26" t="s">
        <v>372</v>
      </c>
      <c r="B558" s="27"/>
      <c r="C558" s="28" t="s">
        <v>7</v>
      </c>
      <c r="D558" s="28" t="s">
        <v>940</v>
      </c>
      <c r="E558" s="28"/>
      <c r="F558" s="29"/>
      <c r="G558" s="30">
        <f>SUM(G559+G562)</f>
        <v>0</v>
      </c>
      <c r="H558" s="30">
        <f>SUM(H559+H562)</f>
        <v>0</v>
      </c>
      <c r="I558" s="30" t="e">
        <f t="shared" si="17"/>
        <v>#DIV/0!</v>
      </c>
    </row>
    <row r="559" spans="1:9" ht="28.5" hidden="1">
      <c r="A559" s="26" t="s">
        <v>373</v>
      </c>
      <c r="B559" s="27"/>
      <c r="C559" s="28" t="s">
        <v>7</v>
      </c>
      <c r="D559" s="28" t="s">
        <v>940</v>
      </c>
      <c r="E559" s="28" t="s">
        <v>288</v>
      </c>
      <c r="F559" s="29"/>
      <c r="G559" s="30">
        <f>SUM(G560)</f>
        <v>0</v>
      </c>
      <c r="H559" s="30">
        <f>SUM(H560)</f>
        <v>0</v>
      </c>
      <c r="I559" s="30" t="e">
        <f t="shared" si="17"/>
        <v>#DIV/0!</v>
      </c>
    </row>
    <row r="560" spans="1:9" ht="27.75" customHeight="1" hidden="1">
      <c r="A560" s="26" t="s">
        <v>234</v>
      </c>
      <c r="B560" s="27"/>
      <c r="C560" s="28" t="s">
        <v>7</v>
      </c>
      <c r="D560" s="28" t="s">
        <v>940</v>
      </c>
      <c r="E560" s="28" t="s">
        <v>289</v>
      </c>
      <c r="F560" s="29"/>
      <c r="G560" s="30">
        <f>SUM(G561)</f>
        <v>0</v>
      </c>
      <c r="H560" s="30">
        <f>SUM(H561)</f>
        <v>0</v>
      </c>
      <c r="I560" s="30" t="e">
        <f t="shared" si="17"/>
        <v>#DIV/0!</v>
      </c>
    </row>
    <row r="561" spans="1:9" s="59" customFormat="1" ht="24" customHeight="1" hidden="1">
      <c r="A561" s="26" t="s">
        <v>969</v>
      </c>
      <c r="B561" s="27"/>
      <c r="C561" s="28" t="s">
        <v>7</v>
      </c>
      <c r="D561" s="28" t="s">
        <v>940</v>
      </c>
      <c r="E561" s="28" t="s">
        <v>289</v>
      </c>
      <c r="F561" s="29" t="s">
        <v>970</v>
      </c>
      <c r="G561" s="30"/>
      <c r="H561" s="30"/>
      <c r="I561" s="30" t="e">
        <f t="shared" si="17"/>
        <v>#DIV/0!</v>
      </c>
    </row>
    <row r="562" spans="1:9" s="59" customFormat="1" ht="27.75" customHeight="1" hidden="1">
      <c r="A562" s="26" t="s">
        <v>374</v>
      </c>
      <c r="B562" s="27"/>
      <c r="C562" s="28" t="s">
        <v>7</v>
      </c>
      <c r="D562" s="28" t="s">
        <v>940</v>
      </c>
      <c r="E562" s="28" t="s">
        <v>375</v>
      </c>
      <c r="F562" s="29"/>
      <c r="G562" s="30">
        <f>SUM(G563)</f>
        <v>0</v>
      </c>
      <c r="H562" s="30">
        <f>SUM(H563)</f>
        <v>0</v>
      </c>
      <c r="I562" s="30" t="e">
        <f t="shared" si="17"/>
        <v>#DIV/0!</v>
      </c>
    </row>
    <row r="563" spans="1:9" ht="27" customHeight="1" hidden="1">
      <c r="A563" s="26" t="s">
        <v>234</v>
      </c>
      <c r="B563" s="27"/>
      <c r="C563" s="28" t="s">
        <v>7</v>
      </c>
      <c r="D563" s="28" t="s">
        <v>940</v>
      </c>
      <c r="E563" s="28" t="s">
        <v>376</v>
      </c>
      <c r="F563" s="29"/>
      <c r="G563" s="30">
        <f>SUM(G564)</f>
        <v>0</v>
      </c>
      <c r="H563" s="30">
        <f>SUM(H564)</f>
        <v>0</v>
      </c>
      <c r="I563" s="30" t="e">
        <f t="shared" si="17"/>
        <v>#DIV/0!</v>
      </c>
    </row>
    <row r="564" spans="1:9" ht="27.75" customHeight="1" hidden="1">
      <c r="A564" s="26" t="s">
        <v>969</v>
      </c>
      <c r="B564" s="27"/>
      <c r="C564" s="28" t="s">
        <v>7</v>
      </c>
      <c r="D564" s="28" t="s">
        <v>940</v>
      </c>
      <c r="E564" s="28" t="s">
        <v>376</v>
      </c>
      <c r="F564" s="29" t="s">
        <v>970</v>
      </c>
      <c r="G564" s="30"/>
      <c r="H564" s="30"/>
      <c r="I564" s="30" t="e">
        <f t="shared" si="17"/>
        <v>#DIV/0!</v>
      </c>
    </row>
    <row r="565" spans="1:9" ht="28.5" hidden="1">
      <c r="A565" s="31" t="s">
        <v>377</v>
      </c>
      <c r="B565" s="84"/>
      <c r="C565" s="67" t="s">
        <v>7</v>
      </c>
      <c r="D565" s="67" t="s">
        <v>983</v>
      </c>
      <c r="E565" s="67"/>
      <c r="F565" s="34"/>
      <c r="G565" s="30">
        <f aca="true" t="shared" si="18" ref="G565:H567">SUM(G566)</f>
        <v>0</v>
      </c>
      <c r="H565" s="30">
        <f t="shared" si="18"/>
        <v>0</v>
      </c>
      <c r="I565" s="30" t="e">
        <f t="shared" si="17"/>
        <v>#DIV/0!</v>
      </c>
    </row>
    <row r="566" spans="1:9" ht="42.75" hidden="1">
      <c r="A566" s="26" t="s">
        <v>51</v>
      </c>
      <c r="B566" s="27"/>
      <c r="C566" s="67" t="s">
        <v>7</v>
      </c>
      <c r="D566" s="67" t="s">
        <v>983</v>
      </c>
      <c r="E566" s="28" t="s">
        <v>52</v>
      </c>
      <c r="F566" s="29"/>
      <c r="G566" s="30">
        <f t="shared" si="18"/>
        <v>0</v>
      </c>
      <c r="H566" s="30">
        <f t="shared" si="18"/>
        <v>0</v>
      </c>
      <c r="I566" s="30" t="e">
        <f t="shared" si="17"/>
        <v>#DIV/0!</v>
      </c>
    </row>
    <row r="567" spans="1:9" ht="42.75" hidden="1">
      <c r="A567" s="26" t="s">
        <v>337</v>
      </c>
      <c r="B567" s="27"/>
      <c r="C567" s="67" t="s">
        <v>7</v>
      </c>
      <c r="D567" s="67" t="s">
        <v>983</v>
      </c>
      <c r="E567" s="28" t="s">
        <v>54</v>
      </c>
      <c r="F567" s="29"/>
      <c r="G567" s="30">
        <f t="shared" si="18"/>
        <v>0</v>
      </c>
      <c r="H567" s="30">
        <f t="shared" si="18"/>
        <v>0</v>
      </c>
      <c r="I567" s="30" t="e">
        <f t="shared" si="17"/>
        <v>#DIV/0!</v>
      </c>
    </row>
    <row r="568" spans="1:9" ht="18" customHeight="1" hidden="1">
      <c r="A568" s="26" t="s">
        <v>195</v>
      </c>
      <c r="B568" s="27"/>
      <c r="C568" s="67" t="s">
        <v>7</v>
      </c>
      <c r="D568" s="67" t="s">
        <v>983</v>
      </c>
      <c r="E568" s="28" t="s">
        <v>54</v>
      </c>
      <c r="F568" s="29" t="s">
        <v>42</v>
      </c>
      <c r="G568" s="30"/>
      <c r="H568" s="30"/>
      <c r="I568" s="30" t="e">
        <f t="shared" si="17"/>
        <v>#DIV/0!</v>
      </c>
    </row>
    <row r="569" spans="1:9" ht="28.5" customHeight="1" hidden="1">
      <c r="A569" s="26" t="s">
        <v>378</v>
      </c>
      <c r="B569" s="27"/>
      <c r="C569" s="67" t="s">
        <v>7</v>
      </c>
      <c r="D569" s="67" t="s">
        <v>983</v>
      </c>
      <c r="E569" s="28"/>
      <c r="F569" s="29"/>
      <c r="G569" s="30">
        <f>SUM(G570)</f>
        <v>0</v>
      </c>
      <c r="H569" s="30"/>
      <c r="I569" s="30"/>
    </row>
    <row r="570" spans="1:9" ht="18" customHeight="1" hidden="1">
      <c r="A570" s="26" t="s">
        <v>20</v>
      </c>
      <c r="B570" s="27"/>
      <c r="C570" s="67" t="s">
        <v>7</v>
      </c>
      <c r="D570" s="67" t="s">
        <v>983</v>
      </c>
      <c r="E570" s="28" t="s">
        <v>21</v>
      </c>
      <c r="F570" s="29"/>
      <c r="G570" s="30">
        <f>SUM(G571)</f>
        <v>0</v>
      </c>
      <c r="H570" s="30"/>
      <c r="I570" s="30"/>
    </row>
    <row r="571" spans="1:9" ht="57.75" customHeight="1" hidden="1">
      <c r="A571" s="44" t="s">
        <v>112</v>
      </c>
      <c r="B571" s="84"/>
      <c r="C571" s="67" t="s">
        <v>7</v>
      </c>
      <c r="D571" s="67" t="s">
        <v>983</v>
      </c>
      <c r="E571" s="67" t="s">
        <v>113</v>
      </c>
      <c r="F571" s="34"/>
      <c r="G571" s="50">
        <f>SUM(G572)</f>
        <v>0</v>
      </c>
      <c r="H571" s="50"/>
      <c r="I571" s="30"/>
    </row>
    <row r="572" spans="1:9" ht="24.75" customHeight="1" hidden="1">
      <c r="A572" s="26" t="s">
        <v>10</v>
      </c>
      <c r="B572" s="84"/>
      <c r="C572" s="67" t="s">
        <v>7</v>
      </c>
      <c r="D572" s="67" t="s">
        <v>983</v>
      </c>
      <c r="E572" s="67" t="s">
        <v>113</v>
      </c>
      <c r="F572" s="34" t="s">
        <v>11</v>
      </c>
      <c r="G572" s="50"/>
      <c r="H572" s="50"/>
      <c r="I572" s="30"/>
    </row>
    <row r="573" spans="1:9" ht="14.25" customHeight="1">
      <c r="A573" s="26" t="s">
        <v>379</v>
      </c>
      <c r="B573" s="27"/>
      <c r="C573" s="28" t="s">
        <v>25</v>
      </c>
      <c r="D573" s="28"/>
      <c r="E573" s="28"/>
      <c r="F573" s="29"/>
      <c r="G573" s="30">
        <f>SUM(G574+G597+G588+G584+G580)</f>
        <v>1447</v>
      </c>
      <c r="H573" s="30">
        <f>SUM(H574+H597+H588+H584+H580)</f>
        <v>5636.900000000001</v>
      </c>
      <c r="I573" s="30">
        <f t="shared" si="17"/>
        <v>389.5577055977886</v>
      </c>
    </row>
    <row r="574" spans="1:9" ht="14.25" customHeight="1">
      <c r="A574" s="26" t="s">
        <v>380</v>
      </c>
      <c r="B574" s="27"/>
      <c r="C574" s="28" t="s">
        <v>25</v>
      </c>
      <c r="D574" s="28" t="s">
        <v>940</v>
      </c>
      <c r="E574" s="28"/>
      <c r="F574" s="29"/>
      <c r="G574" s="30">
        <f>SUM(G577)+G575</f>
        <v>1447</v>
      </c>
      <c r="H574" s="30">
        <f>SUM(H577)+H575</f>
        <v>3221.3</v>
      </c>
      <c r="I574" s="30">
        <f t="shared" si="17"/>
        <v>222.61921216309605</v>
      </c>
    </row>
    <row r="575" spans="1:9" s="4" customFormat="1" ht="16.5" customHeight="1" hidden="1">
      <c r="A575" s="26" t="s">
        <v>96</v>
      </c>
      <c r="B575" s="27"/>
      <c r="C575" s="28" t="s">
        <v>25</v>
      </c>
      <c r="D575" s="28" t="s">
        <v>940</v>
      </c>
      <c r="E575" s="28" t="s">
        <v>97</v>
      </c>
      <c r="F575" s="29"/>
      <c r="G575" s="30">
        <f>SUM(G576)</f>
        <v>0</v>
      </c>
      <c r="H575" s="30">
        <f>SUM(H576)</f>
        <v>0</v>
      </c>
      <c r="I575" s="30" t="e">
        <f t="shared" si="17"/>
        <v>#DIV/0!</v>
      </c>
    </row>
    <row r="576" spans="1:9" s="4" customFormat="1" ht="16.5" customHeight="1" hidden="1">
      <c r="A576" s="26" t="s">
        <v>969</v>
      </c>
      <c r="B576" s="27"/>
      <c r="C576" s="28" t="s">
        <v>25</v>
      </c>
      <c r="D576" s="28" t="s">
        <v>940</v>
      </c>
      <c r="E576" s="28" t="s">
        <v>97</v>
      </c>
      <c r="F576" s="29" t="s">
        <v>970</v>
      </c>
      <c r="G576" s="30"/>
      <c r="H576" s="30"/>
      <c r="I576" s="30" t="e">
        <f t="shared" si="17"/>
        <v>#DIV/0!</v>
      </c>
    </row>
    <row r="577" spans="1:9" s="4" customFormat="1" ht="15">
      <c r="A577" s="26" t="s">
        <v>381</v>
      </c>
      <c r="B577" s="27"/>
      <c r="C577" s="28" t="s">
        <v>25</v>
      </c>
      <c r="D577" s="28" t="s">
        <v>940</v>
      </c>
      <c r="E577" s="28" t="s">
        <v>382</v>
      </c>
      <c r="F577" s="29"/>
      <c r="G577" s="30">
        <f>SUM(G578)</f>
        <v>1447</v>
      </c>
      <c r="H577" s="30">
        <f>SUM(H578)</f>
        <v>3221.3</v>
      </c>
      <c r="I577" s="30">
        <f t="shared" si="17"/>
        <v>222.61921216309605</v>
      </c>
    </row>
    <row r="578" spans="1:9" s="4" customFormat="1" ht="26.25" customHeight="1">
      <c r="A578" s="26" t="s">
        <v>234</v>
      </c>
      <c r="B578" s="27"/>
      <c r="C578" s="28" t="s">
        <v>25</v>
      </c>
      <c r="D578" s="28" t="s">
        <v>940</v>
      </c>
      <c r="E578" s="28" t="s">
        <v>383</v>
      </c>
      <c r="F578" s="29"/>
      <c r="G578" s="30">
        <f>SUM(G579)</f>
        <v>1447</v>
      </c>
      <c r="H578" s="30">
        <f>SUM(H579)</f>
        <v>3221.3</v>
      </c>
      <c r="I578" s="30">
        <f t="shared" si="17"/>
        <v>222.61921216309605</v>
      </c>
    </row>
    <row r="579" spans="1:9" s="4" customFormat="1" ht="14.25" customHeight="1">
      <c r="A579" s="26" t="s">
        <v>969</v>
      </c>
      <c r="B579" s="27"/>
      <c r="C579" s="28" t="s">
        <v>25</v>
      </c>
      <c r="D579" s="28" t="s">
        <v>940</v>
      </c>
      <c r="E579" s="28" t="s">
        <v>383</v>
      </c>
      <c r="F579" s="29" t="s">
        <v>970</v>
      </c>
      <c r="G579" s="30">
        <v>1447</v>
      </c>
      <c r="H579" s="30">
        <v>3221.3</v>
      </c>
      <c r="I579" s="30">
        <f t="shared" si="17"/>
        <v>222.61921216309605</v>
      </c>
    </row>
    <row r="580" spans="1:9" s="4" customFormat="1" ht="15" hidden="1">
      <c r="A580" s="26" t="s">
        <v>384</v>
      </c>
      <c r="B580" s="27"/>
      <c r="C580" s="28" t="s">
        <v>25</v>
      </c>
      <c r="D580" s="28" t="s">
        <v>942</v>
      </c>
      <c r="E580" s="28"/>
      <c r="F580" s="29"/>
      <c r="G580" s="30">
        <f>SUM(G581)</f>
        <v>0</v>
      </c>
      <c r="H580" s="30">
        <f>SUM(H581)</f>
        <v>23.80000000000001</v>
      </c>
      <c r="I580" s="30" t="e">
        <f t="shared" si="17"/>
        <v>#DIV/0!</v>
      </c>
    </row>
    <row r="581" spans="1:9" s="4" customFormat="1" ht="15" hidden="1">
      <c r="A581" s="26" t="s">
        <v>385</v>
      </c>
      <c r="B581" s="27"/>
      <c r="C581" s="28" t="s">
        <v>25</v>
      </c>
      <c r="D581" s="28" t="s">
        <v>942</v>
      </c>
      <c r="E581" s="28" t="s">
        <v>382</v>
      </c>
      <c r="F581" s="29"/>
      <c r="G581" s="30">
        <f>SUM(G582)</f>
        <v>0</v>
      </c>
      <c r="H581" s="30">
        <f>SUM(H582)</f>
        <v>23.80000000000001</v>
      </c>
      <c r="I581" s="30" t="e">
        <f t="shared" si="17"/>
        <v>#DIV/0!</v>
      </c>
    </row>
    <row r="582" spans="1:9" s="4" customFormat="1" ht="28.5" hidden="1">
      <c r="A582" s="26" t="s">
        <v>234</v>
      </c>
      <c r="B582" s="27"/>
      <c r="C582" s="28" t="s">
        <v>25</v>
      </c>
      <c r="D582" s="28" t="s">
        <v>942</v>
      </c>
      <c r="E582" s="28" t="s">
        <v>383</v>
      </c>
      <c r="F582" s="29"/>
      <c r="G582" s="30">
        <f>SUM(G583:G586)</f>
        <v>0</v>
      </c>
      <c r="H582" s="30">
        <f>SUM(H583:H586)</f>
        <v>23.80000000000001</v>
      </c>
      <c r="I582" s="30" t="e">
        <f t="shared" si="17"/>
        <v>#DIV/0!</v>
      </c>
    </row>
    <row r="583" spans="1:9" s="4" customFormat="1" ht="15" hidden="1">
      <c r="A583" s="26" t="s">
        <v>969</v>
      </c>
      <c r="B583" s="27"/>
      <c r="C583" s="28" t="s">
        <v>25</v>
      </c>
      <c r="D583" s="28" t="s">
        <v>942</v>
      </c>
      <c r="E583" s="28" t="s">
        <v>383</v>
      </c>
      <c r="F583" s="29" t="s">
        <v>970</v>
      </c>
      <c r="G583" s="30"/>
      <c r="H583" s="30">
        <f>500-476.2</f>
        <v>23.80000000000001</v>
      </c>
      <c r="I583" s="30" t="e">
        <f t="shared" si="17"/>
        <v>#DIV/0!</v>
      </c>
    </row>
    <row r="584" spans="1:9" s="4" customFormat="1" ht="21" customHeight="1" hidden="1">
      <c r="A584" s="26" t="s">
        <v>386</v>
      </c>
      <c r="B584" s="27"/>
      <c r="C584" s="28" t="s">
        <v>25</v>
      </c>
      <c r="D584" s="28" t="s">
        <v>5</v>
      </c>
      <c r="E584" s="28"/>
      <c r="F584" s="29"/>
      <c r="G584" s="30">
        <f aca="true" t="shared" si="19" ref="G584:H586">SUM(G585)</f>
        <v>0</v>
      </c>
      <c r="H584" s="30">
        <f t="shared" si="19"/>
        <v>0</v>
      </c>
      <c r="I584" s="30" t="e">
        <f t="shared" si="17"/>
        <v>#DIV/0!</v>
      </c>
    </row>
    <row r="585" spans="1:9" s="4" customFormat="1" ht="15" hidden="1">
      <c r="A585" s="26" t="s">
        <v>387</v>
      </c>
      <c r="B585" s="27"/>
      <c r="C585" s="28" t="s">
        <v>25</v>
      </c>
      <c r="D585" s="28" t="s">
        <v>5</v>
      </c>
      <c r="E585" s="28" t="s">
        <v>388</v>
      </c>
      <c r="F585" s="29"/>
      <c r="G585" s="30">
        <f t="shared" si="19"/>
        <v>0</v>
      </c>
      <c r="H585" s="30">
        <f t="shared" si="19"/>
        <v>0</v>
      </c>
      <c r="I585" s="30" t="e">
        <f t="shared" si="17"/>
        <v>#DIV/0!</v>
      </c>
    </row>
    <row r="586" spans="1:9" ht="15.75" customHeight="1" hidden="1">
      <c r="A586" s="26" t="s">
        <v>234</v>
      </c>
      <c r="B586" s="27"/>
      <c r="C586" s="28" t="s">
        <v>25</v>
      </c>
      <c r="D586" s="28" t="s">
        <v>5</v>
      </c>
      <c r="E586" s="28" t="s">
        <v>389</v>
      </c>
      <c r="F586" s="29"/>
      <c r="G586" s="30">
        <f t="shared" si="19"/>
        <v>0</v>
      </c>
      <c r="H586" s="30">
        <f t="shared" si="19"/>
        <v>0</v>
      </c>
      <c r="I586" s="30" t="e">
        <f t="shared" si="17"/>
        <v>#DIV/0!</v>
      </c>
    </row>
    <row r="587" spans="1:9" ht="18.75" customHeight="1" hidden="1">
      <c r="A587" s="26" t="s">
        <v>969</v>
      </c>
      <c r="B587" s="27"/>
      <c r="C587" s="28" t="s">
        <v>25</v>
      </c>
      <c r="D587" s="28" t="s">
        <v>5</v>
      </c>
      <c r="E587" s="28" t="s">
        <v>389</v>
      </c>
      <c r="F587" s="29" t="s">
        <v>970</v>
      </c>
      <c r="G587" s="30"/>
      <c r="H587" s="30"/>
      <c r="I587" s="30" t="e">
        <f t="shared" si="17"/>
        <v>#DIV/0!</v>
      </c>
    </row>
    <row r="588" spans="1:9" ht="15" hidden="1">
      <c r="A588" s="26" t="s">
        <v>390</v>
      </c>
      <c r="B588" s="27"/>
      <c r="C588" s="28" t="s">
        <v>25</v>
      </c>
      <c r="D588" s="28" t="s">
        <v>7</v>
      </c>
      <c r="E588" s="28"/>
      <c r="F588" s="29"/>
      <c r="G588" s="30">
        <f>SUM(G591+G594+G589)</f>
        <v>0</v>
      </c>
      <c r="H588" s="30">
        <f>SUM(H591+H594+H589)</f>
        <v>1344.5</v>
      </c>
      <c r="I588" s="30" t="e">
        <f t="shared" si="17"/>
        <v>#DIV/0!</v>
      </c>
    </row>
    <row r="589" spans="1:9" ht="15" hidden="1">
      <c r="A589" s="26" t="s">
        <v>96</v>
      </c>
      <c r="B589" s="27"/>
      <c r="C589" s="28" t="s">
        <v>25</v>
      </c>
      <c r="D589" s="28" t="s">
        <v>7</v>
      </c>
      <c r="E589" s="28" t="s">
        <v>97</v>
      </c>
      <c r="F589" s="29"/>
      <c r="G589" s="30">
        <f>SUM(G590)</f>
        <v>0</v>
      </c>
      <c r="H589" s="30">
        <f>SUM(H590)</f>
        <v>79.5</v>
      </c>
      <c r="I589" s="30"/>
    </row>
    <row r="590" spans="1:9" ht="28.5" hidden="1">
      <c r="A590" s="26" t="s">
        <v>947</v>
      </c>
      <c r="B590" s="27"/>
      <c r="C590" s="28" t="s">
        <v>25</v>
      </c>
      <c r="D590" s="28" t="s">
        <v>7</v>
      </c>
      <c r="E590" s="28" t="s">
        <v>97</v>
      </c>
      <c r="F590" s="29" t="s">
        <v>948</v>
      </c>
      <c r="G590" s="30"/>
      <c r="H590" s="30">
        <v>79.5</v>
      </c>
      <c r="I590" s="30"/>
    </row>
    <row r="591" spans="1:9" ht="28.5" hidden="1">
      <c r="A591" s="26" t="s">
        <v>391</v>
      </c>
      <c r="B591" s="27"/>
      <c r="C591" s="28" t="s">
        <v>25</v>
      </c>
      <c r="D591" s="28" t="s">
        <v>7</v>
      </c>
      <c r="E591" s="75" t="s">
        <v>392</v>
      </c>
      <c r="F591" s="29"/>
      <c r="G591" s="30">
        <f>SUM(G592)</f>
        <v>0</v>
      </c>
      <c r="H591" s="30">
        <f>SUM(H592)</f>
        <v>1265</v>
      </c>
      <c r="I591" s="30" t="e">
        <f t="shared" si="17"/>
        <v>#DIV/0!</v>
      </c>
    </row>
    <row r="592" spans="1:9" ht="28.5" hidden="1">
      <c r="A592" s="26" t="s">
        <v>393</v>
      </c>
      <c r="B592" s="27"/>
      <c r="C592" s="28" t="s">
        <v>25</v>
      </c>
      <c r="D592" s="28" t="s">
        <v>7</v>
      </c>
      <c r="E592" s="75" t="s">
        <v>394</v>
      </c>
      <c r="F592" s="29"/>
      <c r="G592" s="30">
        <f>SUM(G593)</f>
        <v>0</v>
      </c>
      <c r="H592" s="30">
        <f>SUM(H593)</f>
        <v>1265</v>
      </c>
      <c r="I592" s="30" t="e">
        <f t="shared" si="17"/>
        <v>#DIV/0!</v>
      </c>
    </row>
    <row r="593" spans="1:9" ht="27.75" customHeight="1" hidden="1">
      <c r="A593" s="26" t="s">
        <v>947</v>
      </c>
      <c r="B593" s="27"/>
      <c r="C593" s="28" t="s">
        <v>25</v>
      </c>
      <c r="D593" s="28" t="s">
        <v>7</v>
      </c>
      <c r="E593" s="75" t="s">
        <v>394</v>
      </c>
      <c r="F593" s="29" t="s">
        <v>948</v>
      </c>
      <c r="G593" s="30"/>
      <c r="H593" s="30">
        <v>1265</v>
      </c>
      <c r="I593" s="30" t="e">
        <f t="shared" si="17"/>
        <v>#DIV/0!</v>
      </c>
    </row>
    <row r="594" spans="1:9" ht="17.25" customHeight="1" hidden="1">
      <c r="A594" s="26" t="s">
        <v>20</v>
      </c>
      <c r="B594" s="27"/>
      <c r="C594" s="28" t="s">
        <v>25</v>
      </c>
      <c r="D594" s="28" t="s">
        <v>7</v>
      </c>
      <c r="E594" s="28" t="s">
        <v>21</v>
      </c>
      <c r="F594" s="29"/>
      <c r="G594" s="30">
        <f>SUM(G595)</f>
        <v>0</v>
      </c>
      <c r="H594" s="30">
        <f>SUM(H595)</f>
        <v>0</v>
      </c>
      <c r="I594" s="30" t="e">
        <f t="shared" si="17"/>
        <v>#DIV/0!</v>
      </c>
    </row>
    <row r="595" spans="1:9" ht="28.5" hidden="1">
      <c r="A595" s="26" t="s">
        <v>393</v>
      </c>
      <c r="B595" s="27"/>
      <c r="C595" s="28" t="s">
        <v>25</v>
      </c>
      <c r="D595" s="28" t="s">
        <v>7</v>
      </c>
      <c r="E595" s="28" t="s">
        <v>21</v>
      </c>
      <c r="F595" s="29" t="s">
        <v>395</v>
      </c>
      <c r="G595" s="30">
        <f>SUM(G596)</f>
        <v>0</v>
      </c>
      <c r="H595" s="30">
        <f>SUM(H596)</f>
        <v>0</v>
      </c>
      <c r="I595" s="30" t="e">
        <f t="shared" si="17"/>
        <v>#DIV/0!</v>
      </c>
    </row>
    <row r="596" spans="1:9" ht="0.75" customHeight="1" hidden="1">
      <c r="A596" s="26" t="s">
        <v>396</v>
      </c>
      <c r="B596" s="27"/>
      <c r="C596" s="28" t="s">
        <v>25</v>
      </c>
      <c r="D596" s="28" t="s">
        <v>7</v>
      </c>
      <c r="E596" s="28" t="s">
        <v>397</v>
      </c>
      <c r="F596" s="29" t="s">
        <v>395</v>
      </c>
      <c r="G596" s="30">
        <f>1738.6-1738.6</f>
        <v>0</v>
      </c>
      <c r="H596" s="30">
        <f>1738.6-1738.6</f>
        <v>0</v>
      </c>
      <c r="I596" s="30" t="e">
        <f t="shared" si="17"/>
        <v>#DIV/0!</v>
      </c>
    </row>
    <row r="597" spans="1:9" ht="15" hidden="1">
      <c r="A597" s="26" t="s">
        <v>398</v>
      </c>
      <c r="B597" s="27"/>
      <c r="C597" s="28" t="s">
        <v>25</v>
      </c>
      <c r="D597" s="28" t="s">
        <v>25</v>
      </c>
      <c r="E597" s="28"/>
      <c r="F597" s="29"/>
      <c r="G597" s="30">
        <f>SUM(G601+G598)</f>
        <v>0</v>
      </c>
      <c r="H597" s="30">
        <f>SUM(H601+H598)</f>
        <v>1047.3</v>
      </c>
      <c r="I597" s="30" t="e">
        <f t="shared" si="17"/>
        <v>#DIV/0!</v>
      </c>
    </row>
    <row r="598" spans="1:9" s="64" customFormat="1" ht="42.75" hidden="1">
      <c r="A598" s="26" t="s">
        <v>51</v>
      </c>
      <c r="B598" s="27"/>
      <c r="C598" s="28" t="s">
        <v>25</v>
      </c>
      <c r="D598" s="28" t="s">
        <v>25</v>
      </c>
      <c r="E598" s="28" t="s">
        <v>52</v>
      </c>
      <c r="F598" s="29"/>
      <c r="G598" s="30">
        <f>SUM(G599)</f>
        <v>0</v>
      </c>
      <c r="H598" s="30">
        <f>SUM(H599)</f>
        <v>0</v>
      </c>
      <c r="I598" s="30" t="e">
        <f t="shared" si="17"/>
        <v>#DIV/0!</v>
      </c>
    </row>
    <row r="599" spans="1:9" ht="42.75" hidden="1">
      <c r="A599" s="26" t="s">
        <v>337</v>
      </c>
      <c r="B599" s="27"/>
      <c r="C599" s="28" t="s">
        <v>25</v>
      </c>
      <c r="D599" s="28" t="s">
        <v>25</v>
      </c>
      <c r="E599" s="28" t="s">
        <v>54</v>
      </c>
      <c r="F599" s="29"/>
      <c r="G599" s="30">
        <f>SUM(G600)</f>
        <v>0</v>
      </c>
      <c r="H599" s="30">
        <f>SUM(H600)</f>
        <v>0</v>
      </c>
      <c r="I599" s="30" t="e">
        <f t="shared" si="17"/>
        <v>#DIV/0!</v>
      </c>
    </row>
    <row r="600" spans="1:9" ht="15" hidden="1">
      <c r="A600" s="26" t="s">
        <v>195</v>
      </c>
      <c r="B600" s="27"/>
      <c r="C600" s="28" t="s">
        <v>25</v>
      </c>
      <c r="D600" s="28" t="s">
        <v>25</v>
      </c>
      <c r="E600" s="28" t="s">
        <v>54</v>
      </c>
      <c r="F600" s="29" t="s">
        <v>42</v>
      </c>
      <c r="G600" s="30"/>
      <c r="H600" s="30"/>
      <c r="I600" s="30" t="e">
        <f t="shared" si="17"/>
        <v>#DIV/0!</v>
      </c>
    </row>
    <row r="601" spans="1:9" ht="15" hidden="1">
      <c r="A601" s="26" t="s">
        <v>20</v>
      </c>
      <c r="B601" s="27"/>
      <c r="C601" s="28" t="s">
        <v>25</v>
      </c>
      <c r="D601" s="28" t="s">
        <v>25</v>
      </c>
      <c r="E601" s="28" t="s">
        <v>21</v>
      </c>
      <c r="F601" s="29"/>
      <c r="G601" s="30">
        <f>SUM(G604)+G608+G610+G602</f>
        <v>0</v>
      </c>
      <c r="H601" s="30">
        <f>SUM(H604)+H608+H610</f>
        <v>1047.3</v>
      </c>
      <c r="I601" s="30" t="e">
        <f t="shared" si="17"/>
        <v>#DIV/0!</v>
      </c>
    </row>
    <row r="602" spans="1:9" ht="57" hidden="1">
      <c r="A602" s="44" t="s">
        <v>112</v>
      </c>
      <c r="B602" s="27"/>
      <c r="C602" s="28" t="s">
        <v>25</v>
      </c>
      <c r="D602" s="28" t="s">
        <v>25</v>
      </c>
      <c r="E602" s="28" t="s">
        <v>113</v>
      </c>
      <c r="F602" s="29"/>
      <c r="G602" s="30">
        <f>SUM(G603)</f>
        <v>0</v>
      </c>
      <c r="H602" s="30"/>
      <c r="I602" s="30"/>
    </row>
    <row r="603" spans="1:9" ht="15" hidden="1">
      <c r="A603" s="26" t="s">
        <v>10</v>
      </c>
      <c r="B603" s="27"/>
      <c r="C603" s="28" t="s">
        <v>25</v>
      </c>
      <c r="D603" s="28" t="s">
        <v>25</v>
      </c>
      <c r="E603" s="28" t="s">
        <v>113</v>
      </c>
      <c r="F603" s="29" t="s">
        <v>11</v>
      </c>
      <c r="G603" s="30"/>
      <c r="H603" s="30"/>
      <c r="I603" s="30"/>
    </row>
    <row r="604" spans="1:9" ht="28.5" hidden="1">
      <c r="A604" s="26" t="s">
        <v>399</v>
      </c>
      <c r="B604" s="27"/>
      <c r="C604" s="28" t="s">
        <v>25</v>
      </c>
      <c r="D604" s="28" t="s">
        <v>25</v>
      </c>
      <c r="E604" s="28" t="s">
        <v>400</v>
      </c>
      <c r="F604" s="29"/>
      <c r="G604" s="30">
        <f>SUM(G605:G607)</f>
        <v>0</v>
      </c>
      <c r="H604" s="30">
        <f>SUM(H605:H607)</f>
        <v>5</v>
      </c>
      <c r="I604" s="30" t="e">
        <f t="shared" si="17"/>
        <v>#DIV/0!</v>
      </c>
    </row>
    <row r="605" spans="1:9" ht="0.75" customHeight="1" hidden="1">
      <c r="A605" s="26" t="s">
        <v>195</v>
      </c>
      <c r="B605" s="27"/>
      <c r="C605" s="28" t="s">
        <v>25</v>
      </c>
      <c r="D605" s="28" t="s">
        <v>25</v>
      </c>
      <c r="E605" s="28" t="s">
        <v>400</v>
      </c>
      <c r="F605" s="29" t="s">
        <v>42</v>
      </c>
      <c r="G605" s="30"/>
      <c r="H605" s="30"/>
      <c r="I605" s="30" t="e">
        <f t="shared" si="17"/>
        <v>#DIV/0!</v>
      </c>
    </row>
    <row r="606" spans="1:9" ht="28.5" hidden="1">
      <c r="A606" s="26" t="s">
        <v>947</v>
      </c>
      <c r="B606" s="27"/>
      <c r="C606" s="28" t="s">
        <v>25</v>
      </c>
      <c r="D606" s="28" t="s">
        <v>25</v>
      </c>
      <c r="E606" s="28" t="s">
        <v>400</v>
      </c>
      <c r="F606" s="29" t="s">
        <v>948</v>
      </c>
      <c r="G606" s="30"/>
      <c r="H606" s="30"/>
      <c r="I606" s="30" t="e">
        <f t="shared" si="17"/>
        <v>#DIV/0!</v>
      </c>
    </row>
    <row r="607" spans="1:9" ht="33" customHeight="1" hidden="1">
      <c r="A607" s="26" t="s">
        <v>393</v>
      </c>
      <c r="B607" s="27"/>
      <c r="C607" s="28" t="s">
        <v>25</v>
      </c>
      <c r="D607" s="28" t="s">
        <v>25</v>
      </c>
      <c r="E607" s="28" t="s">
        <v>400</v>
      </c>
      <c r="F607" s="34" t="s">
        <v>395</v>
      </c>
      <c r="G607" s="50"/>
      <c r="H607" s="50">
        <v>5</v>
      </c>
      <c r="I607" s="30" t="e">
        <f t="shared" si="17"/>
        <v>#DIV/0!</v>
      </c>
    </row>
    <row r="608" spans="1:9" ht="42.75" hidden="1">
      <c r="A608" s="46" t="s">
        <v>401</v>
      </c>
      <c r="B608" s="27"/>
      <c r="C608" s="28" t="s">
        <v>25</v>
      </c>
      <c r="D608" s="28" t="s">
        <v>25</v>
      </c>
      <c r="E608" s="28" t="s">
        <v>402</v>
      </c>
      <c r="F608" s="34"/>
      <c r="G608" s="50">
        <f>SUM(G609)</f>
        <v>0</v>
      </c>
      <c r="H608" s="50">
        <f>SUM(H609)</f>
        <v>0</v>
      </c>
      <c r="I608" s="30" t="e">
        <f t="shared" si="17"/>
        <v>#DIV/0!</v>
      </c>
    </row>
    <row r="609" spans="1:9" ht="28.5" hidden="1">
      <c r="A609" s="26" t="s">
        <v>393</v>
      </c>
      <c r="B609" s="27"/>
      <c r="C609" s="28" t="s">
        <v>25</v>
      </c>
      <c r="D609" s="28" t="s">
        <v>25</v>
      </c>
      <c r="E609" s="28" t="s">
        <v>402</v>
      </c>
      <c r="F609" s="34" t="s">
        <v>395</v>
      </c>
      <c r="G609" s="50"/>
      <c r="H609" s="50"/>
      <c r="I609" s="30" t="e">
        <f t="shared" si="17"/>
        <v>#DIV/0!</v>
      </c>
    </row>
    <row r="610" spans="1:9" ht="29.25" customHeight="1" hidden="1">
      <c r="A610" s="26" t="s">
        <v>336</v>
      </c>
      <c r="B610" s="27"/>
      <c r="C610" s="28" t="s">
        <v>403</v>
      </c>
      <c r="D610" s="28" t="s">
        <v>403</v>
      </c>
      <c r="E610" s="28" t="s">
        <v>92</v>
      </c>
      <c r="F610" s="34"/>
      <c r="G610" s="50">
        <f>SUM(G611)</f>
        <v>0</v>
      </c>
      <c r="H610" s="50">
        <f>SUM(H611)</f>
        <v>1042.3</v>
      </c>
      <c r="I610" s="30" t="e">
        <f t="shared" si="17"/>
        <v>#DIV/0!</v>
      </c>
    </row>
    <row r="611" spans="1:9" ht="16.5" customHeight="1" hidden="1">
      <c r="A611" s="26" t="s">
        <v>195</v>
      </c>
      <c r="B611" s="27"/>
      <c r="C611" s="28" t="s">
        <v>25</v>
      </c>
      <c r="D611" s="28" t="s">
        <v>25</v>
      </c>
      <c r="E611" s="28" t="s">
        <v>92</v>
      </c>
      <c r="F611" s="34" t="s">
        <v>42</v>
      </c>
      <c r="G611" s="50"/>
      <c r="H611" s="50">
        <v>1042.3</v>
      </c>
      <c r="I611" s="30" t="e">
        <f t="shared" si="17"/>
        <v>#DIV/0!</v>
      </c>
    </row>
    <row r="612" spans="1:9" ht="18" customHeight="1" hidden="1">
      <c r="A612" s="26" t="s">
        <v>971</v>
      </c>
      <c r="B612" s="27"/>
      <c r="C612" s="28" t="s">
        <v>972</v>
      </c>
      <c r="D612" s="28"/>
      <c r="E612" s="28"/>
      <c r="F612" s="29"/>
      <c r="G612" s="30">
        <f>SUM(G616)</f>
        <v>0</v>
      </c>
      <c r="H612" s="30">
        <f>SUM(H616)</f>
        <v>8564.300000000001</v>
      </c>
      <c r="I612" s="30" t="e">
        <f t="shared" si="17"/>
        <v>#DIV/0!</v>
      </c>
    </row>
    <row r="613" spans="1:9" ht="15" hidden="1">
      <c r="A613" s="26" t="s">
        <v>404</v>
      </c>
      <c r="B613" s="27"/>
      <c r="C613" s="28" t="s">
        <v>972</v>
      </c>
      <c r="D613" s="28" t="s">
        <v>942</v>
      </c>
      <c r="E613" s="28"/>
      <c r="F613" s="29"/>
      <c r="G613" s="30">
        <f>SUM(G614)</f>
        <v>0</v>
      </c>
      <c r="H613" s="30">
        <f>SUM(H614)</f>
        <v>0</v>
      </c>
      <c r="I613" s="30" t="e">
        <f t="shared" si="17"/>
        <v>#DIV/0!</v>
      </c>
    </row>
    <row r="614" spans="1:9" ht="19.5" customHeight="1" hidden="1">
      <c r="A614" s="26" t="s">
        <v>405</v>
      </c>
      <c r="B614" s="27"/>
      <c r="C614" s="28" t="s">
        <v>972</v>
      </c>
      <c r="D614" s="28" t="s">
        <v>942</v>
      </c>
      <c r="E614" s="28" t="s">
        <v>406</v>
      </c>
      <c r="F614" s="29"/>
      <c r="G614" s="30">
        <f>SUM(G615)</f>
        <v>0</v>
      </c>
      <c r="H614" s="30">
        <f>SUM(H615)</f>
        <v>0</v>
      </c>
      <c r="I614" s="30" t="e">
        <f t="shared" si="17"/>
        <v>#DIV/0!</v>
      </c>
    </row>
    <row r="615" spans="1:9" ht="28.5" hidden="1">
      <c r="A615" s="26" t="s">
        <v>234</v>
      </c>
      <c r="B615" s="27"/>
      <c r="C615" s="28" t="s">
        <v>972</v>
      </c>
      <c r="D615" s="28" t="s">
        <v>942</v>
      </c>
      <c r="E615" s="28" t="s">
        <v>406</v>
      </c>
      <c r="F615" s="29" t="s">
        <v>407</v>
      </c>
      <c r="G615" s="30"/>
      <c r="H615" s="30"/>
      <c r="I615" s="30" t="e">
        <f t="shared" si="17"/>
        <v>#DIV/0!</v>
      </c>
    </row>
    <row r="616" spans="1:9" ht="15" hidden="1">
      <c r="A616" s="31" t="s">
        <v>973</v>
      </c>
      <c r="B616" s="27"/>
      <c r="C616" s="28" t="s">
        <v>972</v>
      </c>
      <c r="D616" s="28" t="s">
        <v>950</v>
      </c>
      <c r="E616" s="28"/>
      <c r="F616" s="29"/>
      <c r="G616" s="30">
        <f>SUM(G617+G620+G629+G638+G636)</f>
        <v>0</v>
      </c>
      <c r="H616" s="30">
        <f>SUM(H617+H620+H629+H638+H636)</f>
        <v>8564.300000000001</v>
      </c>
      <c r="I616" s="30" t="e">
        <f t="shared" si="17"/>
        <v>#DIV/0!</v>
      </c>
    </row>
    <row r="617" spans="1:9" ht="31.5" customHeight="1" hidden="1">
      <c r="A617" s="31" t="s">
        <v>408</v>
      </c>
      <c r="B617" s="27"/>
      <c r="C617" s="28" t="s">
        <v>972</v>
      </c>
      <c r="D617" s="28" t="s">
        <v>950</v>
      </c>
      <c r="E617" s="28" t="s">
        <v>212</v>
      </c>
      <c r="F617" s="29"/>
      <c r="G617" s="30">
        <f>SUM(G618)</f>
        <v>0</v>
      </c>
      <c r="H617" s="30">
        <f>SUM(H618)</f>
        <v>0</v>
      </c>
      <c r="I617" s="30" t="e">
        <f t="shared" si="17"/>
        <v>#DIV/0!</v>
      </c>
    </row>
    <row r="618" spans="1:9" ht="28.5" customHeight="1" hidden="1">
      <c r="A618" s="31" t="s">
        <v>409</v>
      </c>
      <c r="B618" s="27"/>
      <c r="C618" s="28" t="s">
        <v>972</v>
      </c>
      <c r="D618" s="28" t="s">
        <v>950</v>
      </c>
      <c r="E618" s="28" t="s">
        <v>410</v>
      </c>
      <c r="F618" s="29"/>
      <c r="G618" s="30">
        <f>SUM(G619)</f>
        <v>0</v>
      </c>
      <c r="H618" s="30">
        <f>SUM(H619)</f>
        <v>0</v>
      </c>
      <c r="I618" s="30" t="e">
        <f t="shared" si="17"/>
        <v>#DIV/0!</v>
      </c>
    </row>
    <row r="619" spans="1:9" ht="23.25" customHeight="1" hidden="1">
      <c r="A619" s="31" t="s">
        <v>411</v>
      </c>
      <c r="B619" s="27"/>
      <c r="C619" s="28" t="s">
        <v>972</v>
      </c>
      <c r="D619" s="28" t="s">
        <v>950</v>
      </c>
      <c r="E619" s="28" t="s">
        <v>410</v>
      </c>
      <c r="F619" s="29" t="s">
        <v>412</v>
      </c>
      <c r="G619" s="30"/>
      <c r="H619" s="30"/>
      <c r="I619" s="30" t="e">
        <f t="shared" si="17"/>
        <v>#DIV/0!</v>
      </c>
    </row>
    <row r="620" spans="1:9" ht="21.75" customHeight="1" hidden="1">
      <c r="A620" s="26" t="s">
        <v>974</v>
      </c>
      <c r="B620" s="27"/>
      <c r="C620" s="28" t="s">
        <v>972</v>
      </c>
      <c r="D620" s="28" t="s">
        <v>950</v>
      </c>
      <c r="E620" s="28" t="s">
        <v>975</v>
      </c>
      <c r="F620" s="29"/>
      <c r="G620" s="30">
        <f>SUM(G624+G627+G621)</f>
        <v>0</v>
      </c>
      <c r="H620" s="30">
        <f>SUM(H624+H627+H621)</f>
        <v>5628.5</v>
      </c>
      <c r="I620" s="30" t="e">
        <f t="shared" si="17"/>
        <v>#DIV/0!</v>
      </c>
    </row>
    <row r="621" spans="1:9" ht="18.75" customHeight="1" hidden="1">
      <c r="A621" s="31" t="s">
        <v>413</v>
      </c>
      <c r="B621" s="27"/>
      <c r="C621" s="28" t="s">
        <v>972</v>
      </c>
      <c r="D621" s="28" t="s">
        <v>950</v>
      </c>
      <c r="E621" s="28" t="s">
        <v>414</v>
      </c>
      <c r="F621" s="29"/>
      <c r="G621" s="30">
        <f>SUM(G622)</f>
        <v>0</v>
      </c>
      <c r="H621" s="30">
        <f>SUM(H622)</f>
        <v>0</v>
      </c>
      <c r="I621" s="30" t="e">
        <f aca="true" t="shared" si="20" ref="I621:I684">SUM(H621/G621*100)</f>
        <v>#DIV/0!</v>
      </c>
    </row>
    <row r="622" spans="1:9" ht="20.25" customHeight="1" hidden="1">
      <c r="A622" s="47" t="s">
        <v>415</v>
      </c>
      <c r="B622" s="27"/>
      <c r="C622" s="28" t="s">
        <v>972</v>
      </c>
      <c r="D622" s="28" t="s">
        <v>950</v>
      </c>
      <c r="E622" s="28" t="s">
        <v>416</v>
      </c>
      <c r="F622" s="29"/>
      <c r="G622" s="30">
        <f>SUM(G623)</f>
        <v>0</v>
      </c>
      <c r="H622" s="30">
        <f>SUM(H623)</f>
        <v>0</v>
      </c>
      <c r="I622" s="30" t="e">
        <f t="shared" si="20"/>
        <v>#DIV/0!</v>
      </c>
    </row>
    <row r="623" spans="1:9" ht="22.5" customHeight="1" hidden="1">
      <c r="A623" s="26" t="s">
        <v>978</v>
      </c>
      <c r="B623" s="27"/>
      <c r="C623" s="28" t="s">
        <v>972</v>
      </c>
      <c r="D623" s="28" t="s">
        <v>950</v>
      </c>
      <c r="E623" s="28" t="s">
        <v>416</v>
      </c>
      <c r="F623" s="29" t="s">
        <v>979</v>
      </c>
      <c r="G623" s="30"/>
      <c r="H623" s="30"/>
      <c r="I623" s="30" t="e">
        <f t="shared" si="20"/>
        <v>#DIV/0!</v>
      </c>
    </row>
    <row r="624" spans="1:9" ht="68.25" customHeight="1" hidden="1">
      <c r="A624" s="26" t="s">
        <v>417</v>
      </c>
      <c r="B624" s="27"/>
      <c r="C624" s="28" t="s">
        <v>972</v>
      </c>
      <c r="D624" s="28" t="s">
        <v>950</v>
      </c>
      <c r="E624" s="28" t="s">
        <v>418</v>
      </c>
      <c r="F624" s="29"/>
      <c r="G624" s="30">
        <f>SUM(G625)</f>
        <v>0</v>
      </c>
      <c r="H624" s="30">
        <f>SUM(H625)</f>
        <v>5628.5</v>
      </c>
      <c r="I624" s="30" t="e">
        <f t="shared" si="20"/>
        <v>#DIV/0!</v>
      </c>
    </row>
    <row r="625" spans="1:9" ht="75" customHeight="1" hidden="1">
      <c r="A625" s="31" t="s">
        <v>419</v>
      </c>
      <c r="B625" s="27"/>
      <c r="C625" s="28" t="s">
        <v>972</v>
      </c>
      <c r="D625" s="28" t="s">
        <v>950</v>
      </c>
      <c r="E625" s="28" t="s">
        <v>420</v>
      </c>
      <c r="F625" s="29"/>
      <c r="G625" s="30">
        <f>SUM(G626)</f>
        <v>0</v>
      </c>
      <c r="H625" s="30">
        <f>SUM(H626)</f>
        <v>5628.5</v>
      </c>
      <c r="I625" s="30" t="e">
        <f t="shared" si="20"/>
        <v>#DIV/0!</v>
      </c>
    </row>
    <row r="626" spans="1:9" ht="15.75" customHeight="1" hidden="1">
      <c r="A626" s="26" t="s">
        <v>978</v>
      </c>
      <c r="B626" s="33"/>
      <c r="C626" s="28" t="s">
        <v>972</v>
      </c>
      <c r="D626" s="28" t="s">
        <v>950</v>
      </c>
      <c r="E626" s="28" t="s">
        <v>420</v>
      </c>
      <c r="F626" s="34" t="s">
        <v>979</v>
      </c>
      <c r="G626" s="50"/>
      <c r="H626" s="50">
        <v>5628.5</v>
      </c>
      <c r="I626" s="30" t="e">
        <f t="shared" si="20"/>
        <v>#DIV/0!</v>
      </c>
    </row>
    <row r="627" spans="1:9" ht="15" hidden="1">
      <c r="A627" s="31" t="s">
        <v>421</v>
      </c>
      <c r="B627" s="27"/>
      <c r="C627" s="28" t="s">
        <v>972</v>
      </c>
      <c r="D627" s="28" t="s">
        <v>950</v>
      </c>
      <c r="E627" s="28" t="s">
        <v>422</v>
      </c>
      <c r="F627" s="29"/>
      <c r="G627" s="30">
        <f>SUM(G628)</f>
        <v>0</v>
      </c>
      <c r="H627" s="30">
        <f>SUM(H628)</f>
        <v>0</v>
      </c>
      <c r="I627" s="30" t="e">
        <f t="shared" si="20"/>
        <v>#DIV/0!</v>
      </c>
    </row>
    <row r="628" spans="1:9" ht="18" customHeight="1" hidden="1">
      <c r="A628" s="26" t="s">
        <v>978</v>
      </c>
      <c r="B628" s="33"/>
      <c r="C628" s="28" t="s">
        <v>972</v>
      </c>
      <c r="D628" s="28" t="s">
        <v>950</v>
      </c>
      <c r="E628" s="28" t="s">
        <v>422</v>
      </c>
      <c r="F628" s="34" t="s">
        <v>979</v>
      </c>
      <c r="G628" s="50"/>
      <c r="H628" s="50"/>
      <c r="I628" s="30" t="e">
        <f t="shared" si="20"/>
        <v>#DIV/0!</v>
      </c>
    </row>
    <row r="629" spans="1:9" ht="15.75" hidden="1">
      <c r="A629" s="26" t="s">
        <v>67</v>
      </c>
      <c r="B629" s="36"/>
      <c r="C629" s="28" t="s">
        <v>972</v>
      </c>
      <c r="D629" s="28" t="s">
        <v>950</v>
      </c>
      <c r="E629" s="28" t="s">
        <v>68</v>
      </c>
      <c r="F629" s="34"/>
      <c r="G629" s="50">
        <f>SUM(G630)</f>
        <v>0</v>
      </c>
      <c r="H629" s="50">
        <f>SUM(H630)</f>
        <v>0</v>
      </c>
      <c r="I629" s="30" t="e">
        <f t="shared" si="20"/>
        <v>#DIV/0!</v>
      </c>
    </row>
    <row r="630" spans="1:9" ht="71.25" hidden="1">
      <c r="A630" s="26" t="s">
        <v>423</v>
      </c>
      <c r="B630" s="33"/>
      <c r="C630" s="28" t="s">
        <v>972</v>
      </c>
      <c r="D630" s="28" t="s">
        <v>950</v>
      </c>
      <c r="E630" s="28" t="s">
        <v>72</v>
      </c>
      <c r="F630" s="34"/>
      <c r="G630" s="50">
        <f>SUM(G631)+G634</f>
        <v>0</v>
      </c>
      <c r="H630" s="50">
        <f>SUM(H631)+H634</f>
        <v>0</v>
      </c>
      <c r="I630" s="30" t="e">
        <f t="shared" si="20"/>
        <v>#DIV/0!</v>
      </c>
    </row>
    <row r="631" spans="1:9" ht="28.5" hidden="1">
      <c r="A631" s="26" t="s">
        <v>424</v>
      </c>
      <c r="B631" s="33"/>
      <c r="C631" s="28" t="s">
        <v>972</v>
      </c>
      <c r="D631" s="28" t="s">
        <v>950</v>
      </c>
      <c r="E631" s="28" t="s">
        <v>425</v>
      </c>
      <c r="F631" s="34"/>
      <c r="G631" s="50">
        <f>SUM(G632+G633)</f>
        <v>0</v>
      </c>
      <c r="H631" s="50">
        <f>SUM(H632+H633)</f>
        <v>0</v>
      </c>
      <c r="I631" s="30" t="e">
        <f t="shared" si="20"/>
        <v>#DIV/0!</v>
      </c>
    </row>
    <row r="632" spans="1:9" ht="28.5" hidden="1">
      <c r="A632" s="44" t="s">
        <v>947</v>
      </c>
      <c r="B632" s="33"/>
      <c r="C632" s="28" t="s">
        <v>972</v>
      </c>
      <c r="D632" s="28" t="s">
        <v>950</v>
      </c>
      <c r="E632" s="28" t="s">
        <v>425</v>
      </c>
      <c r="F632" s="34" t="s">
        <v>948</v>
      </c>
      <c r="G632" s="50"/>
      <c r="H632" s="50"/>
      <c r="I632" s="30" t="e">
        <f t="shared" si="20"/>
        <v>#DIV/0!</v>
      </c>
    </row>
    <row r="633" spans="1:9" ht="15" hidden="1">
      <c r="A633" s="26" t="s">
        <v>411</v>
      </c>
      <c r="B633" s="33"/>
      <c r="C633" s="28" t="s">
        <v>972</v>
      </c>
      <c r="D633" s="28" t="s">
        <v>950</v>
      </c>
      <c r="E633" s="28" t="s">
        <v>425</v>
      </c>
      <c r="F633" s="34" t="s">
        <v>412</v>
      </c>
      <c r="G633" s="50"/>
      <c r="H633" s="50"/>
      <c r="I633" s="30" t="e">
        <f t="shared" si="20"/>
        <v>#DIV/0!</v>
      </c>
    </row>
    <row r="634" spans="1:9" ht="43.5" customHeight="1" hidden="1">
      <c r="A634" s="26" t="s">
        <v>426</v>
      </c>
      <c r="B634" s="33"/>
      <c r="C634" s="28" t="s">
        <v>972</v>
      </c>
      <c r="D634" s="28" t="s">
        <v>950</v>
      </c>
      <c r="E634" s="28" t="s">
        <v>427</v>
      </c>
      <c r="F634" s="34"/>
      <c r="G634" s="50">
        <f>SUM(G635)</f>
        <v>0</v>
      </c>
      <c r="H634" s="50">
        <f>SUM(H635)</f>
        <v>0</v>
      </c>
      <c r="I634" s="30" t="e">
        <f t="shared" si="20"/>
        <v>#DIV/0!</v>
      </c>
    </row>
    <row r="635" spans="1:9" ht="19.5" customHeight="1" hidden="1">
      <c r="A635" s="26" t="s">
        <v>411</v>
      </c>
      <c r="B635" s="33"/>
      <c r="C635" s="28" t="s">
        <v>972</v>
      </c>
      <c r="D635" s="28" t="s">
        <v>950</v>
      </c>
      <c r="E635" s="28" t="s">
        <v>427</v>
      </c>
      <c r="F635" s="34" t="s">
        <v>412</v>
      </c>
      <c r="G635" s="50"/>
      <c r="H635" s="50"/>
      <c r="I635" s="30" t="e">
        <f t="shared" si="20"/>
        <v>#DIV/0!</v>
      </c>
    </row>
    <row r="636" spans="1:9" ht="44.25" customHeight="1" hidden="1">
      <c r="A636" s="26" t="s">
        <v>428</v>
      </c>
      <c r="B636" s="33"/>
      <c r="C636" s="28" t="s">
        <v>972</v>
      </c>
      <c r="D636" s="28" t="s">
        <v>950</v>
      </c>
      <c r="E636" s="28" t="s">
        <v>427</v>
      </c>
      <c r="F636" s="34"/>
      <c r="G636" s="50">
        <f>SUM(G637)</f>
        <v>0</v>
      </c>
      <c r="H636" s="50">
        <f>SUM(H637)</f>
        <v>1957.2</v>
      </c>
      <c r="I636" s="30" t="e">
        <f t="shared" si="20"/>
        <v>#DIV/0!</v>
      </c>
    </row>
    <row r="637" spans="1:9" ht="24" customHeight="1" hidden="1">
      <c r="A637" s="26" t="s">
        <v>411</v>
      </c>
      <c r="B637" s="33"/>
      <c r="C637" s="28" t="s">
        <v>972</v>
      </c>
      <c r="D637" s="28" t="s">
        <v>950</v>
      </c>
      <c r="E637" s="28" t="s">
        <v>427</v>
      </c>
      <c r="F637" s="34" t="s">
        <v>412</v>
      </c>
      <c r="G637" s="50"/>
      <c r="H637" s="50">
        <v>1957.2</v>
      </c>
      <c r="I637" s="30" t="e">
        <f t="shared" si="20"/>
        <v>#DIV/0!</v>
      </c>
    </row>
    <row r="638" spans="1:9" ht="22.5" customHeight="1" hidden="1">
      <c r="A638" s="26" t="s">
        <v>20</v>
      </c>
      <c r="B638" s="27"/>
      <c r="C638" s="28" t="s">
        <v>972</v>
      </c>
      <c r="D638" s="28" t="s">
        <v>950</v>
      </c>
      <c r="E638" s="28" t="s">
        <v>21</v>
      </c>
      <c r="F638" s="29"/>
      <c r="G638" s="30">
        <f>SUM(G639)</f>
        <v>0</v>
      </c>
      <c r="H638" s="30">
        <f>SUM(H639)</f>
        <v>978.6</v>
      </c>
      <c r="I638" s="30" t="e">
        <f t="shared" si="20"/>
        <v>#DIV/0!</v>
      </c>
    </row>
    <row r="639" spans="1:9" ht="28.5" hidden="1">
      <c r="A639" s="44" t="s">
        <v>947</v>
      </c>
      <c r="B639" s="27"/>
      <c r="C639" s="28" t="s">
        <v>972</v>
      </c>
      <c r="D639" s="28" t="s">
        <v>950</v>
      </c>
      <c r="E639" s="28" t="s">
        <v>21</v>
      </c>
      <c r="F639" s="29" t="s">
        <v>948</v>
      </c>
      <c r="G639" s="30">
        <f>SUM(G640)</f>
        <v>0</v>
      </c>
      <c r="H639" s="30">
        <f>SUM(H640)</f>
        <v>978.6</v>
      </c>
      <c r="I639" s="30" t="e">
        <f t="shared" si="20"/>
        <v>#DIV/0!</v>
      </c>
    </row>
    <row r="640" spans="1:9" ht="42.75" hidden="1">
      <c r="A640" s="44" t="s">
        <v>118</v>
      </c>
      <c r="B640" s="27"/>
      <c r="C640" s="28" t="s">
        <v>972</v>
      </c>
      <c r="D640" s="28" t="s">
        <v>950</v>
      </c>
      <c r="E640" s="67" t="s">
        <v>119</v>
      </c>
      <c r="F640" s="29" t="s">
        <v>948</v>
      </c>
      <c r="G640" s="30">
        <f>SUM(G641:G642)</f>
        <v>0</v>
      </c>
      <c r="H640" s="30">
        <f>SUM(H641:H642)</f>
        <v>978.6</v>
      </c>
      <c r="I640" s="30" t="e">
        <f t="shared" si="20"/>
        <v>#DIV/0!</v>
      </c>
    </row>
    <row r="641" spans="1:9" ht="28.5" hidden="1">
      <c r="A641" s="26" t="s">
        <v>424</v>
      </c>
      <c r="B641" s="27"/>
      <c r="C641" s="28" t="s">
        <v>972</v>
      </c>
      <c r="D641" s="28" t="s">
        <v>950</v>
      </c>
      <c r="E641" s="67" t="s">
        <v>429</v>
      </c>
      <c r="F641" s="29" t="s">
        <v>948</v>
      </c>
      <c r="G641" s="50"/>
      <c r="H641" s="50"/>
      <c r="I641" s="30" t="e">
        <f t="shared" si="20"/>
        <v>#DIV/0!</v>
      </c>
    </row>
    <row r="642" spans="1:9" ht="42.75" hidden="1">
      <c r="A642" s="26" t="s">
        <v>430</v>
      </c>
      <c r="B642" s="27"/>
      <c r="C642" s="28" t="s">
        <v>972</v>
      </c>
      <c r="D642" s="28" t="s">
        <v>950</v>
      </c>
      <c r="E642" s="67" t="s">
        <v>431</v>
      </c>
      <c r="F642" s="29" t="s">
        <v>948</v>
      </c>
      <c r="G642" s="50"/>
      <c r="H642" s="50">
        <v>978.6</v>
      </c>
      <c r="I642" s="30" t="e">
        <f t="shared" si="20"/>
        <v>#DIV/0!</v>
      </c>
    </row>
    <row r="643" spans="1:9" s="4" customFormat="1" ht="18.75" customHeight="1">
      <c r="A643" s="44" t="s">
        <v>390</v>
      </c>
      <c r="B643" s="70"/>
      <c r="C643" s="67" t="s">
        <v>432</v>
      </c>
      <c r="D643" s="67"/>
      <c r="E643" s="67"/>
      <c r="F643" s="34"/>
      <c r="G643" s="50">
        <f>SUM(G644)</f>
        <v>17350.8</v>
      </c>
      <c r="H643" s="50" t="e">
        <f>SUM(H644+#REF!+H673+H678+H688+H697)</f>
        <v>#REF!</v>
      </c>
      <c r="I643" s="50" t="e">
        <f>SUM(H643/G643*100)</f>
        <v>#REF!</v>
      </c>
    </row>
    <row r="644" spans="1:9" ht="28.5">
      <c r="A644" s="26" t="s">
        <v>433</v>
      </c>
      <c r="B644" s="27"/>
      <c r="C644" s="28" t="s">
        <v>432</v>
      </c>
      <c r="D644" s="28" t="s">
        <v>31</v>
      </c>
      <c r="E644" s="28"/>
      <c r="F644" s="29"/>
      <c r="G644" s="50">
        <f>SUM(G648)+G645</f>
        <v>17350.8</v>
      </c>
      <c r="H644" s="30"/>
      <c r="I644" s="30"/>
    </row>
    <row r="645" spans="1:9" ht="15">
      <c r="A645" s="31" t="s">
        <v>67</v>
      </c>
      <c r="B645" s="27"/>
      <c r="C645" s="28" t="s">
        <v>432</v>
      </c>
      <c r="D645" s="28" t="s">
        <v>31</v>
      </c>
      <c r="E645" s="28" t="s">
        <v>68</v>
      </c>
      <c r="F645" s="29"/>
      <c r="G645" s="50">
        <f>SUM(G646)</f>
        <v>13649</v>
      </c>
      <c r="H645" s="30"/>
      <c r="I645" s="30"/>
    </row>
    <row r="646" spans="1:9" ht="42.75">
      <c r="A646" s="26" t="s">
        <v>434</v>
      </c>
      <c r="B646" s="27"/>
      <c r="C646" s="28" t="s">
        <v>432</v>
      </c>
      <c r="D646" s="28" t="s">
        <v>31</v>
      </c>
      <c r="E646" s="28" t="s">
        <v>220</v>
      </c>
      <c r="F646" s="29"/>
      <c r="G646" s="50">
        <f>SUM(G647)</f>
        <v>13649</v>
      </c>
      <c r="H646" s="30"/>
      <c r="I646" s="30"/>
    </row>
    <row r="647" spans="1:9" ht="15">
      <c r="A647" s="26" t="s">
        <v>195</v>
      </c>
      <c r="B647" s="27"/>
      <c r="C647" s="28" t="s">
        <v>432</v>
      </c>
      <c r="D647" s="28" t="s">
        <v>31</v>
      </c>
      <c r="E647" s="28" t="s">
        <v>220</v>
      </c>
      <c r="F647" s="29" t="s">
        <v>42</v>
      </c>
      <c r="G647" s="50">
        <v>13649</v>
      </c>
      <c r="H647" s="30"/>
      <c r="I647" s="30"/>
    </row>
    <row r="648" spans="1:9" ht="15">
      <c r="A648" s="26" t="s">
        <v>20</v>
      </c>
      <c r="B648" s="27"/>
      <c r="C648" s="28" t="s">
        <v>432</v>
      </c>
      <c r="D648" s="28" t="s">
        <v>31</v>
      </c>
      <c r="E648" s="28" t="s">
        <v>21</v>
      </c>
      <c r="F648" s="29"/>
      <c r="G648" s="50">
        <f>SUM(G649)</f>
        <v>3701.8</v>
      </c>
      <c r="H648" s="30">
        <f>SUM(H651)+H655+H657</f>
        <v>34061.899999999994</v>
      </c>
      <c r="I648" s="30">
        <f>SUM(H648/G648*100)</f>
        <v>920.1442541466312</v>
      </c>
    </row>
    <row r="649" spans="1:9" ht="29.25" customHeight="1">
      <c r="A649" s="26" t="s">
        <v>336</v>
      </c>
      <c r="B649" s="27"/>
      <c r="C649" s="28" t="s">
        <v>432</v>
      </c>
      <c r="D649" s="28" t="s">
        <v>31</v>
      </c>
      <c r="E649" s="28" t="s">
        <v>92</v>
      </c>
      <c r="F649" s="34"/>
      <c r="G649" s="50">
        <f>SUM(G650)</f>
        <v>3701.8</v>
      </c>
      <c r="H649" s="50">
        <f>SUM(H650)</f>
        <v>1042.3</v>
      </c>
      <c r="I649" s="30">
        <f>SUM(H649/G649*100)</f>
        <v>28.15657247825382</v>
      </c>
    </row>
    <row r="650" spans="1:9" ht="16.5" customHeight="1">
      <c r="A650" s="26" t="s">
        <v>195</v>
      </c>
      <c r="B650" s="27"/>
      <c r="C650" s="28" t="s">
        <v>432</v>
      </c>
      <c r="D650" s="28" t="s">
        <v>31</v>
      </c>
      <c r="E650" s="28" t="s">
        <v>92</v>
      </c>
      <c r="F650" s="34" t="s">
        <v>42</v>
      </c>
      <c r="G650" s="50">
        <f>3402.6+31.8+67.4+200</f>
        <v>3701.8</v>
      </c>
      <c r="H650" s="50">
        <v>1042.3</v>
      </c>
      <c r="I650" s="30">
        <f>SUM(H650/G650*100)</f>
        <v>28.15657247825382</v>
      </c>
    </row>
    <row r="651" spans="1:9" ht="30">
      <c r="A651" s="35" t="s">
        <v>435</v>
      </c>
      <c r="B651" s="36" t="s">
        <v>436</v>
      </c>
      <c r="C651" s="75"/>
      <c r="D651" s="85"/>
      <c r="E651" s="85"/>
      <c r="F651" s="86"/>
      <c r="G651" s="37">
        <f>SUM(G652)+G671+G676+G667</f>
        <v>21708.9</v>
      </c>
      <c r="H651" s="37">
        <f>SUM(H652)+H671+H676</f>
        <v>14766.8</v>
      </c>
      <c r="I651" s="38">
        <f t="shared" si="20"/>
        <v>68.02187121411033</v>
      </c>
    </row>
    <row r="652" spans="1:9" ht="15">
      <c r="A652" s="26" t="s">
        <v>939</v>
      </c>
      <c r="B652" s="27"/>
      <c r="C652" s="28" t="s">
        <v>940</v>
      </c>
      <c r="D652" s="28"/>
      <c r="E652" s="28"/>
      <c r="F652" s="29"/>
      <c r="G652" s="30">
        <f>SUM(G653+G663+G659)</f>
        <v>20154.9</v>
      </c>
      <c r="H652" s="30">
        <f>SUM(H653+H663+H667+H659)</f>
        <v>14766.8</v>
      </c>
      <c r="I652" s="30">
        <f t="shared" si="20"/>
        <v>73.26655056586735</v>
      </c>
    </row>
    <row r="653" spans="1:9" ht="42.75">
      <c r="A653" s="26" t="s">
        <v>982</v>
      </c>
      <c r="B653" s="27"/>
      <c r="C653" s="28" t="s">
        <v>940</v>
      </c>
      <c r="D653" s="28" t="s">
        <v>983</v>
      </c>
      <c r="E653" s="28"/>
      <c r="F653" s="29"/>
      <c r="G653" s="30">
        <f>SUM(G654)</f>
        <v>17735.5</v>
      </c>
      <c r="H653" s="30">
        <f>SUM(H654)</f>
        <v>9708.8</v>
      </c>
      <c r="I653" s="30">
        <f t="shared" si="20"/>
        <v>54.74218375574412</v>
      </c>
    </row>
    <row r="654" spans="1:9" ht="45.75" customHeight="1">
      <c r="A654" s="26" t="s">
        <v>943</v>
      </c>
      <c r="B654" s="27"/>
      <c r="C654" s="28" t="s">
        <v>940</v>
      </c>
      <c r="D654" s="28" t="s">
        <v>983</v>
      </c>
      <c r="E654" s="28" t="s">
        <v>944</v>
      </c>
      <c r="F654" s="29"/>
      <c r="G654" s="30">
        <f>SUM(G655)</f>
        <v>17735.5</v>
      </c>
      <c r="H654" s="30">
        <f>SUM(H655)</f>
        <v>9708.8</v>
      </c>
      <c r="I654" s="30">
        <f t="shared" si="20"/>
        <v>54.74218375574412</v>
      </c>
    </row>
    <row r="655" spans="1:9" ht="15">
      <c r="A655" s="26" t="s">
        <v>951</v>
      </c>
      <c r="B655" s="27"/>
      <c r="C655" s="28" t="s">
        <v>940</v>
      </c>
      <c r="D655" s="28" t="s">
        <v>983</v>
      </c>
      <c r="E655" s="28" t="s">
        <v>953</v>
      </c>
      <c r="F655" s="29"/>
      <c r="G655" s="30">
        <f>SUM(G656+G657)</f>
        <v>17735.5</v>
      </c>
      <c r="H655" s="30">
        <f>SUM(H656+H657)</f>
        <v>9708.8</v>
      </c>
      <c r="I655" s="30">
        <f t="shared" si="20"/>
        <v>54.74218375574412</v>
      </c>
    </row>
    <row r="656" spans="1:9" s="87" customFormat="1" ht="27" customHeight="1">
      <c r="A656" s="26" t="s">
        <v>947</v>
      </c>
      <c r="B656" s="27"/>
      <c r="C656" s="28" t="s">
        <v>952</v>
      </c>
      <c r="D656" s="28" t="s">
        <v>983</v>
      </c>
      <c r="E656" s="28" t="s">
        <v>953</v>
      </c>
      <c r="F656" s="29" t="s">
        <v>948</v>
      </c>
      <c r="G656" s="30">
        <f>2531.5-47.1</f>
        <v>2484.4</v>
      </c>
      <c r="H656" s="30">
        <v>122.5</v>
      </c>
      <c r="I656" s="30">
        <f t="shared" si="20"/>
        <v>4.930767992271775</v>
      </c>
    </row>
    <row r="657" spans="1:9" s="87" customFormat="1" ht="44.25" customHeight="1">
      <c r="A657" s="26" t="s">
        <v>437</v>
      </c>
      <c r="B657" s="27"/>
      <c r="C657" s="28" t="s">
        <v>952</v>
      </c>
      <c r="D657" s="28" t="s">
        <v>983</v>
      </c>
      <c r="E657" s="28" t="s">
        <v>438</v>
      </c>
      <c r="F657" s="29"/>
      <c r="G657" s="30">
        <f>SUM(G658)</f>
        <v>15251.1</v>
      </c>
      <c r="H657" s="30">
        <f>SUM(H658)</f>
        <v>9586.3</v>
      </c>
      <c r="I657" s="30">
        <f t="shared" si="20"/>
        <v>62.85644969871025</v>
      </c>
    </row>
    <row r="658" spans="1:9" ht="28.5" customHeight="1">
      <c r="A658" s="26" t="s">
        <v>947</v>
      </c>
      <c r="B658" s="27"/>
      <c r="C658" s="28" t="s">
        <v>952</v>
      </c>
      <c r="D658" s="28" t="s">
        <v>983</v>
      </c>
      <c r="E658" s="28" t="s">
        <v>438</v>
      </c>
      <c r="F658" s="29" t="s">
        <v>948</v>
      </c>
      <c r="G658" s="30">
        <v>15251.1</v>
      </c>
      <c r="H658" s="30">
        <v>9586.3</v>
      </c>
      <c r="I658" s="30">
        <f t="shared" si="20"/>
        <v>62.85644969871025</v>
      </c>
    </row>
    <row r="659" spans="1:9" ht="26.25" customHeight="1" hidden="1">
      <c r="A659" s="26" t="s">
        <v>439</v>
      </c>
      <c r="B659" s="27"/>
      <c r="C659" s="28" t="s">
        <v>940</v>
      </c>
      <c r="D659" s="28" t="s">
        <v>432</v>
      </c>
      <c r="E659" s="28"/>
      <c r="F659" s="29"/>
      <c r="G659" s="30">
        <f>SUM(G660)</f>
        <v>0</v>
      </c>
      <c r="H659" s="30">
        <f>SUM(H660)</f>
        <v>5048</v>
      </c>
      <c r="I659" s="30" t="e">
        <f t="shared" si="20"/>
        <v>#DIV/0!</v>
      </c>
    </row>
    <row r="660" spans="1:9" ht="17.25" customHeight="1" hidden="1">
      <c r="A660" s="26" t="s">
        <v>440</v>
      </c>
      <c r="B660" s="27"/>
      <c r="C660" s="28" t="s">
        <v>940</v>
      </c>
      <c r="D660" s="28" t="s">
        <v>432</v>
      </c>
      <c r="E660" s="28" t="s">
        <v>441</v>
      </c>
      <c r="F660" s="29"/>
      <c r="G660" s="30">
        <f>SUM(G662)</f>
        <v>0</v>
      </c>
      <c r="H660" s="30">
        <f>SUM(H662)</f>
        <v>5048</v>
      </c>
      <c r="I660" s="30" t="e">
        <f t="shared" si="20"/>
        <v>#DIV/0!</v>
      </c>
    </row>
    <row r="661" spans="1:9" ht="15.75" customHeight="1" hidden="1">
      <c r="A661" s="26" t="s">
        <v>442</v>
      </c>
      <c r="B661" s="27"/>
      <c r="C661" s="28" t="s">
        <v>940</v>
      </c>
      <c r="D661" s="28" t="s">
        <v>432</v>
      </c>
      <c r="E661" s="28" t="s">
        <v>443</v>
      </c>
      <c r="F661" s="29"/>
      <c r="G661" s="30">
        <f>SUM(G662)</f>
        <v>0</v>
      </c>
      <c r="H661" s="30">
        <f>SUM(H662)</f>
        <v>5048</v>
      </c>
      <c r="I661" s="30" t="e">
        <f t="shared" si="20"/>
        <v>#DIV/0!</v>
      </c>
    </row>
    <row r="662" spans="1:9" ht="15" customHeight="1" hidden="1">
      <c r="A662" s="26" t="s">
        <v>306</v>
      </c>
      <c r="B662" s="27"/>
      <c r="C662" s="28" t="s">
        <v>940</v>
      </c>
      <c r="D662" s="28" t="s">
        <v>432</v>
      </c>
      <c r="E662" s="28" t="s">
        <v>443</v>
      </c>
      <c r="F662" s="29" t="s">
        <v>307</v>
      </c>
      <c r="G662" s="30"/>
      <c r="H662" s="30">
        <v>5048</v>
      </c>
      <c r="I662" s="30" t="e">
        <f t="shared" si="20"/>
        <v>#DIV/0!</v>
      </c>
    </row>
    <row r="663" spans="1:9" ht="15">
      <c r="A663" s="26" t="s">
        <v>94</v>
      </c>
      <c r="B663" s="27"/>
      <c r="C663" s="28" t="s">
        <v>940</v>
      </c>
      <c r="D663" s="28" t="s">
        <v>432</v>
      </c>
      <c r="E663" s="28"/>
      <c r="F663" s="29"/>
      <c r="G663" s="30">
        <f>SUM(G664)</f>
        <v>2419.4</v>
      </c>
      <c r="H663" s="30">
        <f>SUM(H664)</f>
        <v>0</v>
      </c>
      <c r="I663" s="30">
        <f t="shared" si="20"/>
        <v>0</v>
      </c>
    </row>
    <row r="664" spans="1:9" ht="15">
      <c r="A664" s="26" t="s">
        <v>94</v>
      </c>
      <c r="B664" s="27"/>
      <c r="C664" s="28" t="s">
        <v>940</v>
      </c>
      <c r="D664" s="28" t="s">
        <v>432</v>
      </c>
      <c r="E664" s="28" t="s">
        <v>95</v>
      </c>
      <c r="F664" s="29"/>
      <c r="G664" s="30">
        <f>SUM(G666)</f>
        <v>2419.4</v>
      </c>
      <c r="H664" s="30">
        <f>SUM(H666)</f>
        <v>0</v>
      </c>
      <c r="I664" s="30">
        <f t="shared" si="20"/>
        <v>0</v>
      </c>
    </row>
    <row r="665" spans="1:9" ht="15">
      <c r="A665" s="26" t="s">
        <v>96</v>
      </c>
      <c r="B665" s="27"/>
      <c r="C665" s="28" t="s">
        <v>940</v>
      </c>
      <c r="D665" s="28" t="s">
        <v>432</v>
      </c>
      <c r="E665" s="28" t="s">
        <v>97</v>
      </c>
      <c r="F665" s="29"/>
      <c r="G665" s="30">
        <f>SUM(G666)</f>
        <v>2419.4</v>
      </c>
      <c r="H665" s="30">
        <f>SUM(H666)</f>
        <v>0</v>
      </c>
      <c r="I665" s="30">
        <f t="shared" si="20"/>
        <v>0</v>
      </c>
    </row>
    <row r="666" spans="1:9" ht="16.5" customHeight="1">
      <c r="A666" s="26" t="s">
        <v>444</v>
      </c>
      <c r="B666" s="27"/>
      <c r="C666" s="28" t="s">
        <v>940</v>
      </c>
      <c r="D666" s="28" t="s">
        <v>432</v>
      </c>
      <c r="E666" s="28" t="s">
        <v>97</v>
      </c>
      <c r="F666" s="29" t="s">
        <v>307</v>
      </c>
      <c r="G666" s="30">
        <f>4742.6-280+0.2-500-3039.1+13.4+1482.3</f>
        <v>2419.4</v>
      </c>
      <c r="H666" s="30"/>
      <c r="I666" s="30">
        <f t="shared" si="20"/>
        <v>0</v>
      </c>
    </row>
    <row r="667" spans="1:9" ht="15" hidden="1">
      <c r="A667" s="26" t="s">
        <v>956</v>
      </c>
      <c r="B667" s="27"/>
      <c r="C667" s="28" t="s">
        <v>940</v>
      </c>
      <c r="D667" s="28"/>
      <c r="E667" s="28"/>
      <c r="F667" s="29"/>
      <c r="G667" s="30">
        <f aca="true" t="shared" si="21" ref="G667:H669">SUM(G668)</f>
        <v>0</v>
      </c>
      <c r="H667" s="30">
        <f t="shared" si="21"/>
        <v>10</v>
      </c>
      <c r="I667" s="30" t="e">
        <f t="shared" si="20"/>
        <v>#DIV/0!</v>
      </c>
    </row>
    <row r="668" spans="1:9" ht="28.5" hidden="1">
      <c r="A668" s="26" t="s">
        <v>958</v>
      </c>
      <c r="B668" s="27"/>
      <c r="C668" s="28" t="s">
        <v>940</v>
      </c>
      <c r="D668" s="28" t="s">
        <v>957</v>
      </c>
      <c r="E668" s="28" t="s">
        <v>959</v>
      </c>
      <c r="F668" s="29"/>
      <c r="G668" s="30">
        <f t="shared" si="21"/>
        <v>0</v>
      </c>
      <c r="H668" s="30">
        <f t="shared" si="21"/>
        <v>10</v>
      </c>
      <c r="I668" s="30" t="e">
        <f t="shared" si="20"/>
        <v>#DIV/0!</v>
      </c>
    </row>
    <row r="669" spans="1:9" ht="15" hidden="1">
      <c r="A669" s="26" t="s">
        <v>960</v>
      </c>
      <c r="B669" s="27"/>
      <c r="C669" s="28" t="s">
        <v>940</v>
      </c>
      <c r="D669" s="28" t="s">
        <v>957</v>
      </c>
      <c r="E669" s="28" t="s">
        <v>961</v>
      </c>
      <c r="F669" s="29"/>
      <c r="G669" s="30">
        <f t="shared" si="21"/>
        <v>0</v>
      </c>
      <c r="H669" s="30">
        <f t="shared" si="21"/>
        <v>10</v>
      </c>
      <c r="I669" s="30" t="e">
        <f t="shared" si="20"/>
        <v>#DIV/0!</v>
      </c>
    </row>
    <row r="670" spans="1:9" ht="27.75" customHeight="1" hidden="1">
      <c r="A670" s="26" t="s">
        <v>947</v>
      </c>
      <c r="B670" s="27"/>
      <c r="C670" s="28" t="s">
        <v>940</v>
      </c>
      <c r="D670" s="28" t="s">
        <v>957</v>
      </c>
      <c r="E670" s="28" t="s">
        <v>961</v>
      </c>
      <c r="F670" s="29" t="s">
        <v>948</v>
      </c>
      <c r="G670" s="30"/>
      <c r="H670" s="30">
        <v>10</v>
      </c>
      <c r="I670" s="30" t="e">
        <f t="shared" si="20"/>
        <v>#DIV/0!</v>
      </c>
    </row>
    <row r="671" spans="1:9" ht="15.75" customHeight="1" hidden="1">
      <c r="A671" s="26" t="s">
        <v>962</v>
      </c>
      <c r="B671" s="27"/>
      <c r="C671" s="28" t="s">
        <v>963</v>
      </c>
      <c r="D671" s="72"/>
      <c r="E671" s="72"/>
      <c r="F671" s="73"/>
      <c r="G671" s="50">
        <f aca="true" t="shared" si="22" ref="G671:H674">SUM(G672)</f>
        <v>0</v>
      </c>
      <c r="H671" s="50">
        <f t="shared" si="22"/>
        <v>0</v>
      </c>
      <c r="I671" s="30" t="e">
        <f t="shared" si="20"/>
        <v>#DIV/0!</v>
      </c>
    </row>
    <row r="672" spans="1:9" ht="15" hidden="1">
      <c r="A672" s="26" t="s">
        <v>964</v>
      </c>
      <c r="B672" s="32"/>
      <c r="C672" s="28" t="s">
        <v>963</v>
      </c>
      <c r="D672" s="28" t="s">
        <v>963</v>
      </c>
      <c r="E672" s="72"/>
      <c r="F672" s="73"/>
      <c r="G672" s="50">
        <f t="shared" si="22"/>
        <v>0</v>
      </c>
      <c r="H672" s="50">
        <f t="shared" si="22"/>
        <v>0</v>
      </c>
      <c r="I672" s="30" t="e">
        <f t="shared" si="20"/>
        <v>#DIV/0!</v>
      </c>
    </row>
    <row r="673" spans="1:9" ht="28.5" hidden="1">
      <c r="A673" s="31" t="s">
        <v>965</v>
      </c>
      <c r="B673" s="32"/>
      <c r="C673" s="28" t="s">
        <v>963</v>
      </c>
      <c r="D673" s="28" t="s">
        <v>963</v>
      </c>
      <c r="E673" s="28" t="s">
        <v>966</v>
      </c>
      <c r="F673" s="29"/>
      <c r="G673" s="50">
        <f t="shared" si="22"/>
        <v>0</v>
      </c>
      <c r="H673" s="50">
        <f t="shared" si="22"/>
        <v>0</v>
      </c>
      <c r="I673" s="30" t="e">
        <f t="shared" si="20"/>
        <v>#DIV/0!</v>
      </c>
    </row>
    <row r="674" spans="1:9" ht="15" hidden="1">
      <c r="A674" s="31" t="s">
        <v>967</v>
      </c>
      <c r="B674" s="32"/>
      <c r="C674" s="28" t="s">
        <v>963</v>
      </c>
      <c r="D674" s="28" t="s">
        <v>963</v>
      </c>
      <c r="E674" s="28" t="s">
        <v>968</v>
      </c>
      <c r="F674" s="29"/>
      <c r="G674" s="50">
        <f t="shared" si="22"/>
        <v>0</v>
      </c>
      <c r="H674" s="50">
        <f t="shared" si="22"/>
        <v>0</v>
      </c>
      <c r="I674" s="30" t="e">
        <f t="shared" si="20"/>
        <v>#DIV/0!</v>
      </c>
    </row>
    <row r="675" spans="1:9" ht="18" customHeight="1" hidden="1">
      <c r="A675" s="26" t="s">
        <v>969</v>
      </c>
      <c r="B675" s="32"/>
      <c r="C675" s="28" t="s">
        <v>963</v>
      </c>
      <c r="D675" s="28" t="s">
        <v>963</v>
      </c>
      <c r="E675" s="28" t="s">
        <v>968</v>
      </c>
      <c r="F675" s="29" t="s">
        <v>970</v>
      </c>
      <c r="G675" s="50"/>
      <c r="H675" s="50"/>
      <c r="I675" s="30" t="e">
        <f t="shared" si="20"/>
        <v>#DIV/0!</v>
      </c>
    </row>
    <row r="676" spans="1:9" ht="28.5">
      <c r="A676" s="44" t="s">
        <v>439</v>
      </c>
      <c r="B676" s="27"/>
      <c r="C676" s="67" t="s">
        <v>957</v>
      </c>
      <c r="D676" s="67" t="s">
        <v>445</v>
      </c>
      <c r="E676" s="67"/>
      <c r="F676" s="34"/>
      <c r="G676" s="50">
        <f aca="true" t="shared" si="23" ref="G676:H680">SUM(G677)</f>
        <v>1554</v>
      </c>
      <c r="H676" s="50">
        <f t="shared" si="23"/>
        <v>0</v>
      </c>
      <c r="I676" s="30">
        <f t="shared" si="20"/>
        <v>0</v>
      </c>
    </row>
    <row r="677" spans="1:9" ht="28.5">
      <c r="A677" s="44" t="s">
        <v>446</v>
      </c>
      <c r="B677" s="27"/>
      <c r="C677" s="67" t="s">
        <v>957</v>
      </c>
      <c r="D677" s="67" t="s">
        <v>940</v>
      </c>
      <c r="E677" s="28"/>
      <c r="F677" s="29"/>
      <c r="G677" s="50">
        <f t="shared" si="23"/>
        <v>1554</v>
      </c>
      <c r="H677" s="50">
        <f t="shared" si="23"/>
        <v>0</v>
      </c>
      <c r="I677" s="30">
        <f t="shared" si="20"/>
        <v>0</v>
      </c>
    </row>
    <row r="678" spans="1:9" ht="15">
      <c r="A678" s="26" t="s">
        <v>440</v>
      </c>
      <c r="B678" s="27"/>
      <c r="C678" s="67" t="s">
        <v>957</v>
      </c>
      <c r="D678" s="67" t="s">
        <v>940</v>
      </c>
      <c r="E678" s="28" t="s">
        <v>441</v>
      </c>
      <c r="F678" s="29"/>
      <c r="G678" s="30">
        <f>SUM(G680)</f>
        <v>1554</v>
      </c>
      <c r="H678" s="50">
        <f t="shared" si="23"/>
        <v>0</v>
      </c>
      <c r="I678" s="30">
        <f t="shared" si="20"/>
        <v>0</v>
      </c>
    </row>
    <row r="679" spans="1:9" ht="15">
      <c r="A679" s="26" t="s">
        <v>442</v>
      </c>
      <c r="B679" s="27"/>
      <c r="C679" s="67" t="s">
        <v>957</v>
      </c>
      <c r="D679" s="67" t="s">
        <v>940</v>
      </c>
      <c r="E679" s="28" t="s">
        <v>443</v>
      </c>
      <c r="F679" s="29"/>
      <c r="G679" s="30">
        <f>SUM(G680)</f>
        <v>1554</v>
      </c>
      <c r="H679" s="50">
        <f t="shared" si="23"/>
        <v>0</v>
      </c>
      <c r="I679" s="30">
        <f t="shared" si="20"/>
        <v>0</v>
      </c>
    </row>
    <row r="680" spans="1:9" ht="19.5" customHeight="1">
      <c r="A680" s="26" t="s">
        <v>306</v>
      </c>
      <c r="B680" s="27"/>
      <c r="C680" s="67" t="s">
        <v>957</v>
      </c>
      <c r="D680" s="67" t="s">
        <v>940</v>
      </c>
      <c r="E680" s="28" t="s">
        <v>443</v>
      </c>
      <c r="F680" s="29" t="s">
        <v>307</v>
      </c>
      <c r="G680" s="30">
        <f>1514.9+39.1</f>
        <v>1554</v>
      </c>
      <c r="H680" s="50">
        <f t="shared" si="23"/>
        <v>0</v>
      </c>
      <c r="I680" s="30">
        <f t="shared" si="20"/>
        <v>0</v>
      </c>
    </row>
    <row r="681" spans="1:9" ht="20.25" customHeight="1" hidden="1">
      <c r="A681" s="26" t="s">
        <v>969</v>
      </c>
      <c r="B681" s="32"/>
      <c r="C681" s="67" t="s">
        <v>972</v>
      </c>
      <c r="D681" s="67" t="s">
        <v>983</v>
      </c>
      <c r="E681" s="28" t="s">
        <v>447</v>
      </c>
      <c r="F681" s="29" t="s">
        <v>970</v>
      </c>
      <c r="G681" s="50"/>
      <c r="H681" s="50"/>
      <c r="I681" s="30" t="e">
        <f t="shared" si="20"/>
        <v>#DIV/0!</v>
      </c>
    </row>
    <row r="682" spans="1:9" ht="30.75" customHeight="1">
      <c r="A682" s="35" t="s">
        <v>448</v>
      </c>
      <c r="B682" s="36" t="s">
        <v>449</v>
      </c>
      <c r="C682" s="75"/>
      <c r="D682" s="85"/>
      <c r="E682" s="85"/>
      <c r="F682" s="86"/>
      <c r="G682" s="37">
        <f>SUM(G694+G713)+G683+G688</f>
        <v>732344.7000000002</v>
      </c>
      <c r="H682" s="37">
        <f>SUM(H694+H713)+H683+H688</f>
        <v>521796.69999999995</v>
      </c>
      <c r="I682" s="38">
        <f t="shared" si="20"/>
        <v>71.25015037317807</v>
      </c>
    </row>
    <row r="683" spans="1:9" ht="15">
      <c r="A683" s="26" t="s">
        <v>939</v>
      </c>
      <c r="B683" s="27"/>
      <c r="C683" s="28" t="s">
        <v>940</v>
      </c>
      <c r="D683" s="28"/>
      <c r="E683" s="28"/>
      <c r="F683" s="29"/>
      <c r="G683" s="30">
        <f aca="true" t="shared" si="24" ref="G683:H686">SUM(G684)</f>
        <v>61.8</v>
      </c>
      <c r="H683" s="30">
        <f t="shared" si="24"/>
        <v>0</v>
      </c>
      <c r="I683" s="30">
        <f t="shared" si="20"/>
        <v>0</v>
      </c>
    </row>
    <row r="684" spans="1:9" ht="42.75">
      <c r="A684" s="26" t="s">
        <v>250</v>
      </c>
      <c r="B684" s="27"/>
      <c r="C684" s="28" t="s">
        <v>940</v>
      </c>
      <c r="D684" s="28" t="s">
        <v>5</v>
      </c>
      <c r="E684" s="28"/>
      <c r="F684" s="29"/>
      <c r="G684" s="30">
        <f t="shared" si="24"/>
        <v>61.8</v>
      </c>
      <c r="H684" s="30">
        <f t="shared" si="24"/>
        <v>0</v>
      </c>
      <c r="I684" s="30">
        <f t="shared" si="20"/>
        <v>0</v>
      </c>
    </row>
    <row r="685" spans="1:9" ht="48" customHeight="1">
      <c r="A685" s="26" t="s">
        <v>943</v>
      </c>
      <c r="B685" s="27"/>
      <c r="C685" s="28" t="s">
        <v>940</v>
      </c>
      <c r="D685" s="28" t="s">
        <v>5</v>
      </c>
      <c r="E685" s="28" t="s">
        <v>944</v>
      </c>
      <c r="F685" s="29"/>
      <c r="G685" s="30">
        <f t="shared" si="24"/>
        <v>61.8</v>
      </c>
      <c r="H685" s="30">
        <f t="shared" si="24"/>
        <v>0</v>
      </c>
      <c r="I685" s="30">
        <f aca="true" t="shared" si="25" ref="I685:I748">SUM(H685/G685*100)</f>
        <v>0</v>
      </c>
    </row>
    <row r="686" spans="1:9" ht="18.75" customHeight="1">
      <c r="A686" s="26" t="s">
        <v>951</v>
      </c>
      <c r="B686" s="27"/>
      <c r="C686" s="28" t="s">
        <v>940</v>
      </c>
      <c r="D686" s="28" t="s">
        <v>5</v>
      </c>
      <c r="E686" s="28" t="s">
        <v>953</v>
      </c>
      <c r="F686" s="29"/>
      <c r="G686" s="30">
        <f t="shared" si="24"/>
        <v>61.8</v>
      </c>
      <c r="H686" s="30">
        <f t="shared" si="24"/>
        <v>0</v>
      </c>
      <c r="I686" s="30">
        <f t="shared" si="25"/>
        <v>0</v>
      </c>
    </row>
    <row r="687" spans="1:9" ht="29.25" customHeight="1">
      <c r="A687" s="26" t="s">
        <v>947</v>
      </c>
      <c r="B687" s="27"/>
      <c r="C687" s="28" t="s">
        <v>940</v>
      </c>
      <c r="D687" s="28" t="s">
        <v>5</v>
      </c>
      <c r="E687" s="28" t="s">
        <v>953</v>
      </c>
      <c r="F687" s="29" t="s">
        <v>948</v>
      </c>
      <c r="G687" s="30">
        <v>61.8</v>
      </c>
      <c r="H687" s="30"/>
      <c r="I687" s="30">
        <f t="shared" si="25"/>
        <v>0</v>
      </c>
    </row>
    <row r="688" spans="1:9" ht="18.75" customHeight="1">
      <c r="A688" s="44" t="s">
        <v>4</v>
      </c>
      <c r="B688" s="70"/>
      <c r="C688" s="67" t="s">
        <v>5</v>
      </c>
      <c r="D688" s="67"/>
      <c r="E688" s="67"/>
      <c r="F688" s="34"/>
      <c r="G688" s="50">
        <f>SUM(G689)</f>
        <v>6056.2</v>
      </c>
      <c r="H688" s="50">
        <f>SUM(H689)</f>
        <v>2581.7</v>
      </c>
      <c r="I688" s="30">
        <f t="shared" si="25"/>
        <v>42.62904131303458</v>
      </c>
    </row>
    <row r="689" spans="1:9" ht="18" customHeight="1">
      <c r="A689" s="26" t="s">
        <v>6</v>
      </c>
      <c r="B689" s="27"/>
      <c r="C689" s="28" t="s">
        <v>5</v>
      </c>
      <c r="D689" s="28" t="s">
        <v>7</v>
      </c>
      <c r="E689" s="28"/>
      <c r="F689" s="29"/>
      <c r="G689" s="30">
        <f>SUM(G690)</f>
        <v>6056.2</v>
      </c>
      <c r="H689" s="30">
        <f>SUM(H690)</f>
        <v>2581.7</v>
      </c>
      <c r="I689" s="30">
        <f t="shared" si="25"/>
        <v>42.62904131303458</v>
      </c>
    </row>
    <row r="690" spans="1:9" ht="28.5" customHeight="1">
      <c r="A690" s="26" t="s">
        <v>8</v>
      </c>
      <c r="B690" s="27"/>
      <c r="C690" s="28" t="s">
        <v>5</v>
      </c>
      <c r="D690" s="28" t="s">
        <v>7</v>
      </c>
      <c r="E690" s="28" t="s">
        <v>9</v>
      </c>
      <c r="F690" s="29"/>
      <c r="G690" s="30">
        <f>SUM(G691+G692)</f>
        <v>6056.2</v>
      </c>
      <c r="H690" s="30">
        <f>SUM(H691+H692)</f>
        <v>2581.7</v>
      </c>
      <c r="I690" s="30">
        <f t="shared" si="25"/>
        <v>42.62904131303458</v>
      </c>
    </row>
    <row r="691" spans="1:9" ht="18" customHeight="1">
      <c r="A691" s="26" t="s">
        <v>10</v>
      </c>
      <c r="B691" s="27"/>
      <c r="C691" s="28" t="s">
        <v>5</v>
      </c>
      <c r="D691" s="28" t="s">
        <v>7</v>
      </c>
      <c r="E691" s="28" t="s">
        <v>9</v>
      </c>
      <c r="F691" s="29" t="s">
        <v>11</v>
      </c>
      <c r="G691" s="30">
        <f>2845+183.1</f>
        <v>3028.1</v>
      </c>
      <c r="H691" s="30">
        <v>1711.3</v>
      </c>
      <c r="I691" s="30">
        <f t="shared" si="25"/>
        <v>56.513985667580336</v>
      </c>
    </row>
    <row r="692" spans="1:9" ht="87.75" customHeight="1">
      <c r="A692" s="88" t="s">
        <v>450</v>
      </c>
      <c r="B692" s="27"/>
      <c r="C692" s="28" t="s">
        <v>5</v>
      </c>
      <c r="D692" s="28" t="s">
        <v>7</v>
      </c>
      <c r="E692" s="28" t="s">
        <v>451</v>
      </c>
      <c r="F692" s="29"/>
      <c r="G692" s="30">
        <f>SUM(G693)</f>
        <v>3028.1</v>
      </c>
      <c r="H692" s="30">
        <f>SUM(H693)</f>
        <v>870.4</v>
      </c>
      <c r="I692" s="30">
        <f t="shared" si="25"/>
        <v>28.744096958488825</v>
      </c>
    </row>
    <row r="693" spans="1:9" ht="16.5" customHeight="1">
      <c r="A693" s="26" t="s">
        <v>10</v>
      </c>
      <c r="B693" s="27"/>
      <c r="C693" s="28" t="s">
        <v>5</v>
      </c>
      <c r="D693" s="28" t="s">
        <v>7</v>
      </c>
      <c r="E693" s="28" t="s">
        <v>451</v>
      </c>
      <c r="F693" s="29" t="s">
        <v>11</v>
      </c>
      <c r="G693" s="30">
        <f>1127.3+1900.8</f>
        <v>3028.1</v>
      </c>
      <c r="H693" s="30">
        <v>870.4</v>
      </c>
      <c r="I693" s="30">
        <f t="shared" si="25"/>
        <v>28.744096958488825</v>
      </c>
    </row>
    <row r="694" spans="1:9" ht="15">
      <c r="A694" s="44" t="s">
        <v>962</v>
      </c>
      <c r="B694" s="27"/>
      <c r="C694" s="67" t="s">
        <v>963</v>
      </c>
      <c r="D694" s="67"/>
      <c r="E694" s="67"/>
      <c r="F694" s="34"/>
      <c r="G694" s="50">
        <f>SUM(G695)+G703+G710</f>
        <v>45425.299999999996</v>
      </c>
      <c r="H694" s="50">
        <f>SUM(H695)+H703+H710</f>
        <v>25782.3</v>
      </c>
      <c r="I694" s="30">
        <f t="shared" si="25"/>
        <v>56.75757782557298</v>
      </c>
    </row>
    <row r="695" spans="1:9" ht="15">
      <c r="A695" s="26" t="s">
        <v>231</v>
      </c>
      <c r="B695" s="27"/>
      <c r="C695" s="28" t="s">
        <v>963</v>
      </c>
      <c r="D695" s="28" t="s">
        <v>942</v>
      </c>
      <c r="E695" s="67"/>
      <c r="F695" s="34"/>
      <c r="G695" s="30">
        <f>SUM(G696)</f>
        <v>45425.299999999996</v>
      </c>
      <c r="H695" s="30">
        <f>SUM(H696)</f>
        <v>25662.5</v>
      </c>
      <c r="I695" s="30">
        <f t="shared" si="25"/>
        <v>56.493848141894496</v>
      </c>
    </row>
    <row r="696" spans="1:9" ht="15">
      <c r="A696" s="26" t="s">
        <v>452</v>
      </c>
      <c r="B696" s="27"/>
      <c r="C696" s="28" t="s">
        <v>963</v>
      </c>
      <c r="D696" s="28" t="s">
        <v>942</v>
      </c>
      <c r="E696" s="28" t="s">
        <v>453</v>
      </c>
      <c r="F696" s="34"/>
      <c r="G696" s="30">
        <f>SUM(G697)</f>
        <v>45425.299999999996</v>
      </c>
      <c r="H696" s="30">
        <f>SUM(H697)</f>
        <v>25662.5</v>
      </c>
      <c r="I696" s="30">
        <f t="shared" si="25"/>
        <v>56.493848141894496</v>
      </c>
    </row>
    <row r="697" spans="1:9" ht="28.5">
      <c r="A697" s="26" t="s">
        <v>234</v>
      </c>
      <c r="B697" s="27"/>
      <c r="C697" s="28" t="s">
        <v>963</v>
      </c>
      <c r="D697" s="28" t="s">
        <v>942</v>
      </c>
      <c r="E697" s="28" t="s">
        <v>454</v>
      </c>
      <c r="F697" s="34"/>
      <c r="G697" s="30">
        <f>SUM(G701+G699+G698)</f>
        <v>45425.299999999996</v>
      </c>
      <c r="H697" s="30">
        <f>SUM(H701+H699+H698)</f>
        <v>25662.5</v>
      </c>
      <c r="I697" s="30">
        <f t="shared" si="25"/>
        <v>56.493848141894496</v>
      </c>
    </row>
    <row r="698" spans="1:9" ht="33" customHeight="1" hidden="1">
      <c r="A698" s="26" t="s">
        <v>969</v>
      </c>
      <c r="B698" s="27"/>
      <c r="C698" s="28" t="s">
        <v>963</v>
      </c>
      <c r="D698" s="28" t="s">
        <v>942</v>
      </c>
      <c r="E698" s="28" t="s">
        <v>454</v>
      </c>
      <c r="F698" s="29" t="s">
        <v>970</v>
      </c>
      <c r="G698" s="30"/>
      <c r="H698" s="30"/>
      <c r="I698" s="30" t="e">
        <f t="shared" si="25"/>
        <v>#DIV/0!</v>
      </c>
    </row>
    <row r="699" spans="1:9" ht="57">
      <c r="A699" s="26" t="s">
        <v>455</v>
      </c>
      <c r="B699" s="36"/>
      <c r="C699" s="28" t="s">
        <v>963</v>
      </c>
      <c r="D699" s="28" t="s">
        <v>942</v>
      </c>
      <c r="E699" s="28" t="s">
        <v>456</v>
      </c>
      <c r="F699" s="29"/>
      <c r="G699" s="30">
        <f>SUM(G700)</f>
        <v>53.6</v>
      </c>
      <c r="H699" s="30">
        <f>SUM(H700)</f>
        <v>27.5</v>
      </c>
      <c r="I699" s="30">
        <f t="shared" si="25"/>
        <v>51.30597014925373</v>
      </c>
    </row>
    <row r="700" spans="1:9" ht="15.75">
      <c r="A700" s="26" t="s">
        <v>969</v>
      </c>
      <c r="B700" s="36"/>
      <c r="C700" s="28" t="s">
        <v>963</v>
      </c>
      <c r="D700" s="28" t="s">
        <v>942</v>
      </c>
      <c r="E700" s="28" t="s">
        <v>456</v>
      </c>
      <c r="F700" s="29" t="s">
        <v>970</v>
      </c>
      <c r="G700" s="30">
        <v>53.6</v>
      </c>
      <c r="H700" s="30">
        <v>27.5</v>
      </c>
      <c r="I700" s="30">
        <f t="shared" si="25"/>
        <v>51.30597014925373</v>
      </c>
    </row>
    <row r="701" spans="1:9" ht="42.75">
      <c r="A701" s="26" t="s">
        <v>457</v>
      </c>
      <c r="B701" s="27"/>
      <c r="C701" s="28" t="s">
        <v>963</v>
      </c>
      <c r="D701" s="28" t="s">
        <v>942</v>
      </c>
      <c r="E701" s="28" t="s">
        <v>458</v>
      </c>
      <c r="F701" s="34"/>
      <c r="G701" s="30">
        <f>SUM(G702)</f>
        <v>45371.7</v>
      </c>
      <c r="H701" s="30">
        <f>SUM(H702)</f>
        <v>25635</v>
      </c>
      <c r="I701" s="30">
        <f t="shared" si="25"/>
        <v>56.49997685782107</v>
      </c>
    </row>
    <row r="702" spans="1:9" ht="15">
      <c r="A702" s="31" t="s">
        <v>969</v>
      </c>
      <c r="B702" s="27"/>
      <c r="C702" s="28" t="s">
        <v>963</v>
      </c>
      <c r="D702" s="28" t="s">
        <v>942</v>
      </c>
      <c r="E702" s="28" t="s">
        <v>458</v>
      </c>
      <c r="F702" s="34" t="s">
        <v>970</v>
      </c>
      <c r="G702" s="30">
        <v>45371.7</v>
      </c>
      <c r="H702" s="30">
        <v>25635</v>
      </c>
      <c r="I702" s="30">
        <f t="shared" si="25"/>
        <v>56.49997685782107</v>
      </c>
    </row>
    <row r="703" spans="1:9" ht="15" hidden="1">
      <c r="A703" s="26" t="s">
        <v>964</v>
      </c>
      <c r="B703" s="32"/>
      <c r="C703" s="28" t="s">
        <v>963</v>
      </c>
      <c r="D703" s="28" t="s">
        <v>963</v>
      </c>
      <c r="E703" s="28"/>
      <c r="F703" s="34"/>
      <c r="G703" s="30">
        <f>SUM(G707+G704)</f>
        <v>0</v>
      </c>
      <c r="H703" s="30">
        <f>SUM(H707+H704)</f>
        <v>0</v>
      </c>
      <c r="I703" s="30" t="e">
        <f t="shared" si="25"/>
        <v>#DIV/0!</v>
      </c>
    </row>
    <row r="704" spans="1:9" ht="28.5" hidden="1">
      <c r="A704" s="26" t="s">
        <v>365</v>
      </c>
      <c r="B704" s="27"/>
      <c r="C704" s="28" t="s">
        <v>963</v>
      </c>
      <c r="D704" s="28" t="s">
        <v>963</v>
      </c>
      <c r="E704" s="28" t="s">
        <v>366</v>
      </c>
      <c r="F704" s="29"/>
      <c r="G704" s="30">
        <f>SUM(G705)</f>
        <v>0</v>
      </c>
      <c r="H704" s="30">
        <f>SUM(H705)</f>
        <v>0</v>
      </c>
      <c r="I704" s="30" t="e">
        <f t="shared" si="25"/>
        <v>#DIV/0!</v>
      </c>
    </row>
    <row r="705" spans="1:9" ht="15" hidden="1">
      <c r="A705" s="26" t="s">
        <v>367</v>
      </c>
      <c r="B705" s="28"/>
      <c r="C705" s="28" t="s">
        <v>963</v>
      </c>
      <c r="D705" s="28" t="s">
        <v>963</v>
      </c>
      <c r="E705" s="28" t="s">
        <v>368</v>
      </c>
      <c r="F705" s="29"/>
      <c r="G705" s="30">
        <f>SUM(G706)</f>
        <v>0</v>
      </c>
      <c r="H705" s="30">
        <f>SUM(H706)</f>
        <v>0</v>
      </c>
      <c r="I705" s="30" t="e">
        <f t="shared" si="25"/>
        <v>#DIV/0!</v>
      </c>
    </row>
    <row r="706" spans="1:9" ht="15" hidden="1">
      <c r="A706" s="26" t="s">
        <v>969</v>
      </c>
      <c r="B706" s="27"/>
      <c r="C706" s="28" t="s">
        <v>963</v>
      </c>
      <c r="D706" s="28" t="s">
        <v>963</v>
      </c>
      <c r="E706" s="28" t="s">
        <v>368</v>
      </c>
      <c r="F706" s="29" t="s">
        <v>970</v>
      </c>
      <c r="G706" s="30"/>
      <c r="H706" s="30"/>
      <c r="I706" s="30" t="e">
        <f t="shared" si="25"/>
        <v>#DIV/0!</v>
      </c>
    </row>
    <row r="707" spans="1:9" ht="28.5" hidden="1">
      <c r="A707" s="31" t="s">
        <v>965</v>
      </c>
      <c r="B707" s="32"/>
      <c r="C707" s="28" t="s">
        <v>963</v>
      </c>
      <c r="D707" s="28" t="s">
        <v>963</v>
      </c>
      <c r="E707" s="28" t="s">
        <v>966</v>
      </c>
      <c r="F707" s="34"/>
      <c r="G707" s="30">
        <f>SUM(G708)</f>
        <v>0</v>
      </c>
      <c r="H707" s="30">
        <f>SUM(H708)</f>
        <v>0</v>
      </c>
      <c r="I707" s="30" t="e">
        <f t="shared" si="25"/>
        <v>#DIV/0!</v>
      </c>
    </row>
    <row r="708" spans="1:9" ht="15" customHeight="1" hidden="1">
      <c r="A708" s="31" t="s">
        <v>967</v>
      </c>
      <c r="B708" s="32"/>
      <c r="C708" s="28" t="s">
        <v>963</v>
      </c>
      <c r="D708" s="28" t="s">
        <v>963</v>
      </c>
      <c r="E708" s="28" t="s">
        <v>968</v>
      </c>
      <c r="F708" s="34"/>
      <c r="G708" s="30">
        <f>SUM(G709)</f>
        <v>0</v>
      </c>
      <c r="H708" s="30">
        <f>SUM(H709)</f>
        <v>0</v>
      </c>
      <c r="I708" s="30" t="e">
        <f t="shared" si="25"/>
        <v>#DIV/0!</v>
      </c>
    </row>
    <row r="709" spans="1:9" s="59" customFormat="1" ht="15" customHeight="1" hidden="1">
      <c r="A709" s="26" t="s">
        <v>969</v>
      </c>
      <c r="B709" s="32"/>
      <c r="C709" s="28" t="s">
        <v>963</v>
      </c>
      <c r="D709" s="28" t="s">
        <v>963</v>
      </c>
      <c r="E709" s="28" t="s">
        <v>968</v>
      </c>
      <c r="F709" s="29" t="s">
        <v>970</v>
      </c>
      <c r="G709" s="30"/>
      <c r="H709" s="30"/>
      <c r="I709" s="30" t="e">
        <f t="shared" si="25"/>
        <v>#DIV/0!</v>
      </c>
    </row>
    <row r="710" spans="1:9" s="59" customFormat="1" ht="15" customHeight="1" hidden="1">
      <c r="A710" s="26" t="s">
        <v>964</v>
      </c>
      <c r="B710" s="32"/>
      <c r="C710" s="28" t="s">
        <v>963</v>
      </c>
      <c r="D710" s="28" t="s">
        <v>963</v>
      </c>
      <c r="E710" s="28"/>
      <c r="F710" s="29"/>
      <c r="G710" s="30">
        <f>SUM(G711)</f>
        <v>0</v>
      </c>
      <c r="H710" s="30">
        <f>SUM(H711)</f>
        <v>119.8</v>
      </c>
      <c r="I710" s="30" t="e">
        <f t="shared" si="25"/>
        <v>#DIV/0!</v>
      </c>
    </row>
    <row r="711" spans="1:9" s="59" customFormat="1" ht="15" customHeight="1" hidden="1">
      <c r="A711" s="26" t="s">
        <v>96</v>
      </c>
      <c r="B711" s="32"/>
      <c r="C711" s="28" t="s">
        <v>963</v>
      </c>
      <c r="D711" s="28" t="s">
        <v>963</v>
      </c>
      <c r="E711" s="28" t="s">
        <v>97</v>
      </c>
      <c r="F711" s="29"/>
      <c r="G711" s="30">
        <f>SUM(G712)</f>
        <v>0</v>
      </c>
      <c r="H711" s="30">
        <f>SUM(H712)</f>
        <v>119.8</v>
      </c>
      <c r="I711" s="30" t="e">
        <f t="shared" si="25"/>
        <v>#DIV/0!</v>
      </c>
    </row>
    <row r="712" spans="1:9" s="59" customFormat="1" ht="15" customHeight="1" hidden="1">
      <c r="A712" s="26" t="s">
        <v>459</v>
      </c>
      <c r="B712" s="32"/>
      <c r="C712" s="28" t="s">
        <v>963</v>
      </c>
      <c r="D712" s="28" t="s">
        <v>963</v>
      </c>
      <c r="E712" s="28" t="s">
        <v>97</v>
      </c>
      <c r="F712" s="29" t="s">
        <v>460</v>
      </c>
      <c r="G712" s="30"/>
      <c r="H712" s="30">
        <v>119.8</v>
      </c>
      <c r="I712" s="30" t="e">
        <f t="shared" si="25"/>
        <v>#DIV/0!</v>
      </c>
    </row>
    <row r="713" spans="1:9" s="59" customFormat="1" ht="15">
      <c r="A713" s="44" t="s">
        <v>971</v>
      </c>
      <c r="B713" s="27"/>
      <c r="C713" s="67" t="s">
        <v>972</v>
      </c>
      <c r="D713" s="67" t="s">
        <v>445</v>
      </c>
      <c r="E713" s="67"/>
      <c r="F713" s="34"/>
      <c r="G713" s="50">
        <f>SUM(G714+G718+G727+G809+G825)</f>
        <v>680801.4000000001</v>
      </c>
      <c r="H713" s="50">
        <f>SUM(H714+H718+H727+H809+H825)</f>
        <v>493432.69999999995</v>
      </c>
      <c r="I713" s="30">
        <f t="shared" si="25"/>
        <v>72.47821464526952</v>
      </c>
    </row>
    <row r="714" spans="1:9" ht="15">
      <c r="A714" s="44" t="s">
        <v>461</v>
      </c>
      <c r="B714" s="27"/>
      <c r="C714" s="67" t="s">
        <v>972</v>
      </c>
      <c r="D714" s="67" t="s">
        <v>940</v>
      </c>
      <c r="E714" s="67"/>
      <c r="F714" s="34"/>
      <c r="G714" s="50">
        <f aca="true" t="shared" si="26" ref="G714:H716">SUM(G715)</f>
        <v>2022.7</v>
      </c>
      <c r="H714" s="50">
        <f t="shared" si="26"/>
        <v>1203.5</v>
      </c>
      <c r="I714" s="30">
        <f t="shared" si="25"/>
        <v>59.49967864735255</v>
      </c>
    </row>
    <row r="715" spans="1:9" ht="28.5">
      <c r="A715" s="47" t="s">
        <v>462</v>
      </c>
      <c r="B715" s="27"/>
      <c r="C715" s="28" t="s">
        <v>972</v>
      </c>
      <c r="D715" s="28" t="s">
        <v>940</v>
      </c>
      <c r="E715" s="28" t="s">
        <v>463</v>
      </c>
      <c r="F715" s="34"/>
      <c r="G715" s="30">
        <f t="shared" si="26"/>
        <v>2022.7</v>
      </c>
      <c r="H715" s="30">
        <f t="shared" si="26"/>
        <v>1203.5</v>
      </c>
      <c r="I715" s="30">
        <f t="shared" si="25"/>
        <v>59.49967864735255</v>
      </c>
    </row>
    <row r="716" spans="1:9" s="61" customFormat="1" ht="42.75">
      <c r="A716" s="47" t="s">
        <v>464</v>
      </c>
      <c r="B716" s="45"/>
      <c r="C716" s="28" t="s">
        <v>972</v>
      </c>
      <c r="D716" s="28" t="s">
        <v>940</v>
      </c>
      <c r="E716" s="28" t="s">
        <v>465</v>
      </c>
      <c r="F716" s="34"/>
      <c r="G716" s="30">
        <f t="shared" si="26"/>
        <v>2022.7</v>
      </c>
      <c r="H716" s="30">
        <f t="shared" si="26"/>
        <v>1203.5</v>
      </c>
      <c r="I716" s="30">
        <f t="shared" si="25"/>
        <v>59.49967864735255</v>
      </c>
    </row>
    <row r="717" spans="1:9" s="59" customFormat="1" ht="18" customHeight="1">
      <c r="A717" s="26" t="s">
        <v>978</v>
      </c>
      <c r="B717" s="27"/>
      <c r="C717" s="28" t="s">
        <v>972</v>
      </c>
      <c r="D717" s="28" t="s">
        <v>940</v>
      </c>
      <c r="E717" s="28" t="s">
        <v>465</v>
      </c>
      <c r="F717" s="34" t="s">
        <v>979</v>
      </c>
      <c r="G717" s="30">
        <f>1984.2+38.5</f>
        <v>2022.7</v>
      </c>
      <c r="H717" s="30">
        <v>1203.5</v>
      </c>
      <c r="I717" s="30">
        <f t="shared" si="25"/>
        <v>59.49967864735255</v>
      </c>
    </row>
    <row r="718" spans="1:9" s="59" customFormat="1" ht="15">
      <c r="A718" s="26" t="s">
        <v>404</v>
      </c>
      <c r="B718" s="27"/>
      <c r="C718" s="67" t="s">
        <v>972</v>
      </c>
      <c r="D718" s="67" t="s">
        <v>942</v>
      </c>
      <c r="E718" s="28"/>
      <c r="F718" s="34"/>
      <c r="G718" s="50">
        <f>SUM(G719+G722)</f>
        <v>31091.600000000002</v>
      </c>
      <c r="H718" s="50">
        <f>SUM(H719+H722)</f>
        <v>16818.3</v>
      </c>
      <c r="I718" s="30">
        <f t="shared" si="25"/>
        <v>54.09274530741421</v>
      </c>
    </row>
    <row r="719" spans="1:9" ht="15">
      <c r="A719" s="26" t="s">
        <v>94</v>
      </c>
      <c r="B719" s="27"/>
      <c r="C719" s="67" t="s">
        <v>972</v>
      </c>
      <c r="D719" s="67" t="s">
        <v>942</v>
      </c>
      <c r="E719" s="28" t="s">
        <v>95</v>
      </c>
      <c r="F719" s="29"/>
      <c r="G719" s="30">
        <f>SUM(G721)</f>
        <v>80</v>
      </c>
      <c r="H719" s="30">
        <f>SUM(H721)</f>
        <v>200</v>
      </c>
      <c r="I719" s="30">
        <f>SUM(H719/G719*100)</f>
        <v>250</v>
      </c>
    </row>
    <row r="720" spans="1:9" ht="15">
      <c r="A720" s="26" t="s">
        <v>96</v>
      </c>
      <c r="B720" s="27"/>
      <c r="C720" s="67" t="s">
        <v>972</v>
      </c>
      <c r="D720" s="67" t="s">
        <v>942</v>
      </c>
      <c r="E720" s="28" t="s">
        <v>97</v>
      </c>
      <c r="F720" s="29"/>
      <c r="G720" s="30">
        <f>SUM(G721)</f>
        <v>80</v>
      </c>
      <c r="H720" s="30">
        <f>SUM(H721)</f>
        <v>200</v>
      </c>
      <c r="I720" s="30">
        <f>SUM(H720/G720*100)</f>
        <v>250</v>
      </c>
    </row>
    <row r="721" spans="1:9" ht="15">
      <c r="A721" s="26" t="s">
        <v>969</v>
      </c>
      <c r="B721" s="27"/>
      <c r="C721" s="67" t="s">
        <v>972</v>
      </c>
      <c r="D721" s="67" t="s">
        <v>942</v>
      </c>
      <c r="E721" s="28" t="s">
        <v>97</v>
      </c>
      <c r="F721" s="29" t="s">
        <v>970</v>
      </c>
      <c r="G721" s="30">
        <v>80</v>
      </c>
      <c r="H721" s="30">
        <v>200</v>
      </c>
      <c r="I721" s="30">
        <f>SUM(H721/G721*100)</f>
        <v>250</v>
      </c>
    </row>
    <row r="722" spans="1:9" ht="15">
      <c r="A722" s="31" t="s">
        <v>405</v>
      </c>
      <c r="B722" s="27"/>
      <c r="C722" s="67" t="s">
        <v>972</v>
      </c>
      <c r="D722" s="67" t="s">
        <v>942</v>
      </c>
      <c r="E722" s="67" t="s">
        <v>466</v>
      </c>
      <c r="F722" s="34"/>
      <c r="G722" s="30">
        <f>SUM(G723+G725)</f>
        <v>31011.600000000002</v>
      </c>
      <c r="H722" s="30">
        <f>SUM(H723+H725)</f>
        <v>16618.3</v>
      </c>
      <c r="I722" s="30">
        <f t="shared" si="25"/>
        <v>53.5873673077171</v>
      </c>
    </row>
    <row r="723" spans="1:9" ht="28.5" hidden="1">
      <c r="A723" s="26" t="s">
        <v>467</v>
      </c>
      <c r="B723" s="27"/>
      <c r="C723" s="28" t="s">
        <v>972</v>
      </c>
      <c r="D723" s="28" t="s">
        <v>942</v>
      </c>
      <c r="E723" s="28" t="s">
        <v>468</v>
      </c>
      <c r="F723" s="34"/>
      <c r="G723" s="30">
        <f>SUM(G724)</f>
        <v>0</v>
      </c>
      <c r="H723" s="30">
        <f>SUM(H724)</f>
        <v>0</v>
      </c>
      <c r="I723" s="30" t="e">
        <f t="shared" si="25"/>
        <v>#DIV/0!</v>
      </c>
    </row>
    <row r="724" spans="1:9" ht="15" hidden="1">
      <c r="A724" s="26" t="s">
        <v>969</v>
      </c>
      <c r="B724" s="27"/>
      <c r="C724" s="28" t="s">
        <v>972</v>
      </c>
      <c r="D724" s="28" t="s">
        <v>942</v>
      </c>
      <c r="E724" s="28" t="s">
        <v>468</v>
      </c>
      <c r="F724" s="34" t="s">
        <v>970</v>
      </c>
      <c r="G724" s="30"/>
      <c r="H724" s="30"/>
      <c r="I724" s="30" t="e">
        <f t="shared" si="25"/>
        <v>#DIV/0!</v>
      </c>
    </row>
    <row r="725" spans="1:9" ht="42.75">
      <c r="A725" s="26" t="s">
        <v>469</v>
      </c>
      <c r="B725" s="27"/>
      <c r="C725" s="28" t="s">
        <v>972</v>
      </c>
      <c r="D725" s="28" t="s">
        <v>942</v>
      </c>
      <c r="E725" s="28" t="s">
        <v>470</v>
      </c>
      <c r="F725" s="34"/>
      <c r="G725" s="30">
        <f>SUM(G726)</f>
        <v>31011.600000000002</v>
      </c>
      <c r="H725" s="30">
        <f>SUM(H726)</f>
        <v>16618.3</v>
      </c>
      <c r="I725" s="30">
        <f t="shared" si="25"/>
        <v>53.5873673077171</v>
      </c>
    </row>
    <row r="726" spans="1:9" ht="15">
      <c r="A726" s="26" t="s">
        <v>969</v>
      </c>
      <c r="B726" s="27"/>
      <c r="C726" s="28" t="s">
        <v>972</v>
      </c>
      <c r="D726" s="28" t="s">
        <v>942</v>
      </c>
      <c r="E726" s="28" t="s">
        <v>470</v>
      </c>
      <c r="F726" s="34" t="s">
        <v>970</v>
      </c>
      <c r="G726" s="30">
        <f>30882.9+128.7</f>
        <v>31011.600000000002</v>
      </c>
      <c r="H726" s="30">
        <v>16618.3</v>
      </c>
      <c r="I726" s="30">
        <f t="shared" si="25"/>
        <v>53.5873673077171</v>
      </c>
    </row>
    <row r="727" spans="1:9" ht="15">
      <c r="A727" s="44" t="s">
        <v>973</v>
      </c>
      <c r="B727" s="27"/>
      <c r="C727" s="67" t="s">
        <v>972</v>
      </c>
      <c r="D727" s="67" t="s">
        <v>950</v>
      </c>
      <c r="E727" s="67"/>
      <c r="F727" s="34"/>
      <c r="G727" s="50">
        <f>SUM(G731+G799+G806+G728)+G803</f>
        <v>590533.6000000001</v>
      </c>
      <c r="H727" s="50">
        <f>SUM(H731+H799+H806+H728)</f>
        <v>443096.29999999993</v>
      </c>
      <c r="I727" s="30">
        <f t="shared" si="25"/>
        <v>75.03320725526878</v>
      </c>
    </row>
    <row r="728" spans="1:9" ht="15">
      <c r="A728" s="26" t="s">
        <v>94</v>
      </c>
      <c r="B728" s="27"/>
      <c r="C728" s="67" t="s">
        <v>972</v>
      </c>
      <c r="D728" s="67" t="s">
        <v>950</v>
      </c>
      <c r="E728" s="28" t="s">
        <v>95</v>
      </c>
      <c r="F728" s="29"/>
      <c r="G728" s="30">
        <f>SUM(G730)</f>
        <v>380</v>
      </c>
      <c r="H728" s="30">
        <f>SUM(H730)</f>
        <v>200</v>
      </c>
      <c r="I728" s="30">
        <f t="shared" si="25"/>
        <v>52.63157894736842</v>
      </c>
    </row>
    <row r="729" spans="1:9" ht="15">
      <c r="A729" s="26" t="s">
        <v>96</v>
      </c>
      <c r="B729" s="27"/>
      <c r="C729" s="67" t="s">
        <v>972</v>
      </c>
      <c r="D729" s="67" t="s">
        <v>950</v>
      </c>
      <c r="E729" s="28" t="s">
        <v>97</v>
      </c>
      <c r="F729" s="29"/>
      <c r="G729" s="30">
        <f>SUM(G730)</f>
        <v>380</v>
      </c>
      <c r="H729" s="30">
        <f>SUM(H730)</f>
        <v>200</v>
      </c>
      <c r="I729" s="30">
        <f t="shared" si="25"/>
        <v>52.63157894736842</v>
      </c>
    </row>
    <row r="730" spans="1:9" ht="15">
      <c r="A730" s="26" t="s">
        <v>978</v>
      </c>
      <c r="B730" s="27"/>
      <c r="C730" s="67" t="s">
        <v>972</v>
      </c>
      <c r="D730" s="67" t="s">
        <v>950</v>
      </c>
      <c r="E730" s="28" t="s">
        <v>97</v>
      </c>
      <c r="F730" s="29" t="s">
        <v>979</v>
      </c>
      <c r="G730" s="30">
        <v>380</v>
      </c>
      <c r="H730" s="30">
        <v>200</v>
      </c>
      <c r="I730" s="30">
        <f t="shared" si="25"/>
        <v>52.63157894736842</v>
      </c>
    </row>
    <row r="731" spans="1:9" ht="15">
      <c r="A731" s="26" t="s">
        <v>974</v>
      </c>
      <c r="B731" s="27"/>
      <c r="C731" s="28" t="s">
        <v>972</v>
      </c>
      <c r="D731" s="28" t="s">
        <v>950</v>
      </c>
      <c r="E731" s="28" t="s">
        <v>975</v>
      </c>
      <c r="F731" s="29"/>
      <c r="G731" s="30">
        <f>SUM(G732+G734+G736+G742+G744+G761+G767+G770+G772+G793+G747+G749+G755+G757+G763+G765+G753+G751+G759+G738+G740+G797)</f>
        <v>584339.5000000001</v>
      </c>
      <c r="H731" s="30">
        <f>SUM(H732+H734+H736+H742+H744+H761+H767+H770+H772+H793+H747+H749+H755+H757+H763+H765+H753+H751+H759+H738+H740)</f>
        <v>438649.6</v>
      </c>
      <c r="I731" s="30">
        <f t="shared" si="25"/>
        <v>75.06759341102217</v>
      </c>
    </row>
    <row r="732" spans="1:9" ht="63.75" customHeight="1" hidden="1">
      <c r="A732" s="47" t="s">
        <v>471</v>
      </c>
      <c r="B732" s="27"/>
      <c r="C732" s="28" t="s">
        <v>972</v>
      </c>
      <c r="D732" s="28" t="s">
        <v>950</v>
      </c>
      <c r="E732" s="28" t="s">
        <v>472</v>
      </c>
      <c r="F732" s="29"/>
      <c r="G732" s="30">
        <f>SUM(G733:G733)</f>
        <v>0</v>
      </c>
      <c r="H732" s="30">
        <f>SUM(H733:H733)</f>
        <v>0</v>
      </c>
      <c r="I732" s="30" t="e">
        <f t="shared" si="25"/>
        <v>#DIV/0!</v>
      </c>
    </row>
    <row r="733" spans="1:9" ht="15" hidden="1">
      <c r="A733" s="26" t="s">
        <v>978</v>
      </c>
      <c r="B733" s="27"/>
      <c r="C733" s="28" t="s">
        <v>972</v>
      </c>
      <c r="D733" s="28" t="s">
        <v>950</v>
      </c>
      <c r="E733" s="28" t="s">
        <v>472</v>
      </c>
      <c r="F733" s="29" t="s">
        <v>979</v>
      </c>
      <c r="G733" s="30"/>
      <c r="H733" s="30"/>
      <c r="I733" s="30" t="e">
        <f t="shared" si="25"/>
        <v>#DIV/0!</v>
      </c>
    </row>
    <row r="734" spans="1:9" ht="57" hidden="1">
      <c r="A734" s="26" t="s">
        <v>473</v>
      </c>
      <c r="B734" s="27"/>
      <c r="C734" s="28" t="s">
        <v>972</v>
      </c>
      <c r="D734" s="28" t="s">
        <v>950</v>
      </c>
      <c r="E734" s="28" t="s">
        <v>474</v>
      </c>
      <c r="F734" s="29"/>
      <c r="G734" s="30">
        <f>SUM(G735:G735)</f>
        <v>0</v>
      </c>
      <c r="H734" s="30">
        <f>SUM(H735:H735)</f>
        <v>0</v>
      </c>
      <c r="I734" s="30" t="e">
        <f t="shared" si="25"/>
        <v>#DIV/0!</v>
      </c>
    </row>
    <row r="735" spans="1:9" ht="15" hidden="1">
      <c r="A735" s="26" t="s">
        <v>978</v>
      </c>
      <c r="B735" s="27"/>
      <c r="C735" s="28" t="s">
        <v>972</v>
      </c>
      <c r="D735" s="28" t="s">
        <v>950</v>
      </c>
      <c r="E735" s="28" t="s">
        <v>474</v>
      </c>
      <c r="F735" s="29" t="s">
        <v>979</v>
      </c>
      <c r="G735" s="30"/>
      <c r="H735" s="30"/>
      <c r="I735" s="30" t="e">
        <f t="shared" si="25"/>
        <v>#DIV/0!</v>
      </c>
    </row>
    <row r="736" spans="1:9" ht="57" hidden="1">
      <c r="A736" s="26" t="s">
        <v>483</v>
      </c>
      <c r="B736" s="32"/>
      <c r="C736" s="28" t="s">
        <v>972</v>
      </c>
      <c r="D736" s="28" t="s">
        <v>950</v>
      </c>
      <c r="E736" s="28" t="s">
        <v>484</v>
      </c>
      <c r="F736" s="29"/>
      <c r="G736" s="30">
        <f>SUM(G737)</f>
        <v>0</v>
      </c>
      <c r="H736" s="30">
        <f>SUM(H737)</f>
        <v>0</v>
      </c>
      <c r="I736" s="30" t="e">
        <f t="shared" si="25"/>
        <v>#DIV/0!</v>
      </c>
    </row>
    <row r="737" spans="1:9" ht="15" hidden="1">
      <c r="A737" s="26" t="s">
        <v>978</v>
      </c>
      <c r="B737" s="32"/>
      <c r="C737" s="28" t="s">
        <v>972</v>
      </c>
      <c r="D737" s="28" t="s">
        <v>950</v>
      </c>
      <c r="E737" s="28" t="s">
        <v>484</v>
      </c>
      <c r="F737" s="29" t="s">
        <v>979</v>
      </c>
      <c r="G737" s="30"/>
      <c r="H737" s="30"/>
      <c r="I737" s="30" t="e">
        <f t="shared" si="25"/>
        <v>#DIV/0!</v>
      </c>
    </row>
    <row r="738" spans="1:9" ht="118.5" customHeight="1">
      <c r="A738" s="26" t="s">
        <v>840</v>
      </c>
      <c r="B738" s="32"/>
      <c r="C738" s="28" t="s">
        <v>972</v>
      </c>
      <c r="D738" s="28" t="s">
        <v>950</v>
      </c>
      <c r="E738" s="28" t="s">
        <v>485</v>
      </c>
      <c r="F738" s="29"/>
      <c r="G738" s="30">
        <f>SUM(G739)</f>
        <v>856.3000000000001</v>
      </c>
      <c r="H738" s="30">
        <f>SUM(H739)</f>
        <v>634.3</v>
      </c>
      <c r="I738" s="30">
        <f t="shared" si="25"/>
        <v>74.07450659815484</v>
      </c>
    </row>
    <row r="739" spans="1:9" ht="15">
      <c r="A739" s="26" t="s">
        <v>978</v>
      </c>
      <c r="B739" s="32"/>
      <c r="C739" s="28" t="s">
        <v>972</v>
      </c>
      <c r="D739" s="28" t="s">
        <v>950</v>
      </c>
      <c r="E739" s="28" t="s">
        <v>485</v>
      </c>
      <c r="F739" s="29" t="s">
        <v>979</v>
      </c>
      <c r="G739" s="30">
        <f>1320.2-463.9</f>
        <v>856.3000000000001</v>
      </c>
      <c r="H739" s="30">
        <v>634.3</v>
      </c>
      <c r="I739" s="30">
        <f t="shared" si="25"/>
        <v>74.07450659815484</v>
      </c>
    </row>
    <row r="740" spans="1:9" ht="74.25" customHeight="1">
      <c r="A740" s="26" t="s">
        <v>486</v>
      </c>
      <c r="B740" s="32"/>
      <c r="C740" s="28" t="s">
        <v>972</v>
      </c>
      <c r="D740" s="28" t="s">
        <v>950</v>
      </c>
      <c r="E740" s="28" t="s">
        <v>487</v>
      </c>
      <c r="F740" s="29"/>
      <c r="G740" s="30">
        <f>SUM(G741)</f>
        <v>420.4</v>
      </c>
      <c r="H740" s="30">
        <f>SUM(H741)</f>
        <v>542.8</v>
      </c>
      <c r="I740" s="30">
        <f t="shared" si="25"/>
        <v>129.1151284490961</v>
      </c>
    </row>
    <row r="741" spans="1:9" ht="15">
      <c r="A741" s="26" t="s">
        <v>978</v>
      </c>
      <c r="B741" s="32"/>
      <c r="C741" s="28" t="s">
        <v>972</v>
      </c>
      <c r="D741" s="28" t="s">
        <v>950</v>
      </c>
      <c r="E741" s="28" t="s">
        <v>487</v>
      </c>
      <c r="F741" s="29" t="s">
        <v>979</v>
      </c>
      <c r="G741" s="30">
        <v>420.4</v>
      </c>
      <c r="H741" s="30">
        <v>542.8</v>
      </c>
      <c r="I741" s="30">
        <f t="shared" si="25"/>
        <v>129.1151284490961</v>
      </c>
    </row>
    <row r="742" spans="1:9" s="64" customFormat="1" ht="85.5">
      <c r="A742" s="31" t="s">
        <v>488</v>
      </c>
      <c r="B742" s="27"/>
      <c r="C742" s="28" t="s">
        <v>972</v>
      </c>
      <c r="D742" s="28" t="s">
        <v>950</v>
      </c>
      <c r="E742" s="28" t="s">
        <v>489</v>
      </c>
      <c r="F742" s="29"/>
      <c r="G742" s="30">
        <f>SUM(G743)</f>
        <v>1807</v>
      </c>
      <c r="H742" s="30">
        <f>SUM(H743)</f>
        <v>1313.1</v>
      </c>
      <c r="I742" s="30">
        <f t="shared" si="25"/>
        <v>72.66740453790813</v>
      </c>
    </row>
    <row r="743" spans="1:9" s="64" customFormat="1" ht="15">
      <c r="A743" s="26" t="s">
        <v>978</v>
      </c>
      <c r="B743" s="27"/>
      <c r="C743" s="28" t="s">
        <v>972</v>
      </c>
      <c r="D743" s="28" t="s">
        <v>950</v>
      </c>
      <c r="E743" s="28" t="s">
        <v>489</v>
      </c>
      <c r="F743" s="29" t="s">
        <v>979</v>
      </c>
      <c r="G743" s="30">
        <v>1807</v>
      </c>
      <c r="H743" s="30">
        <v>1313.1</v>
      </c>
      <c r="I743" s="30">
        <f t="shared" si="25"/>
        <v>72.66740453790813</v>
      </c>
    </row>
    <row r="744" spans="1:9" s="64" customFormat="1" ht="42.75">
      <c r="A744" s="47" t="s">
        <v>490</v>
      </c>
      <c r="B744" s="27"/>
      <c r="C744" s="28" t="s">
        <v>972</v>
      </c>
      <c r="D744" s="28" t="s">
        <v>950</v>
      </c>
      <c r="E744" s="28" t="s">
        <v>491</v>
      </c>
      <c r="F744" s="29"/>
      <c r="G744" s="30">
        <f>SUM(G745)</f>
        <v>9165.8</v>
      </c>
      <c r="H744" s="30">
        <f>SUM(H745)</f>
        <v>6301</v>
      </c>
      <c r="I744" s="30">
        <f t="shared" si="25"/>
        <v>68.74468131532436</v>
      </c>
    </row>
    <row r="745" spans="1:9" s="64" customFormat="1" ht="18" customHeight="1">
      <c r="A745" s="26" t="s">
        <v>978</v>
      </c>
      <c r="B745" s="27"/>
      <c r="C745" s="28" t="s">
        <v>972</v>
      </c>
      <c r="D745" s="28" t="s">
        <v>950</v>
      </c>
      <c r="E745" s="28" t="s">
        <v>491</v>
      </c>
      <c r="F745" s="29" t="s">
        <v>979</v>
      </c>
      <c r="G745" s="30">
        <v>9165.8</v>
      </c>
      <c r="H745" s="30">
        <v>6301</v>
      </c>
      <c r="I745" s="30">
        <f t="shared" si="25"/>
        <v>68.74468131532436</v>
      </c>
    </row>
    <row r="746" spans="1:9" s="64" customFormat="1" ht="37.5" customHeight="1" hidden="1">
      <c r="A746" s="26"/>
      <c r="B746" s="27"/>
      <c r="C746" s="28"/>
      <c r="D746" s="28"/>
      <c r="E746" s="28"/>
      <c r="F746" s="29"/>
      <c r="G746" s="30"/>
      <c r="H746" s="30"/>
      <c r="I746" s="30" t="e">
        <f t="shared" si="25"/>
        <v>#DIV/0!</v>
      </c>
    </row>
    <row r="747" spans="1:9" s="64" customFormat="1" ht="75.75" customHeight="1">
      <c r="A747" s="26" t="s">
        <v>492</v>
      </c>
      <c r="B747" s="27"/>
      <c r="C747" s="28" t="s">
        <v>972</v>
      </c>
      <c r="D747" s="28" t="s">
        <v>950</v>
      </c>
      <c r="E747" s="28" t="s">
        <v>493</v>
      </c>
      <c r="F747" s="29"/>
      <c r="G747" s="30">
        <f>SUM(G748)</f>
        <v>27124.6</v>
      </c>
      <c r="H747" s="30">
        <f>SUM(H748)</f>
        <v>18786.9</v>
      </c>
      <c r="I747" s="30">
        <f t="shared" si="25"/>
        <v>69.26148219697251</v>
      </c>
    </row>
    <row r="748" spans="1:9" s="64" customFormat="1" ht="19.5" customHeight="1">
      <c r="A748" s="26" t="s">
        <v>978</v>
      </c>
      <c r="B748" s="27"/>
      <c r="C748" s="28" t="s">
        <v>972</v>
      </c>
      <c r="D748" s="28" t="s">
        <v>950</v>
      </c>
      <c r="E748" s="28" t="s">
        <v>493</v>
      </c>
      <c r="F748" s="29" t="s">
        <v>979</v>
      </c>
      <c r="G748" s="30">
        <f>27724.6-600</f>
        <v>27124.6</v>
      </c>
      <c r="H748" s="30">
        <v>18786.9</v>
      </c>
      <c r="I748" s="30">
        <f t="shared" si="25"/>
        <v>69.26148219697251</v>
      </c>
    </row>
    <row r="749" spans="1:9" s="64" customFormat="1" ht="88.5" customHeight="1">
      <c r="A749" s="26" t="s">
        <v>494</v>
      </c>
      <c r="B749" s="27"/>
      <c r="C749" s="28" t="s">
        <v>972</v>
      </c>
      <c r="D749" s="28" t="s">
        <v>950</v>
      </c>
      <c r="E749" s="28" t="s">
        <v>495</v>
      </c>
      <c r="F749" s="29"/>
      <c r="G749" s="30">
        <f>SUM(G750)</f>
        <v>8325.5</v>
      </c>
      <c r="H749" s="30">
        <f>SUM(H750)</f>
        <v>15760.4</v>
      </c>
      <c r="I749" s="30">
        <f aca="true" t="shared" si="27" ref="I749:I812">SUM(H749/G749*100)</f>
        <v>189.3027445799051</v>
      </c>
    </row>
    <row r="750" spans="1:9" s="64" customFormat="1" ht="19.5" customHeight="1">
      <c r="A750" s="26" t="s">
        <v>978</v>
      </c>
      <c r="B750" s="27"/>
      <c r="C750" s="28" t="s">
        <v>972</v>
      </c>
      <c r="D750" s="28" t="s">
        <v>950</v>
      </c>
      <c r="E750" s="28" t="s">
        <v>495</v>
      </c>
      <c r="F750" s="29" t="s">
        <v>979</v>
      </c>
      <c r="G750" s="30">
        <f>7525.5+800</f>
        <v>8325.5</v>
      </c>
      <c r="H750" s="30">
        <v>15760.4</v>
      </c>
      <c r="I750" s="30">
        <f t="shared" si="27"/>
        <v>189.3027445799051</v>
      </c>
    </row>
    <row r="751" spans="1:9" s="64" customFormat="1" ht="89.25" customHeight="1">
      <c r="A751" s="26" t="s">
        <v>496</v>
      </c>
      <c r="B751" s="27"/>
      <c r="C751" s="28" t="s">
        <v>972</v>
      </c>
      <c r="D751" s="28" t="s">
        <v>950</v>
      </c>
      <c r="E751" s="28" t="s">
        <v>497</v>
      </c>
      <c r="F751" s="29"/>
      <c r="G751" s="30">
        <f>SUM(G752)</f>
        <v>73261.4</v>
      </c>
      <c r="H751" s="30">
        <f>SUM(H752)</f>
        <v>40636.1</v>
      </c>
      <c r="I751" s="30">
        <f t="shared" si="27"/>
        <v>55.4672719877043</v>
      </c>
    </row>
    <row r="752" spans="1:9" s="64" customFormat="1" ht="21.75" customHeight="1">
      <c r="A752" s="26" t="s">
        <v>978</v>
      </c>
      <c r="B752" s="27"/>
      <c r="C752" s="28" t="s">
        <v>972</v>
      </c>
      <c r="D752" s="28" t="s">
        <v>950</v>
      </c>
      <c r="E752" s="28" t="s">
        <v>497</v>
      </c>
      <c r="F752" s="29" t="s">
        <v>979</v>
      </c>
      <c r="G752" s="30">
        <f>90225.2-18802.7+1838.9</f>
        <v>73261.4</v>
      </c>
      <c r="H752" s="30">
        <v>40636.1</v>
      </c>
      <c r="I752" s="30">
        <f t="shared" si="27"/>
        <v>55.4672719877043</v>
      </c>
    </row>
    <row r="753" spans="1:9" s="64" customFormat="1" ht="48.75" customHeight="1">
      <c r="A753" s="26" t="s">
        <v>498</v>
      </c>
      <c r="B753" s="27"/>
      <c r="C753" s="28" t="s">
        <v>972</v>
      </c>
      <c r="D753" s="28" t="s">
        <v>950</v>
      </c>
      <c r="E753" s="28" t="s">
        <v>499</v>
      </c>
      <c r="F753" s="29"/>
      <c r="G753" s="30">
        <f>SUM(G754)</f>
        <v>3145.6</v>
      </c>
      <c r="H753" s="30">
        <f>SUM(H754)</f>
        <v>191.3</v>
      </c>
      <c r="I753" s="30">
        <f t="shared" si="27"/>
        <v>6.081510681586979</v>
      </c>
    </row>
    <row r="754" spans="1:9" s="64" customFormat="1" ht="19.5" customHeight="1">
      <c r="A754" s="26" t="s">
        <v>978</v>
      </c>
      <c r="B754" s="27"/>
      <c r="C754" s="28" t="s">
        <v>972</v>
      </c>
      <c r="D754" s="28" t="s">
        <v>950</v>
      </c>
      <c r="E754" s="28" t="s">
        <v>499</v>
      </c>
      <c r="F754" s="29" t="s">
        <v>979</v>
      </c>
      <c r="G754" s="30">
        <f>3883.1-737.5</f>
        <v>3145.6</v>
      </c>
      <c r="H754" s="30">
        <v>191.3</v>
      </c>
      <c r="I754" s="30">
        <f t="shared" si="27"/>
        <v>6.081510681586979</v>
      </c>
    </row>
    <row r="755" spans="1:9" s="64" customFormat="1" ht="60" customHeight="1">
      <c r="A755" s="26" t="s">
        <v>500</v>
      </c>
      <c r="B755" s="27"/>
      <c r="C755" s="28" t="s">
        <v>972</v>
      </c>
      <c r="D755" s="28" t="s">
        <v>950</v>
      </c>
      <c r="E755" s="28" t="s">
        <v>501</v>
      </c>
      <c r="F755" s="29"/>
      <c r="G755" s="30">
        <f>SUM(G756)</f>
        <v>5567.200000000001</v>
      </c>
      <c r="H755" s="30">
        <f>SUM(H756)</f>
        <v>4180.7</v>
      </c>
      <c r="I755" s="30">
        <f t="shared" si="27"/>
        <v>75.09520045983618</v>
      </c>
    </row>
    <row r="756" spans="1:9" s="64" customFormat="1" ht="19.5" customHeight="1">
      <c r="A756" s="26" t="s">
        <v>978</v>
      </c>
      <c r="B756" s="27"/>
      <c r="C756" s="28" t="s">
        <v>972</v>
      </c>
      <c r="D756" s="28" t="s">
        <v>950</v>
      </c>
      <c r="E756" s="28" t="s">
        <v>501</v>
      </c>
      <c r="F756" s="29" t="s">
        <v>979</v>
      </c>
      <c r="G756" s="30">
        <f>8567.2-3000</f>
        <v>5567.200000000001</v>
      </c>
      <c r="H756" s="30">
        <v>4180.7</v>
      </c>
      <c r="I756" s="30">
        <f t="shared" si="27"/>
        <v>75.09520045983618</v>
      </c>
    </row>
    <row r="757" spans="1:9" s="64" customFormat="1" ht="44.25" customHeight="1" hidden="1">
      <c r="A757" s="26" t="s">
        <v>473</v>
      </c>
      <c r="B757" s="27"/>
      <c r="C757" s="28" t="s">
        <v>972</v>
      </c>
      <c r="D757" s="28" t="s">
        <v>950</v>
      </c>
      <c r="E757" s="28" t="s">
        <v>502</v>
      </c>
      <c r="F757" s="29"/>
      <c r="G757" s="30">
        <f>SUM(G758)</f>
        <v>0</v>
      </c>
      <c r="H757" s="30">
        <f>SUM(H758)</f>
        <v>0</v>
      </c>
      <c r="I757" s="30" t="e">
        <f t="shared" si="27"/>
        <v>#DIV/0!</v>
      </c>
    </row>
    <row r="758" spans="1:9" s="64" customFormat="1" ht="19.5" customHeight="1" hidden="1">
      <c r="A758" s="26" t="s">
        <v>978</v>
      </c>
      <c r="B758" s="27"/>
      <c r="C758" s="28" t="s">
        <v>972</v>
      </c>
      <c r="D758" s="28" t="s">
        <v>950</v>
      </c>
      <c r="E758" s="28" t="s">
        <v>502</v>
      </c>
      <c r="F758" s="29" t="s">
        <v>979</v>
      </c>
      <c r="G758" s="30"/>
      <c r="H758" s="30"/>
      <c r="I758" s="30" t="e">
        <f t="shared" si="27"/>
        <v>#DIV/0!</v>
      </c>
    </row>
    <row r="759" spans="1:9" s="64" customFormat="1" ht="116.25" customHeight="1" hidden="1">
      <c r="A759" s="26" t="s">
        <v>841</v>
      </c>
      <c r="B759" s="27"/>
      <c r="C759" s="28" t="s">
        <v>972</v>
      </c>
      <c r="D759" s="28" t="s">
        <v>950</v>
      </c>
      <c r="E759" s="28" t="s">
        <v>503</v>
      </c>
      <c r="F759" s="29"/>
      <c r="G759" s="30">
        <f>SUM(G760)</f>
        <v>0</v>
      </c>
      <c r="H759" s="30">
        <f>SUM(H760)</f>
        <v>0</v>
      </c>
      <c r="I759" s="30" t="e">
        <f t="shared" si="27"/>
        <v>#DIV/0!</v>
      </c>
    </row>
    <row r="760" spans="1:9" s="64" customFormat="1" ht="19.5" customHeight="1" hidden="1">
      <c r="A760" s="26" t="s">
        <v>978</v>
      </c>
      <c r="B760" s="27"/>
      <c r="C760" s="28" t="s">
        <v>972</v>
      </c>
      <c r="D760" s="28" t="s">
        <v>950</v>
      </c>
      <c r="E760" s="28" t="s">
        <v>503</v>
      </c>
      <c r="F760" s="29" t="s">
        <v>979</v>
      </c>
      <c r="G760" s="30"/>
      <c r="H760" s="30"/>
      <c r="I760" s="30" t="e">
        <f t="shared" si="27"/>
        <v>#DIV/0!</v>
      </c>
    </row>
    <row r="761" spans="1:9" ht="18" customHeight="1">
      <c r="A761" s="47" t="s">
        <v>415</v>
      </c>
      <c r="B761" s="27"/>
      <c r="C761" s="28" t="s">
        <v>972</v>
      </c>
      <c r="D761" s="28" t="s">
        <v>950</v>
      </c>
      <c r="E761" s="28" t="s">
        <v>416</v>
      </c>
      <c r="F761" s="29"/>
      <c r="G761" s="30">
        <f>SUM(G762)</f>
        <v>32092.399999999998</v>
      </c>
      <c r="H761" s="30">
        <f>SUM(H762)</f>
        <v>16724.6</v>
      </c>
      <c r="I761" s="30">
        <f t="shared" si="27"/>
        <v>52.11389612493924</v>
      </c>
    </row>
    <row r="762" spans="1:9" ht="16.5" customHeight="1">
      <c r="A762" s="26" t="s">
        <v>978</v>
      </c>
      <c r="B762" s="27"/>
      <c r="C762" s="28" t="s">
        <v>972</v>
      </c>
      <c r="D762" s="28" t="s">
        <v>950</v>
      </c>
      <c r="E762" s="28" t="s">
        <v>416</v>
      </c>
      <c r="F762" s="29" t="s">
        <v>979</v>
      </c>
      <c r="G762" s="30">
        <f>31939.8+100+52.6</f>
        <v>32092.399999999998</v>
      </c>
      <c r="H762" s="30">
        <v>16724.6</v>
      </c>
      <c r="I762" s="30">
        <f t="shared" si="27"/>
        <v>52.11389612493924</v>
      </c>
    </row>
    <row r="763" spans="1:9" ht="48.75" customHeight="1">
      <c r="A763" s="26" t="s">
        <v>504</v>
      </c>
      <c r="B763" s="27"/>
      <c r="C763" s="28" t="s">
        <v>972</v>
      </c>
      <c r="D763" s="28" t="s">
        <v>950</v>
      </c>
      <c r="E763" s="28" t="s">
        <v>505</v>
      </c>
      <c r="F763" s="29"/>
      <c r="G763" s="30">
        <f>SUM(G764)</f>
        <v>5513.7</v>
      </c>
      <c r="H763" s="30">
        <f>SUM(H764)</f>
        <v>4118.3</v>
      </c>
      <c r="I763" s="30">
        <f t="shared" si="27"/>
        <v>74.69213051127193</v>
      </c>
    </row>
    <row r="764" spans="1:9" ht="15.75" customHeight="1">
      <c r="A764" s="26" t="s">
        <v>978</v>
      </c>
      <c r="B764" s="27"/>
      <c r="C764" s="28" t="s">
        <v>972</v>
      </c>
      <c r="D764" s="28" t="s">
        <v>950</v>
      </c>
      <c r="E764" s="28" t="s">
        <v>505</v>
      </c>
      <c r="F764" s="29" t="s">
        <v>979</v>
      </c>
      <c r="G764" s="30">
        <f>5789.7-276</f>
        <v>5513.7</v>
      </c>
      <c r="H764" s="30">
        <v>4118.3</v>
      </c>
      <c r="I764" s="30">
        <f t="shared" si="27"/>
        <v>74.69213051127193</v>
      </c>
    </row>
    <row r="765" spans="1:9" ht="27" customHeight="1">
      <c r="A765" s="31" t="s">
        <v>506</v>
      </c>
      <c r="B765" s="27"/>
      <c r="C765" s="28" t="s">
        <v>972</v>
      </c>
      <c r="D765" s="28" t="s">
        <v>950</v>
      </c>
      <c r="E765" s="28" t="s">
        <v>507</v>
      </c>
      <c r="F765" s="29"/>
      <c r="G765" s="30">
        <f>SUM(G766)</f>
        <v>149.7</v>
      </c>
      <c r="H765" s="30">
        <f>SUM(H766)</f>
        <v>12.8</v>
      </c>
      <c r="I765" s="30">
        <f t="shared" si="27"/>
        <v>8.550434201736808</v>
      </c>
    </row>
    <row r="766" spans="1:9" ht="19.5" customHeight="1">
      <c r="A766" s="26" t="s">
        <v>978</v>
      </c>
      <c r="B766" s="27"/>
      <c r="C766" s="28" t="s">
        <v>972</v>
      </c>
      <c r="D766" s="28" t="s">
        <v>950</v>
      </c>
      <c r="E766" s="28" t="s">
        <v>507</v>
      </c>
      <c r="F766" s="29" t="s">
        <v>979</v>
      </c>
      <c r="G766" s="30">
        <v>149.7</v>
      </c>
      <c r="H766" s="30">
        <v>12.8</v>
      </c>
      <c r="I766" s="30">
        <f t="shared" si="27"/>
        <v>8.550434201736808</v>
      </c>
    </row>
    <row r="767" spans="1:9" ht="28.5" customHeight="1">
      <c r="A767" s="47" t="s">
        <v>508</v>
      </c>
      <c r="B767" s="27"/>
      <c r="C767" s="28" t="s">
        <v>972</v>
      </c>
      <c r="D767" s="28" t="s">
        <v>950</v>
      </c>
      <c r="E767" s="28" t="s">
        <v>509</v>
      </c>
      <c r="F767" s="29"/>
      <c r="G767" s="30">
        <f>SUM(G768+G769)</f>
        <v>107801.8</v>
      </c>
      <c r="H767" s="30">
        <f>SUM(H768)</f>
        <v>90050.4</v>
      </c>
      <c r="I767" s="30">
        <f t="shared" si="27"/>
        <v>83.53329907292827</v>
      </c>
    </row>
    <row r="768" spans="1:9" ht="19.5" customHeight="1">
      <c r="A768" s="26" t="s">
        <v>978</v>
      </c>
      <c r="B768" s="27"/>
      <c r="C768" s="28" t="s">
        <v>972</v>
      </c>
      <c r="D768" s="28" t="s">
        <v>950</v>
      </c>
      <c r="E768" s="28" t="s">
        <v>509</v>
      </c>
      <c r="F768" s="29" t="s">
        <v>979</v>
      </c>
      <c r="G768" s="30">
        <f>114301.8-6500-57.9</f>
        <v>107743.90000000001</v>
      </c>
      <c r="H768" s="30">
        <v>90050.4</v>
      </c>
      <c r="I768" s="30">
        <f t="shared" si="27"/>
        <v>83.57818864919497</v>
      </c>
    </row>
    <row r="769" spans="1:9" ht="28.5" customHeight="1">
      <c r="A769" s="26" t="s">
        <v>947</v>
      </c>
      <c r="B769" s="27"/>
      <c r="C769" s="28" t="s">
        <v>972</v>
      </c>
      <c r="D769" s="28" t="s">
        <v>950</v>
      </c>
      <c r="E769" s="28" t="s">
        <v>509</v>
      </c>
      <c r="F769" s="29" t="s">
        <v>948</v>
      </c>
      <c r="G769" s="30">
        <v>57.9</v>
      </c>
      <c r="H769" s="30"/>
      <c r="I769" s="30"/>
    </row>
    <row r="770" spans="1:9" ht="45.75" customHeight="1">
      <c r="A770" s="26" t="s">
        <v>510</v>
      </c>
      <c r="B770" s="27"/>
      <c r="C770" s="28" t="s">
        <v>972</v>
      </c>
      <c r="D770" s="28" t="s">
        <v>950</v>
      </c>
      <c r="E770" s="28" t="s">
        <v>511</v>
      </c>
      <c r="F770" s="29"/>
      <c r="G770" s="30">
        <f>SUM(G771)</f>
        <v>74550.7</v>
      </c>
      <c r="H770" s="30">
        <f>SUM(H771)</f>
        <v>56493.7</v>
      </c>
      <c r="I770" s="30">
        <f t="shared" si="27"/>
        <v>75.77889946036724</v>
      </c>
    </row>
    <row r="771" spans="1:9" ht="18" customHeight="1">
      <c r="A771" s="26" t="s">
        <v>978</v>
      </c>
      <c r="B771" s="27"/>
      <c r="C771" s="28" t="s">
        <v>972</v>
      </c>
      <c r="D771" s="28" t="s">
        <v>950</v>
      </c>
      <c r="E771" s="28" t="s">
        <v>511</v>
      </c>
      <c r="F771" s="29" t="s">
        <v>979</v>
      </c>
      <c r="G771" s="30">
        <f>75142.5-591.8</f>
        <v>74550.7</v>
      </c>
      <c r="H771" s="30">
        <v>56493.7</v>
      </c>
      <c r="I771" s="30">
        <f t="shared" si="27"/>
        <v>75.77889946036724</v>
      </c>
    </row>
    <row r="772" spans="1:9" ht="28.5" customHeight="1">
      <c r="A772" s="26" t="s">
        <v>512</v>
      </c>
      <c r="B772" s="27"/>
      <c r="C772" s="28" t="s">
        <v>972</v>
      </c>
      <c r="D772" s="28" t="s">
        <v>950</v>
      </c>
      <c r="E772" s="28" t="s">
        <v>513</v>
      </c>
      <c r="F772" s="29"/>
      <c r="G772" s="30">
        <f>SUM(G773+G777+G779+G781+G783+G791+G789+G787+G795)</f>
        <v>234557.40000000002</v>
      </c>
      <c r="H772" s="30">
        <f>SUM(H773+H777+H779+H781+H783+H791+H789+H787+H795)</f>
        <v>182903.19999999998</v>
      </c>
      <c r="I772" s="30">
        <f t="shared" si="27"/>
        <v>77.97801305778455</v>
      </c>
    </row>
    <row r="773" spans="1:9" ht="29.25" customHeight="1">
      <c r="A773" s="31" t="s">
        <v>514</v>
      </c>
      <c r="B773" s="27"/>
      <c r="C773" s="28" t="s">
        <v>972</v>
      </c>
      <c r="D773" s="28" t="s">
        <v>950</v>
      </c>
      <c r="E773" s="28" t="s">
        <v>515</v>
      </c>
      <c r="F773" s="29"/>
      <c r="G773" s="30">
        <f>SUM(G774)</f>
        <v>49911.9</v>
      </c>
      <c r="H773" s="30">
        <f>SUM(H774)</f>
        <v>37224.7</v>
      </c>
      <c r="I773" s="30">
        <f t="shared" si="27"/>
        <v>74.58081138966858</v>
      </c>
    </row>
    <row r="774" spans="1:9" ht="18" customHeight="1">
      <c r="A774" s="26" t="s">
        <v>978</v>
      </c>
      <c r="B774" s="27"/>
      <c r="C774" s="28" t="s">
        <v>972</v>
      </c>
      <c r="D774" s="28" t="s">
        <v>950</v>
      </c>
      <c r="E774" s="28" t="s">
        <v>515</v>
      </c>
      <c r="F774" s="29" t="s">
        <v>979</v>
      </c>
      <c r="G774" s="30">
        <f>52289.9-2378</f>
        <v>49911.9</v>
      </c>
      <c r="H774" s="30">
        <v>37224.7</v>
      </c>
      <c r="I774" s="30">
        <f t="shared" si="27"/>
        <v>74.58081138966858</v>
      </c>
    </row>
    <row r="775" spans="1:9" ht="71.25" hidden="1">
      <c r="A775" s="26" t="s">
        <v>516</v>
      </c>
      <c r="B775" s="32"/>
      <c r="C775" s="28" t="s">
        <v>972</v>
      </c>
      <c r="D775" s="28" t="s">
        <v>950</v>
      </c>
      <c r="E775" s="28" t="s">
        <v>517</v>
      </c>
      <c r="F775" s="29"/>
      <c r="G775" s="30"/>
      <c r="H775" s="30"/>
      <c r="I775" s="30" t="e">
        <f t="shared" si="27"/>
        <v>#DIV/0!</v>
      </c>
    </row>
    <row r="776" spans="1:9" ht="15" hidden="1">
      <c r="A776" s="26" t="s">
        <v>978</v>
      </c>
      <c r="B776" s="32"/>
      <c r="C776" s="28" t="s">
        <v>972</v>
      </c>
      <c r="D776" s="28" t="s">
        <v>950</v>
      </c>
      <c r="E776" s="28" t="s">
        <v>517</v>
      </c>
      <c r="F776" s="29" t="s">
        <v>979</v>
      </c>
      <c r="G776" s="30"/>
      <c r="H776" s="30"/>
      <c r="I776" s="30" t="e">
        <f t="shared" si="27"/>
        <v>#DIV/0!</v>
      </c>
    </row>
    <row r="777" spans="1:9" ht="99.75">
      <c r="A777" s="89" t="s">
        <v>842</v>
      </c>
      <c r="B777" s="32"/>
      <c r="C777" s="28" t="s">
        <v>972</v>
      </c>
      <c r="D777" s="28" t="s">
        <v>950</v>
      </c>
      <c r="E777" s="28" t="s">
        <v>518</v>
      </c>
      <c r="F777" s="29"/>
      <c r="G777" s="30">
        <f>SUM(G778)</f>
        <v>37949.9</v>
      </c>
      <c r="H777" s="30">
        <f>SUM(H778)</f>
        <v>29554</v>
      </c>
      <c r="I777" s="30">
        <f t="shared" si="27"/>
        <v>77.87635804046914</v>
      </c>
    </row>
    <row r="778" spans="1:9" ht="15">
      <c r="A778" s="26" t="s">
        <v>978</v>
      </c>
      <c r="B778" s="32"/>
      <c r="C778" s="28" t="s">
        <v>972</v>
      </c>
      <c r="D778" s="28" t="s">
        <v>950</v>
      </c>
      <c r="E778" s="28" t="s">
        <v>518</v>
      </c>
      <c r="F778" s="29" t="s">
        <v>979</v>
      </c>
      <c r="G778" s="30">
        <f>38649.9-700</f>
        <v>37949.9</v>
      </c>
      <c r="H778" s="30">
        <v>29554</v>
      </c>
      <c r="I778" s="30">
        <f t="shared" si="27"/>
        <v>77.87635804046914</v>
      </c>
    </row>
    <row r="779" spans="1:9" ht="99.75">
      <c r="A779" s="89" t="s">
        <v>843</v>
      </c>
      <c r="B779" s="32"/>
      <c r="C779" s="28" t="s">
        <v>972</v>
      </c>
      <c r="D779" s="28" t="s">
        <v>950</v>
      </c>
      <c r="E779" s="28" t="s">
        <v>519</v>
      </c>
      <c r="F779" s="29"/>
      <c r="G779" s="30">
        <f>SUM(G780)</f>
        <v>17958.1</v>
      </c>
      <c r="H779" s="30">
        <f>SUM(H780)</f>
        <v>37911</v>
      </c>
      <c r="I779" s="30">
        <f t="shared" si="27"/>
        <v>211.1080793625161</v>
      </c>
    </row>
    <row r="780" spans="1:9" ht="15">
      <c r="A780" s="26" t="s">
        <v>978</v>
      </c>
      <c r="B780" s="32"/>
      <c r="C780" s="28" t="s">
        <v>972</v>
      </c>
      <c r="D780" s="28" t="s">
        <v>950</v>
      </c>
      <c r="E780" s="28" t="s">
        <v>519</v>
      </c>
      <c r="F780" s="29" t="s">
        <v>979</v>
      </c>
      <c r="G780" s="30">
        <f>20008.1-2050</f>
        <v>17958.1</v>
      </c>
      <c r="H780" s="30">
        <v>37911</v>
      </c>
      <c r="I780" s="30">
        <f t="shared" si="27"/>
        <v>211.1080793625161</v>
      </c>
    </row>
    <row r="781" spans="1:9" ht="85.5" hidden="1">
      <c r="A781" s="26" t="s">
        <v>520</v>
      </c>
      <c r="B781" s="32"/>
      <c r="C781" s="28" t="s">
        <v>972</v>
      </c>
      <c r="D781" s="28" t="s">
        <v>950</v>
      </c>
      <c r="E781" s="28" t="s">
        <v>518</v>
      </c>
      <c r="F781" s="29"/>
      <c r="G781" s="30">
        <f>SUM(G782)</f>
        <v>0</v>
      </c>
      <c r="H781" s="30">
        <f>SUM(H782)</f>
        <v>0</v>
      </c>
      <c r="I781" s="30" t="e">
        <f t="shared" si="27"/>
        <v>#DIV/0!</v>
      </c>
    </row>
    <row r="782" spans="1:9" ht="15" hidden="1">
      <c r="A782" s="26" t="s">
        <v>978</v>
      </c>
      <c r="B782" s="32"/>
      <c r="C782" s="28" t="s">
        <v>972</v>
      </c>
      <c r="D782" s="28" t="s">
        <v>950</v>
      </c>
      <c r="E782" s="28" t="s">
        <v>518</v>
      </c>
      <c r="F782" s="29" t="s">
        <v>979</v>
      </c>
      <c r="G782" s="30"/>
      <c r="H782" s="30"/>
      <c r="I782" s="30" t="e">
        <f t="shared" si="27"/>
        <v>#DIV/0!</v>
      </c>
    </row>
    <row r="783" spans="1:9" ht="85.5" hidden="1">
      <c r="A783" s="26" t="s">
        <v>521</v>
      </c>
      <c r="B783" s="32"/>
      <c r="C783" s="28" t="s">
        <v>972</v>
      </c>
      <c r="D783" s="28" t="s">
        <v>950</v>
      </c>
      <c r="E783" s="28" t="s">
        <v>519</v>
      </c>
      <c r="F783" s="29"/>
      <c r="G783" s="30">
        <f>SUM(G784)</f>
        <v>0</v>
      </c>
      <c r="H783" s="30">
        <f>SUM(H784)</f>
        <v>0</v>
      </c>
      <c r="I783" s="30" t="e">
        <f t="shared" si="27"/>
        <v>#DIV/0!</v>
      </c>
    </row>
    <row r="784" spans="1:9" ht="15" hidden="1">
      <c r="A784" s="26" t="s">
        <v>978</v>
      </c>
      <c r="B784" s="32"/>
      <c r="C784" s="28" t="s">
        <v>972</v>
      </c>
      <c r="D784" s="28" t="s">
        <v>950</v>
      </c>
      <c r="E784" s="28" t="s">
        <v>519</v>
      </c>
      <c r="F784" s="29" t="s">
        <v>979</v>
      </c>
      <c r="G784" s="30"/>
      <c r="H784" s="30"/>
      <c r="I784" s="30" t="e">
        <f t="shared" si="27"/>
        <v>#DIV/0!</v>
      </c>
    </row>
    <row r="785" spans="1:9" ht="71.25" hidden="1">
      <c r="A785" s="31" t="s">
        <v>522</v>
      </c>
      <c r="B785" s="27"/>
      <c r="C785" s="28" t="s">
        <v>972</v>
      </c>
      <c r="D785" s="28" t="s">
        <v>950</v>
      </c>
      <c r="E785" s="28" t="s">
        <v>523</v>
      </c>
      <c r="F785" s="29"/>
      <c r="G785" s="30">
        <f>SUM(G786)</f>
        <v>8082.5</v>
      </c>
      <c r="H785" s="30">
        <f>SUM(H786)</f>
        <v>8082.5</v>
      </c>
      <c r="I785" s="30">
        <f t="shared" si="27"/>
        <v>100</v>
      </c>
    </row>
    <row r="786" spans="1:9" ht="15" hidden="1">
      <c r="A786" s="26" t="s">
        <v>978</v>
      </c>
      <c r="B786" s="27"/>
      <c r="C786" s="28" t="s">
        <v>972</v>
      </c>
      <c r="D786" s="28" t="s">
        <v>950</v>
      </c>
      <c r="E786" s="28" t="s">
        <v>523</v>
      </c>
      <c r="F786" s="29" t="s">
        <v>979</v>
      </c>
      <c r="G786" s="30">
        <v>8082.5</v>
      </c>
      <c r="H786" s="30">
        <v>8082.5</v>
      </c>
      <c r="I786" s="30">
        <f t="shared" si="27"/>
        <v>100</v>
      </c>
    </row>
    <row r="787" spans="1:9" ht="99.75">
      <c r="A787" s="26" t="s">
        <v>844</v>
      </c>
      <c r="B787" s="27"/>
      <c r="C787" s="28" t="s">
        <v>972</v>
      </c>
      <c r="D787" s="28" t="s">
        <v>950</v>
      </c>
      <c r="E787" s="28" t="s">
        <v>524</v>
      </c>
      <c r="F787" s="29"/>
      <c r="G787" s="30">
        <f>SUM(G788)</f>
        <v>117514.6</v>
      </c>
      <c r="H787" s="30">
        <f>SUM(H788)</f>
        <v>70381.4</v>
      </c>
      <c r="I787" s="30">
        <f t="shared" si="27"/>
        <v>59.89162197718411</v>
      </c>
    </row>
    <row r="788" spans="1:9" ht="15">
      <c r="A788" s="26" t="s">
        <v>978</v>
      </c>
      <c r="B788" s="27"/>
      <c r="C788" s="28" t="s">
        <v>972</v>
      </c>
      <c r="D788" s="28" t="s">
        <v>950</v>
      </c>
      <c r="E788" s="28" t="s">
        <v>524</v>
      </c>
      <c r="F788" s="29" t="s">
        <v>979</v>
      </c>
      <c r="G788" s="30">
        <f>143335.2-32466.5+6645.9</f>
        <v>117514.6</v>
      </c>
      <c r="H788" s="30">
        <v>70381.4</v>
      </c>
      <c r="I788" s="30">
        <f t="shared" si="27"/>
        <v>59.89162197718411</v>
      </c>
    </row>
    <row r="789" spans="1:9" ht="102" customHeight="1">
      <c r="A789" s="31" t="s">
        <v>845</v>
      </c>
      <c r="B789" s="27"/>
      <c r="C789" s="28" t="s">
        <v>972</v>
      </c>
      <c r="D789" s="28" t="s">
        <v>950</v>
      </c>
      <c r="E789" s="28" t="s">
        <v>525</v>
      </c>
      <c r="F789" s="29"/>
      <c r="G789" s="30">
        <f>SUM(G790)</f>
        <v>1761.6</v>
      </c>
      <c r="H789" s="30">
        <f>SUM(H790)</f>
        <v>1365.8</v>
      </c>
      <c r="I789" s="30">
        <f t="shared" si="27"/>
        <v>77.53178928247048</v>
      </c>
    </row>
    <row r="790" spans="1:9" ht="15">
      <c r="A790" s="26" t="s">
        <v>978</v>
      </c>
      <c r="B790" s="27"/>
      <c r="C790" s="28" t="s">
        <v>972</v>
      </c>
      <c r="D790" s="28" t="s">
        <v>950</v>
      </c>
      <c r="E790" s="28" t="s">
        <v>525</v>
      </c>
      <c r="F790" s="29" t="s">
        <v>979</v>
      </c>
      <c r="G790" s="30">
        <v>1761.6</v>
      </c>
      <c r="H790" s="30">
        <v>1365.8</v>
      </c>
      <c r="I790" s="30">
        <f t="shared" si="27"/>
        <v>77.53178928247048</v>
      </c>
    </row>
    <row r="791" spans="1:9" ht="128.25">
      <c r="A791" s="31" t="s">
        <v>846</v>
      </c>
      <c r="B791" s="27"/>
      <c r="C791" s="28" t="s">
        <v>972</v>
      </c>
      <c r="D791" s="28" t="s">
        <v>950</v>
      </c>
      <c r="E791" s="28" t="s">
        <v>526</v>
      </c>
      <c r="F791" s="29"/>
      <c r="G791" s="30">
        <f>SUM(G792)</f>
        <v>419.8</v>
      </c>
      <c r="H791" s="30">
        <f>SUM(H792)</f>
        <v>1324.9</v>
      </c>
      <c r="I791" s="30">
        <f t="shared" si="27"/>
        <v>315.6026679371129</v>
      </c>
    </row>
    <row r="792" spans="1:9" ht="15">
      <c r="A792" s="26" t="s">
        <v>978</v>
      </c>
      <c r="B792" s="27"/>
      <c r="C792" s="28" t="s">
        <v>972</v>
      </c>
      <c r="D792" s="28" t="s">
        <v>950</v>
      </c>
      <c r="E792" s="28" t="s">
        <v>526</v>
      </c>
      <c r="F792" s="29" t="s">
        <v>979</v>
      </c>
      <c r="G792" s="30">
        <f>319.8+100</f>
        <v>419.8</v>
      </c>
      <c r="H792" s="30">
        <v>1324.9</v>
      </c>
      <c r="I792" s="30">
        <f t="shared" si="27"/>
        <v>315.6026679371129</v>
      </c>
    </row>
    <row r="793" spans="1:9" ht="45.75" customHeight="1" hidden="1">
      <c r="A793" s="26" t="s">
        <v>504</v>
      </c>
      <c r="B793" s="27"/>
      <c r="C793" s="28" t="s">
        <v>972</v>
      </c>
      <c r="D793" s="28" t="s">
        <v>950</v>
      </c>
      <c r="E793" s="28" t="s">
        <v>527</v>
      </c>
      <c r="F793" s="29"/>
      <c r="G793" s="30">
        <f>SUM(G794)</f>
        <v>0</v>
      </c>
      <c r="H793" s="30">
        <f>SUM(H794)</f>
        <v>0</v>
      </c>
      <c r="I793" s="30" t="e">
        <f t="shared" si="27"/>
        <v>#DIV/0!</v>
      </c>
    </row>
    <row r="794" spans="1:9" ht="18" customHeight="1" hidden="1">
      <c r="A794" s="26" t="s">
        <v>978</v>
      </c>
      <c r="B794" s="27"/>
      <c r="C794" s="28" t="s">
        <v>972</v>
      </c>
      <c r="D794" s="28" t="s">
        <v>950</v>
      </c>
      <c r="E794" s="28" t="s">
        <v>527</v>
      </c>
      <c r="F794" s="29" t="s">
        <v>979</v>
      </c>
      <c r="G794" s="30"/>
      <c r="H794" s="30"/>
      <c r="I794" s="30" t="e">
        <f t="shared" si="27"/>
        <v>#DIV/0!</v>
      </c>
    </row>
    <row r="795" spans="1:9" ht="130.5" customHeight="1">
      <c r="A795" s="26" t="s">
        <v>847</v>
      </c>
      <c r="B795" s="27"/>
      <c r="C795" s="28" t="s">
        <v>972</v>
      </c>
      <c r="D795" s="28" t="s">
        <v>950</v>
      </c>
      <c r="E795" s="28" t="s">
        <v>528</v>
      </c>
      <c r="F795" s="29"/>
      <c r="G795" s="30">
        <f>SUM(G796)</f>
        <v>9041.499999999998</v>
      </c>
      <c r="H795" s="30">
        <f>SUM(H796)</f>
        <v>5141.4</v>
      </c>
      <c r="I795" s="30">
        <f t="shared" si="27"/>
        <v>56.864458331029155</v>
      </c>
    </row>
    <row r="796" spans="1:9" ht="18" customHeight="1">
      <c r="A796" s="26" t="s">
        <v>978</v>
      </c>
      <c r="B796" s="27"/>
      <c r="C796" s="28" t="s">
        <v>972</v>
      </c>
      <c r="D796" s="28" t="s">
        <v>950</v>
      </c>
      <c r="E796" s="28" t="s">
        <v>528</v>
      </c>
      <c r="F796" s="29" t="s">
        <v>979</v>
      </c>
      <c r="G796" s="30">
        <f>16825.1-7783.6</f>
        <v>9041.499999999998</v>
      </c>
      <c r="H796" s="30">
        <v>5141.4</v>
      </c>
      <c r="I796" s="30">
        <f t="shared" si="27"/>
        <v>56.864458331029155</v>
      </c>
    </row>
    <row r="797" spans="1:9" ht="28.5" hidden="1">
      <c r="A797" s="26" t="s">
        <v>529</v>
      </c>
      <c r="B797" s="27"/>
      <c r="C797" s="28" t="s">
        <v>972</v>
      </c>
      <c r="D797" s="28" t="s">
        <v>950</v>
      </c>
      <c r="E797" s="28" t="s">
        <v>530</v>
      </c>
      <c r="F797" s="29"/>
      <c r="G797" s="30">
        <f>SUM(G798)</f>
        <v>0</v>
      </c>
      <c r="H797" s="30"/>
      <c r="I797" s="30"/>
    </row>
    <row r="798" spans="1:9" ht="15" customHeight="1" hidden="1">
      <c r="A798" s="26" t="s">
        <v>978</v>
      </c>
      <c r="B798" s="27"/>
      <c r="C798" s="28" t="s">
        <v>972</v>
      </c>
      <c r="D798" s="28" t="s">
        <v>950</v>
      </c>
      <c r="E798" s="28" t="s">
        <v>530</v>
      </c>
      <c r="F798" s="29" t="s">
        <v>979</v>
      </c>
      <c r="G798" s="30">
        <f>211.9-211.9</f>
        <v>0</v>
      </c>
      <c r="H798" s="30"/>
      <c r="I798" s="30"/>
    </row>
    <row r="799" spans="1:9" ht="32.25" customHeight="1">
      <c r="A799" s="26" t="s">
        <v>531</v>
      </c>
      <c r="B799" s="27"/>
      <c r="C799" s="28" t="s">
        <v>972</v>
      </c>
      <c r="D799" s="28" t="s">
        <v>950</v>
      </c>
      <c r="E799" s="28" t="s">
        <v>532</v>
      </c>
      <c r="F799" s="29"/>
      <c r="G799" s="30">
        <f>SUM(G800)</f>
        <v>1944.5</v>
      </c>
      <c r="H799" s="30">
        <f>SUM(H800)</f>
        <v>927.6</v>
      </c>
      <c r="I799" s="30">
        <f t="shared" si="27"/>
        <v>47.703779892003084</v>
      </c>
    </row>
    <row r="800" spans="1:9" ht="15" customHeight="1">
      <c r="A800" s="26" t="s">
        <v>413</v>
      </c>
      <c r="B800" s="27"/>
      <c r="C800" s="28" t="s">
        <v>972</v>
      </c>
      <c r="D800" s="28" t="s">
        <v>950</v>
      </c>
      <c r="E800" s="28" t="s">
        <v>533</v>
      </c>
      <c r="F800" s="29"/>
      <c r="G800" s="30">
        <f>SUM(G801:G802)</f>
        <v>1944.5</v>
      </c>
      <c r="H800" s="30">
        <f>SUM(H801:H801)</f>
        <v>927.6</v>
      </c>
      <c r="I800" s="30">
        <f t="shared" si="27"/>
        <v>47.703779892003084</v>
      </c>
    </row>
    <row r="801" spans="1:9" ht="15" customHeight="1">
      <c r="A801" s="26" t="s">
        <v>978</v>
      </c>
      <c r="B801" s="27"/>
      <c r="C801" s="28" t="s">
        <v>972</v>
      </c>
      <c r="D801" s="28" t="s">
        <v>950</v>
      </c>
      <c r="E801" s="28" t="s">
        <v>533</v>
      </c>
      <c r="F801" s="29" t="s">
        <v>979</v>
      </c>
      <c r="G801" s="30">
        <v>1744.6</v>
      </c>
      <c r="H801" s="30">
        <v>927.6</v>
      </c>
      <c r="I801" s="30">
        <f t="shared" si="27"/>
        <v>53.1697810386335</v>
      </c>
    </row>
    <row r="802" spans="1:9" ht="29.25" customHeight="1">
      <c r="A802" s="26" t="s">
        <v>947</v>
      </c>
      <c r="B802" s="27"/>
      <c r="C802" s="28" t="s">
        <v>972</v>
      </c>
      <c r="D802" s="28" t="s">
        <v>950</v>
      </c>
      <c r="E802" s="28" t="s">
        <v>533</v>
      </c>
      <c r="F802" s="29" t="s">
        <v>948</v>
      </c>
      <c r="G802" s="30">
        <f>200-0.1</f>
        <v>199.9</v>
      </c>
      <c r="H802" s="30"/>
      <c r="I802" s="30"/>
    </row>
    <row r="803" spans="1:9" ht="63" customHeight="1" hidden="1">
      <c r="A803" s="26" t="s">
        <v>534</v>
      </c>
      <c r="B803" s="27"/>
      <c r="C803" s="28" t="s">
        <v>972</v>
      </c>
      <c r="D803" s="28" t="s">
        <v>950</v>
      </c>
      <c r="E803" s="28" t="s">
        <v>535</v>
      </c>
      <c r="F803" s="29"/>
      <c r="G803" s="30">
        <f>SUM(G804)</f>
        <v>0</v>
      </c>
      <c r="H803" s="30"/>
      <c r="I803" s="30"/>
    </row>
    <row r="804" spans="1:9" ht="28.5" hidden="1">
      <c r="A804" s="26" t="s">
        <v>529</v>
      </c>
      <c r="B804" s="27"/>
      <c r="C804" s="28" t="s">
        <v>972</v>
      </c>
      <c r="D804" s="28" t="s">
        <v>950</v>
      </c>
      <c r="E804" s="28" t="s">
        <v>536</v>
      </c>
      <c r="F804" s="29"/>
      <c r="G804" s="30">
        <f>SUM(G805)</f>
        <v>0</v>
      </c>
      <c r="H804" s="30"/>
      <c r="I804" s="30"/>
    </row>
    <row r="805" spans="1:9" ht="15" customHeight="1" hidden="1">
      <c r="A805" s="26" t="s">
        <v>978</v>
      </c>
      <c r="B805" s="27"/>
      <c r="C805" s="28" t="s">
        <v>972</v>
      </c>
      <c r="D805" s="28" t="s">
        <v>950</v>
      </c>
      <c r="E805" s="28" t="s">
        <v>536</v>
      </c>
      <c r="F805" s="29" t="s">
        <v>979</v>
      </c>
      <c r="G805" s="30"/>
      <c r="H805" s="30"/>
      <c r="I805" s="30"/>
    </row>
    <row r="806" spans="1:9" ht="15">
      <c r="A806" s="26" t="s">
        <v>20</v>
      </c>
      <c r="B806" s="27"/>
      <c r="C806" s="28" t="s">
        <v>972</v>
      </c>
      <c r="D806" s="28" t="s">
        <v>950</v>
      </c>
      <c r="E806" s="28" t="s">
        <v>21</v>
      </c>
      <c r="F806" s="29"/>
      <c r="G806" s="30">
        <f>SUM(G807)</f>
        <v>3869.6000000000004</v>
      </c>
      <c r="H806" s="30">
        <f>SUM(H807)</f>
        <v>3319.1</v>
      </c>
      <c r="I806" s="30">
        <f t="shared" si="27"/>
        <v>85.77372338226172</v>
      </c>
    </row>
    <row r="807" spans="1:9" ht="57">
      <c r="A807" s="26" t="s">
        <v>537</v>
      </c>
      <c r="B807" s="27"/>
      <c r="C807" s="28" t="s">
        <v>972</v>
      </c>
      <c r="D807" s="28" t="s">
        <v>950</v>
      </c>
      <c r="E807" s="28" t="s">
        <v>538</v>
      </c>
      <c r="F807" s="29"/>
      <c r="G807" s="30">
        <f>SUM(G808)</f>
        <v>3869.6000000000004</v>
      </c>
      <c r="H807" s="30">
        <f>SUM(H808)</f>
        <v>3319.1</v>
      </c>
      <c r="I807" s="30">
        <f t="shared" si="27"/>
        <v>85.77372338226172</v>
      </c>
    </row>
    <row r="808" spans="1:9" ht="18" customHeight="1">
      <c r="A808" s="26" t="s">
        <v>413</v>
      </c>
      <c r="B808" s="36"/>
      <c r="C808" s="28" t="s">
        <v>972</v>
      </c>
      <c r="D808" s="28" t="s">
        <v>950</v>
      </c>
      <c r="E808" s="28" t="s">
        <v>538</v>
      </c>
      <c r="F808" s="29" t="s">
        <v>539</v>
      </c>
      <c r="G808" s="30">
        <f>3926.3-56.7</f>
        <v>3869.6000000000004</v>
      </c>
      <c r="H808" s="30">
        <v>3319.1</v>
      </c>
      <c r="I808" s="30">
        <f t="shared" si="27"/>
        <v>85.77372338226172</v>
      </c>
    </row>
    <row r="809" spans="1:9" ht="15">
      <c r="A809" s="31" t="s">
        <v>540</v>
      </c>
      <c r="B809" s="27"/>
      <c r="C809" s="67" t="s">
        <v>972</v>
      </c>
      <c r="D809" s="67" t="s">
        <v>5</v>
      </c>
      <c r="E809" s="67"/>
      <c r="F809" s="34"/>
      <c r="G809" s="50">
        <f>SUM(G810+G813)</f>
        <v>26948.199999999997</v>
      </c>
      <c r="H809" s="50">
        <f>SUM(H810+H813)</f>
        <v>17205.399999999998</v>
      </c>
      <c r="I809" s="30">
        <f t="shared" si="27"/>
        <v>63.84619380886293</v>
      </c>
    </row>
    <row r="810" spans="1:9" ht="15" hidden="1">
      <c r="A810" s="31" t="s">
        <v>974</v>
      </c>
      <c r="B810" s="27"/>
      <c r="C810" s="67" t="s">
        <v>972</v>
      </c>
      <c r="D810" s="67" t="s">
        <v>5</v>
      </c>
      <c r="E810" s="67" t="s">
        <v>975</v>
      </c>
      <c r="F810" s="34"/>
      <c r="G810" s="30">
        <f>SUM(G811)</f>
        <v>0</v>
      </c>
      <c r="H810" s="30">
        <f>SUM(H811)</f>
        <v>0</v>
      </c>
      <c r="I810" s="30" t="e">
        <f t="shared" si="27"/>
        <v>#DIV/0!</v>
      </c>
    </row>
    <row r="811" spans="1:9" ht="18" customHeight="1" hidden="1">
      <c r="A811" s="26" t="s">
        <v>541</v>
      </c>
      <c r="B811" s="27"/>
      <c r="C811" s="67" t="s">
        <v>972</v>
      </c>
      <c r="D811" s="67" t="s">
        <v>5</v>
      </c>
      <c r="E811" s="67" t="s">
        <v>542</v>
      </c>
      <c r="F811" s="34"/>
      <c r="G811" s="30">
        <f>SUM(G812)</f>
        <v>0</v>
      </c>
      <c r="H811" s="30">
        <f>SUM(H812)</f>
        <v>0</v>
      </c>
      <c r="I811" s="30" t="e">
        <f t="shared" si="27"/>
        <v>#DIV/0!</v>
      </c>
    </row>
    <row r="812" spans="1:9" ht="18" customHeight="1" hidden="1">
      <c r="A812" s="26" t="s">
        <v>978</v>
      </c>
      <c r="B812" s="27"/>
      <c r="C812" s="67" t="s">
        <v>972</v>
      </c>
      <c r="D812" s="67" t="s">
        <v>5</v>
      </c>
      <c r="E812" s="67" t="s">
        <v>542</v>
      </c>
      <c r="F812" s="29" t="s">
        <v>979</v>
      </c>
      <c r="G812" s="30"/>
      <c r="H812" s="30"/>
      <c r="I812" s="30" t="e">
        <f t="shared" si="27"/>
        <v>#DIV/0!</v>
      </c>
    </row>
    <row r="813" spans="1:9" ht="28.5">
      <c r="A813" s="26" t="s">
        <v>543</v>
      </c>
      <c r="B813" s="27"/>
      <c r="C813" s="67" t="s">
        <v>972</v>
      </c>
      <c r="D813" s="67" t="s">
        <v>5</v>
      </c>
      <c r="E813" s="67" t="s">
        <v>544</v>
      </c>
      <c r="F813" s="29"/>
      <c r="G813" s="30">
        <f>SUM(G814)</f>
        <v>26948.199999999997</v>
      </c>
      <c r="H813" s="30">
        <f>SUM(H814)</f>
        <v>17205.399999999998</v>
      </c>
      <c r="I813" s="30">
        <f aca="true" t="shared" si="28" ref="I813:I845">SUM(H813/G813*100)</f>
        <v>63.84619380886293</v>
      </c>
    </row>
    <row r="814" spans="1:9" ht="71.25">
      <c r="A814" s="26" t="s">
        <v>545</v>
      </c>
      <c r="B814" s="27"/>
      <c r="C814" s="67" t="s">
        <v>972</v>
      </c>
      <c r="D814" s="67" t="s">
        <v>5</v>
      </c>
      <c r="E814" s="67" t="s">
        <v>546</v>
      </c>
      <c r="F814" s="34"/>
      <c r="G814" s="30">
        <f>SUM(G819)+G820+G823+G815+G817</f>
        <v>26948.199999999997</v>
      </c>
      <c r="H814" s="30">
        <f>SUM(H819)+H820+H823+H815+H817</f>
        <v>17205.399999999998</v>
      </c>
      <c r="I814" s="30">
        <f t="shared" si="28"/>
        <v>63.84619380886293</v>
      </c>
    </row>
    <row r="815" spans="1:9" ht="28.5">
      <c r="A815" s="26" t="s">
        <v>547</v>
      </c>
      <c r="B815" s="27"/>
      <c r="C815" s="67" t="s">
        <v>972</v>
      </c>
      <c r="D815" s="67" t="s">
        <v>5</v>
      </c>
      <c r="E815" s="67" t="s">
        <v>548</v>
      </c>
      <c r="F815" s="34"/>
      <c r="G815" s="30">
        <f>SUM(G816)</f>
        <v>1462</v>
      </c>
      <c r="H815" s="30">
        <f>SUM(H816)</f>
        <v>241.8</v>
      </c>
      <c r="I815" s="30">
        <f t="shared" si="28"/>
        <v>16.538987688098498</v>
      </c>
    </row>
    <row r="816" spans="1:9" ht="28.5">
      <c r="A816" s="26" t="s">
        <v>549</v>
      </c>
      <c r="B816" s="27"/>
      <c r="C816" s="67" t="s">
        <v>972</v>
      </c>
      <c r="D816" s="67" t="s">
        <v>5</v>
      </c>
      <c r="E816" s="67" t="s">
        <v>548</v>
      </c>
      <c r="F816" s="34" t="s">
        <v>550</v>
      </c>
      <c r="G816" s="30">
        <f>1245.9+216.1</f>
        <v>1462</v>
      </c>
      <c r="H816" s="30">
        <v>241.8</v>
      </c>
      <c r="I816" s="30">
        <f t="shared" si="28"/>
        <v>16.538987688098498</v>
      </c>
    </row>
    <row r="817" spans="1:9" ht="15">
      <c r="A817" s="26" t="s">
        <v>551</v>
      </c>
      <c r="B817" s="27"/>
      <c r="C817" s="67" t="s">
        <v>972</v>
      </c>
      <c r="D817" s="67" t="s">
        <v>5</v>
      </c>
      <c r="E817" s="67" t="s">
        <v>552</v>
      </c>
      <c r="F817" s="34"/>
      <c r="G817" s="30">
        <f>SUM(G818)</f>
        <v>1246.6</v>
      </c>
      <c r="H817" s="30">
        <f>SUM(H818)</f>
        <v>252</v>
      </c>
      <c r="I817" s="30">
        <f t="shared" si="28"/>
        <v>20.21498475854324</v>
      </c>
    </row>
    <row r="818" spans="1:9" ht="27.75" customHeight="1">
      <c r="A818" s="26" t="s">
        <v>549</v>
      </c>
      <c r="B818" s="27"/>
      <c r="C818" s="67" t="s">
        <v>972</v>
      </c>
      <c r="D818" s="67" t="s">
        <v>5</v>
      </c>
      <c r="E818" s="67" t="s">
        <v>552</v>
      </c>
      <c r="F818" s="34" t="s">
        <v>550</v>
      </c>
      <c r="G818" s="30">
        <f>1196.6+50</f>
        <v>1246.6</v>
      </c>
      <c r="H818" s="30">
        <v>252</v>
      </c>
      <c r="I818" s="30">
        <f t="shared" si="28"/>
        <v>20.21498475854324</v>
      </c>
    </row>
    <row r="819" spans="1:9" ht="28.5" hidden="1">
      <c r="A819" s="26" t="s">
        <v>553</v>
      </c>
      <c r="B819" s="27"/>
      <c r="C819" s="67" t="s">
        <v>972</v>
      </c>
      <c r="D819" s="67" t="s">
        <v>5</v>
      </c>
      <c r="E819" s="67" t="s">
        <v>554</v>
      </c>
      <c r="F819" s="34"/>
      <c r="G819" s="30">
        <f>SUM(G822)</f>
        <v>0</v>
      </c>
      <c r="H819" s="30">
        <f>SUM(H822)</f>
        <v>0</v>
      </c>
      <c r="I819" s="30" t="e">
        <f t="shared" si="28"/>
        <v>#DIV/0!</v>
      </c>
    </row>
    <row r="820" spans="1:9" ht="0.75" customHeight="1" hidden="1">
      <c r="A820" s="26" t="s">
        <v>553</v>
      </c>
      <c r="B820" s="27"/>
      <c r="C820" s="67" t="s">
        <v>972</v>
      </c>
      <c r="D820" s="67" t="s">
        <v>5</v>
      </c>
      <c r="E820" s="67" t="s">
        <v>554</v>
      </c>
      <c r="F820" s="34"/>
      <c r="G820" s="30">
        <f>SUM(G821)</f>
        <v>0</v>
      </c>
      <c r="H820" s="30">
        <f>SUM(H821)</f>
        <v>0</v>
      </c>
      <c r="I820" s="30" t="e">
        <f t="shared" si="28"/>
        <v>#DIV/0!</v>
      </c>
    </row>
    <row r="821" spans="1:9" ht="15" hidden="1">
      <c r="A821" s="26" t="s">
        <v>978</v>
      </c>
      <c r="B821" s="27"/>
      <c r="C821" s="67" t="s">
        <v>972</v>
      </c>
      <c r="D821" s="67" t="s">
        <v>5</v>
      </c>
      <c r="E821" s="67" t="s">
        <v>554</v>
      </c>
      <c r="F821" s="34" t="s">
        <v>979</v>
      </c>
      <c r="G821" s="30"/>
      <c r="H821" s="30"/>
      <c r="I821" s="30" t="e">
        <f t="shared" si="28"/>
        <v>#DIV/0!</v>
      </c>
    </row>
    <row r="822" spans="1:9" ht="28.5" hidden="1">
      <c r="A822" s="26" t="s">
        <v>549</v>
      </c>
      <c r="B822" s="27"/>
      <c r="C822" s="67" t="s">
        <v>972</v>
      </c>
      <c r="D822" s="67" t="s">
        <v>5</v>
      </c>
      <c r="E822" s="67" t="s">
        <v>554</v>
      </c>
      <c r="F822" s="34" t="s">
        <v>550</v>
      </c>
      <c r="G822" s="30"/>
      <c r="H822" s="30"/>
      <c r="I822" s="30" t="e">
        <f t="shared" si="28"/>
        <v>#DIV/0!</v>
      </c>
    </row>
    <row r="823" spans="1:9" ht="28.5">
      <c r="A823" s="26" t="s">
        <v>549</v>
      </c>
      <c r="B823" s="27"/>
      <c r="C823" s="67" t="s">
        <v>972</v>
      </c>
      <c r="D823" s="67" t="s">
        <v>5</v>
      </c>
      <c r="E823" s="67" t="s">
        <v>555</v>
      </c>
      <c r="F823" s="34"/>
      <c r="G823" s="30">
        <f>SUM(G824)</f>
        <v>24239.6</v>
      </c>
      <c r="H823" s="30">
        <f>SUM(H824)</f>
        <v>16711.6</v>
      </c>
      <c r="I823" s="30">
        <f t="shared" si="28"/>
        <v>68.94338190399182</v>
      </c>
    </row>
    <row r="824" spans="1:9" ht="57">
      <c r="A824" s="26" t="s">
        <v>556</v>
      </c>
      <c r="B824" s="27"/>
      <c r="C824" s="67" t="s">
        <v>972</v>
      </c>
      <c r="D824" s="67" t="s">
        <v>5</v>
      </c>
      <c r="E824" s="67" t="s">
        <v>555</v>
      </c>
      <c r="F824" s="34" t="s">
        <v>550</v>
      </c>
      <c r="G824" s="30">
        <f>24039.6+200</f>
        <v>24239.6</v>
      </c>
      <c r="H824" s="30">
        <v>16711.6</v>
      </c>
      <c r="I824" s="30">
        <f t="shared" si="28"/>
        <v>68.94338190399182</v>
      </c>
    </row>
    <row r="825" spans="1:9" ht="20.25" customHeight="1">
      <c r="A825" s="44" t="s">
        <v>557</v>
      </c>
      <c r="B825" s="27"/>
      <c r="C825" s="67" t="s">
        <v>972</v>
      </c>
      <c r="D825" s="67" t="s">
        <v>983</v>
      </c>
      <c r="E825" s="67"/>
      <c r="F825" s="34"/>
      <c r="G825" s="50">
        <f>SUM(G826)+G842+G839</f>
        <v>30205.3</v>
      </c>
      <c r="H825" s="50">
        <f>SUM(H826)</f>
        <v>15109.199999999999</v>
      </c>
      <c r="I825" s="30">
        <f t="shared" si="28"/>
        <v>50.021684936087375</v>
      </c>
    </row>
    <row r="826" spans="1:9" ht="42.75" customHeight="1">
      <c r="A826" s="26" t="s">
        <v>943</v>
      </c>
      <c r="B826" s="27"/>
      <c r="C826" s="28" t="s">
        <v>972</v>
      </c>
      <c r="D826" s="28" t="s">
        <v>983</v>
      </c>
      <c r="E826" s="28" t="s">
        <v>944</v>
      </c>
      <c r="F826" s="29"/>
      <c r="G826" s="30">
        <f>SUM(G827)</f>
        <v>26205.3</v>
      </c>
      <c r="H826" s="30">
        <f>SUM(H827)</f>
        <v>15109.199999999999</v>
      </c>
      <c r="I826" s="30">
        <f t="shared" si="28"/>
        <v>57.657038843287424</v>
      </c>
    </row>
    <row r="827" spans="1:9" ht="15">
      <c r="A827" s="26" t="s">
        <v>951</v>
      </c>
      <c r="B827" s="27"/>
      <c r="C827" s="28" t="s">
        <v>972</v>
      </c>
      <c r="D827" s="28" t="s">
        <v>983</v>
      </c>
      <c r="E827" s="28" t="s">
        <v>953</v>
      </c>
      <c r="F827" s="29"/>
      <c r="G827" s="30">
        <f>SUM(G835+G829+G831+G837+G828)</f>
        <v>26205.3</v>
      </c>
      <c r="H827" s="30">
        <f>SUM(H835+H829+H831+H837+H828)</f>
        <v>15109.199999999999</v>
      </c>
      <c r="I827" s="30">
        <f t="shared" si="28"/>
        <v>57.657038843287424</v>
      </c>
    </row>
    <row r="828" spans="1:9" ht="27.75" customHeight="1">
      <c r="A828" s="44" t="s">
        <v>947</v>
      </c>
      <c r="B828" s="90"/>
      <c r="C828" s="28" t="s">
        <v>972</v>
      </c>
      <c r="D828" s="28" t="s">
        <v>983</v>
      </c>
      <c r="E828" s="28" t="s">
        <v>953</v>
      </c>
      <c r="F828" s="91" t="s">
        <v>948</v>
      </c>
      <c r="G828" s="30">
        <f>2223.4-37.6</f>
        <v>2185.8</v>
      </c>
      <c r="H828" s="30">
        <v>227.6</v>
      </c>
      <c r="I828" s="30">
        <f t="shared" si="28"/>
        <v>10.412663555677554</v>
      </c>
    </row>
    <row r="829" spans="1:9" ht="49.5" customHeight="1" hidden="1">
      <c r="A829" s="44" t="s">
        <v>558</v>
      </c>
      <c r="B829" s="90"/>
      <c r="C829" s="28" t="s">
        <v>972</v>
      </c>
      <c r="D829" s="28" t="s">
        <v>983</v>
      </c>
      <c r="E829" s="28" t="s">
        <v>559</v>
      </c>
      <c r="F829" s="91"/>
      <c r="G829" s="30">
        <f>SUM(G830)</f>
        <v>0</v>
      </c>
      <c r="H829" s="30">
        <f>SUM(H830)</f>
        <v>0</v>
      </c>
      <c r="I829" s="30" t="e">
        <f t="shared" si="28"/>
        <v>#DIV/0!</v>
      </c>
    </row>
    <row r="830" spans="1:9" ht="31.5" customHeight="1" hidden="1">
      <c r="A830" s="44" t="s">
        <v>947</v>
      </c>
      <c r="B830" s="90"/>
      <c r="C830" s="28" t="s">
        <v>972</v>
      </c>
      <c r="D830" s="28" t="s">
        <v>983</v>
      </c>
      <c r="E830" s="28" t="s">
        <v>559</v>
      </c>
      <c r="F830" s="91" t="s">
        <v>948</v>
      </c>
      <c r="G830" s="30"/>
      <c r="H830" s="30"/>
      <c r="I830" s="30" t="e">
        <f t="shared" si="28"/>
        <v>#DIV/0!</v>
      </c>
    </row>
    <row r="831" spans="1:9" s="82" customFormat="1" ht="32.25" customHeight="1">
      <c r="A831" s="44" t="s">
        <v>560</v>
      </c>
      <c r="B831" s="90"/>
      <c r="C831" s="28" t="s">
        <v>972</v>
      </c>
      <c r="D831" s="28" t="s">
        <v>983</v>
      </c>
      <c r="E831" s="28" t="s">
        <v>561</v>
      </c>
      <c r="F831" s="91"/>
      <c r="G831" s="30">
        <f>SUM(G832)</f>
        <v>4033.7</v>
      </c>
      <c r="H831" s="30">
        <f>SUM(H832)</f>
        <v>2507.7</v>
      </c>
      <c r="I831" s="30">
        <f t="shared" si="28"/>
        <v>62.168728462701736</v>
      </c>
    </row>
    <row r="832" spans="1:9" s="82" customFormat="1" ht="29.25" customHeight="1">
      <c r="A832" s="44" t="s">
        <v>947</v>
      </c>
      <c r="B832" s="48"/>
      <c r="C832" s="28" t="s">
        <v>972</v>
      </c>
      <c r="D832" s="28" t="s">
        <v>983</v>
      </c>
      <c r="E832" s="28" t="s">
        <v>561</v>
      </c>
      <c r="F832" s="91" t="s">
        <v>948</v>
      </c>
      <c r="G832" s="30">
        <v>4033.7</v>
      </c>
      <c r="H832" s="30">
        <v>2507.7</v>
      </c>
      <c r="I832" s="30">
        <f t="shared" si="28"/>
        <v>62.168728462701736</v>
      </c>
    </row>
    <row r="833" spans="1:9" s="82" customFormat="1" ht="45.75" customHeight="1" hidden="1">
      <c r="A833" s="44" t="s">
        <v>562</v>
      </c>
      <c r="B833" s="48"/>
      <c r="C833" s="28" t="s">
        <v>972</v>
      </c>
      <c r="D833" s="28" t="s">
        <v>983</v>
      </c>
      <c r="E833" s="28" t="s">
        <v>563</v>
      </c>
      <c r="F833" s="91"/>
      <c r="G833" s="30"/>
      <c r="H833" s="30"/>
      <c r="I833" s="30" t="e">
        <f t="shared" si="28"/>
        <v>#DIV/0!</v>
      </c>
    </row>
    <row r="834" spans="1:9" ht="15.75" customHeight="1" hidden="1">
      <c r="A834" s="44" t="s">
        <v>947</v>
      </c>
      <c r="B834" s="90"/>
      <c r="C834" s="28" t="s">
        <v>972</v>
      </c>
      <c r="D834" s="28" t="s">
        <v>983</v>
      </c>
      <c r="E834" s="28" t="s">
        <v>563</v>
      </c>
      <c r="F834" s="91" t="s">
        <v>948</v>
      </c>
      <c r="G834" s="30">
        <f>2956.3+101.6</f>
        <v>3057.9</v>
      </c>
      <c r="H834" s="30">
        <f>2956.3+101.6</f>
        <v>3057.9</v>
      </c>
      <c r="I834" s="30">
        <f t="shared" si="28"/>
        <v>100</v>
      </c>
    </row>
    <row r="835" spans="1:9" ht="49.5" customHeight="1">
      <c r="A835" s="44" t="s">
        <v>558</v>
      </c>
      <c r="B835" s="90"/>
      <c r="C835" s="28" t="s">
        <v>972</v>
      </c>
      <c r="D835" s="28" t="s">
        <v>983</v>
      </c>
      <c r="E835" s="28" t="s">
        <v>559</v>
      </c>
      <c r="F835" s="91"/>
      <c r="G835" s="30">
        <f>SUM(G836)</f>
        <v>16521.8</v>
      </c>
      <c r="H835" s="30">
        <f>SUM(H836)</f>
        <v>10267.1</v>
      </c>
      <c r="I835" s="30">
        <f t="shared" si="28"/>
        <v>62.14274473725624</v>
      </c>
    </row>
    <row r="836" spans="1:9" ht="31.5" customHeight="1">
      <c r="A836" s="44" t="s">
        <v>947</v>
      </c>
      <c r="B836" s="90"/>
      <c r="C836" s="28" t="s">
        <v>972</v>
      </c>
      <c r="D836" s="28" t="s">
        <v>983</v>
      </c>
      <c r="E836" s="28" t="s">
        <v>559</v>
      </c>
      <c r="F836" s="91" t="s">
        <v>948</v>
      </c>
      <c r="G836" s="30">
        <f>16396.8+125</f>
        <v>16521.8</v>
      </c>
      <c r="H836" s="30">
        <v>10267.1</v>
      </c>
      <c r="I836" s="30">
        <f t="shared" si="28"/>
        <v>62.14274473725624</v>
      </c>
    </row>
    <row r="837" spans="1:9" s="82" customFormat="1" ht="45.75" customHeight="1">
      <c r="A837" s="44" t="s">
        <v>562</v>
      </c>
      <c r="B837" s="48"/>
      <c r="C837" s="28" t="s">
        <v>972</v>
      </c>
      <c r="D837" s="28" t="s">
        <v>983</v>
      </c>
      <c r="E837" s="28" t="s">
        <v>564</v>
      </c>
      <c r="F837" s="91"/>
      <c r="G837" s="30">
        <f>SUM(G838)</f>
        <v>3464</v>
      </c>
      <c r="H837" s="30">
        <f>SUM(H838)</f>
        <v>2106.8</v>
      </c>
      <c r="I837" s="30">
        <f t="shared" si="28"/>
        <v>60.81986143187067</v>
      </c>
    </row>
    <row r="838" spans="1:9" ht="32.25" customHeight="1">
      <c r="A838" s="44" t="s">
        <v>947</v>
      </c>
      <c r="B838" s="90"/>
      <c r="C838" s="28" t="s">
        <v>972</v>
      </c>
      <c r="D838" s="28" t="s">
        <v>983</v>
      </c>
      <c r="E838" s="28" t="s">
        <v>564</v>
      </c>
      <c r="F838" s="91" t="s">
        <v>948</v>
      </c>
      <c r="G838" s="30">
        <v>3464</v>
      </c>
      <c r="H838" s="30">
        <v>2106.8</v>
      </c>
      <c r="I838" s="30">
        <f t="shared" si="28"/>
        <v>60.81986143187067</v>
      </c>
    </row>
    <row r="839" spans="1:9" ht="22.5" customHeight="1">
      <c r="A839" s="26" t="s">
        <v>67</v>
      </c>
      <c r="B839" s="36"/>
      <c r="C839" s="28" t="s">
        <v>972</v>
      </c>
      <c r="D839" s="28" t="s">
        <v>983</v>
      </c>
      <c r="E839" s="28" t="s">
        <v>68</v>
      </c>
      <c r="F839" s="91"/>
      <c r="G839" s="30">
        <f>SUM(G840)</f>
        <v>3000</v>
      </c>
      <c r="H839" s="30"/>
      <c r="I839" s="30"/>
    </row>
    <row r="840" spans="1:9" ht="77.25" customHeight="1">
      <c r="A840" s="44" t="s">
        <v>565</v>
      </c>
      <c r="B840" s="90"/>
      <c r="C840" s="28" t="s">
        <v>972</v>
      </c>
      <c r="D840" s="28" t="s">
        <v>983</v>
      </c>
      <c r="E840" s="28" t="s">
        <v>566</v>
      </c>
      <c r="F840" s="91"/>
      <c r="G840" s="30">
        <f>SUM(G841)</f>
        <v>3000</v>
      </c>
      <c r="H840" s="30"/>
      <c r="I840" s="30"/>
    </row>
    <row r="841" spans="1:9" ht="32.25" customHeight="1">
      <c r="A841" s="44" t="s">
        <v>947</v>
      </c>
      <c r="B841" s="90"/>
      <c r="C841" s="28" t="s">
        <v>972</v>
      </c>
      <c r="D841" s="28" t="s">
        <v>983</v>
      </c>
      <c r="E841" s="28" t="s">
        <v>566</v>
      </c>
      <c r="F841" s="91" t="s">
        <v>948</v>
      </c>
      <c r="G841" s="30">
        <v>3000</v>
      </c>
      <c r="H841" s="30"/>
      <c r="I841" s="30"/>
    </row>
    <row r="842" spans="1:9" ht="18.75" customHeight="1">
      <c r="A842" s="26" t="s">
        <v>20</v>
      </c>
      <c r="B842" s="27"/>
      <c r="C842" s="28" t="s">
        <v>972</v>
      </c>
      <c r="D842" s="28" t="s">
        <v>983</v>
      </c>
      <c r="E842" s="28" t="s">
        <v>21</v>
      </c>
      <c r="F842" s="29"/>
      <c r="G842" s="30">
        <f>SUM(G843)</f>
        <v>1000</v>
      </c>
      <c r="H842" s="30"/>
      <c r="I842" s="30"/>
    </row>
    <row r="843" spans="1:9" ht="72" customHeight="1">
      <c r="A843" s="44" t="s">
        <v>567</v>
      </c>
      <c r="B843" s="90"/>
      <c r="C843" s="28" t="s">
        <v>972</v>
      </c>
      <c r="D843" s="28" t="s">
        <v>983</v>
      </c>
      <c r="E843" s="28" t="s">
        <v>568</v>
      </c>
      <c r="F843" s="91"/>
      <c r="G843" s="30">
        <f>SUM(G844)</f>
        <v>1000</v>
      </c>
      <c r="H843" s="30"/>
      <c r="I843" s="30"/>
    </row>
    <row r="844" spans="1:9" ht="32.25" customHeight="1">
      <c r="A844" s="44" t="s">
        <v>947</v>
      </c>
      <c r="B844" s="90"/>
      <c r="C844" s="28" t="s">
        <v>972</v>
      </c>
      <c r="D844" s="28" t="s">
        <v>983</v>
      </c>
      <c r="E844" s="28" t="s">
        <v>568</v>
      </c>
      <c r="F844" s="91" t="s">
        <v>948</v>
      </c>
      <c r="G844" s="30">
        <v>1000</v>
      </c>
      <c r="H844" s="30"/>
      <c r="I844" s="30"/>
    </row>
    <row r="845" spans="1:9" ht="30.75" customHeight="1">
      <c r="A845" s="35" t="s">
        <v>575</v>
      </c>
      <c r="B845" s="36" t="s">
        <v>576</v>
      </c>
      <c r="C845" s="75"/>
      <c r="D845" s="85"/>
      <c r="E845" s="85"/>
      <c r="F845" s="86"/>
      <c r="G845" s="37">
        <f>SUM(G846+G860+G876+G903)+G940+G898</f>
        <v>77808.4</v>
      </c>
      <c r="H845" s="37" t="e">
        <f>SUM(H893+#REF!)</f>
        <v>#REF!</v>
      </c>
      <c r="I845" s="30" t="e">
        <f t="shared" si="28"/>
        <v>#REF!</v>
      </c>
    </row>
    <row r="846" spans="1:9" ht="18.75" customHeight="1">
      <c r="A846" s="26" t="s">
        <v>939</v>
      </c>
      <c r="B846" s="27"/>
      <c r="C846" s="28" t="s">
        <v>940</v>
      </c>
      <c r="D846" s="28"/>
      <c r="E846" s="28"/>
      <c r="F846" s="29"/>
      <c r="G846" s="30">
        <f>SUM(G847+G851)</f>
        <v>31919.5</v>
      </c>
      <c r="H846" s="37"/>
      <c r="I846" s="30"/>
    </row>
    <row r="847" spans="1:9" ht="45" customHeight="1">
      <c r="A847" s="26" t="s">
        <v>250</v>
      </c>
      <c r="B847" s="27"/>
      <c r="C847" s="28" t="s">
        <v>940</v>
      </c>
      <c r="D847" s="28" t="s">
        <v>5</v>
      </c>
      <c r="E847" s="28"/>
      <c r="F847" s="29"/>
      <c r="G847" s="30">
        <f>SUM(G848)</f>
        <v>27000</v>
      </c>
      <c r="H847" s="37"/>
      <c r="I847" s="30"/>
    </row>
    <row r="848" spans="1:9" ht="42.75" customHeight="1">
      <c r="A848" s="26" t="s">
        <v>943</v>
      </c>
      <c r="B848" s="27"/>
      <c r="C848" s="28" t="s">
        <v>940</v>
      </c>
      <c r="D848" s="28" t="s">
        <v>5</v>
      </c>
      <c r="E848" s="28" t="s">
        <v>944</v>
      </c>
      <c r="F848" s="29"/>
      <c r="G848" s="30">
        <f>SUM(G849)</f>
        <v>27000</v>
      </c>
      <c r="H848" s="37"/>
      <c r="I848" s="30"/>
    </row>
    <row r="849" spans="1:9" ht="20.25" customHeight="1">
      <c r="A849" s="26" t="s">
        <v>951</v>
      </c>
      <c r="B849" s="27"/>
      <c r="C849" s="28" t="s">
        <v>940</v>
      </c>
      <c r="D849" s="28" t="s">
        <v>5</v>
      </c>
      <c r="E849" s="28" t="s">
        <v>953</v>
      </c>
      <c r="F849" s="29"/>
      <c r="G849" s="30">
        <f>SUM(G850)</f>
        <v>27000</v>
      </c>
      <c r="H849" s="37"/>
      <c r="I849" s="30"/>
    </row>
    <row r="850" spans="1:9" ht="30.75" customHeight="1">
      <c r="A850" s="26" t="s">
        <v>947</v>
      </c>
      <c r="B850" s="27"/>
      <c r="C850" s="28" t="s">
        <v>940</v>
      </c>
      <c r="D850" s="28" t="s">
        <v>5</v>
      </c>
      <c r="E850" s="28" t="s">
        <v>953</v>
      </c>
      <c r="F850" s="29" t="s">
        <v>948</v>
      </c>
      <c r="G850" s="30">
        <f>28122.1-1122.1</f>
        <v>27000</v>
      </c>
      <c r="H850" s="37"/>
      <c r="I850" s="30"/>
    </row>
    <row r="851" spans="1:9" ht="18.75" customHeight="1">
      <c r="A851" s="26" t="s">
        <v>956</v>
      </c>
      <c r="B851" s="27"/>
      <c r="C851" s="28" t="s">
        <v>940</v>
      </c>
      <c r="D851" s="28" t="s">
        <v>957</v>
      </c>
      <c r="E851" s="28"/>
      <c r="F851" s="29"/>
      <c r="G851" s="30">
        <f>SUM(G852+G855)</f>
        <v>4919.500000000001</v>
      </c>
      <c r="H851" s="30" t="e">
        <f>SUM(H852+H892+#REF!+#REF!+#REF!+#REF!+#REF!)+H857+H855</f>
        <v>#REF!</v>
      </c>
      <c r="I851" s="30" t="e">
        <f aca="true" t="shared" si="29" ref="I851:I860">SUM(H851/G851*100)</f>
        <v>#REF!</v>
      </c>
    </row>
    <row r="852" spans="1:9" ht="42.75">
      <c r="A852" s="31" t="s">
        <v>283</v>
      </c>
      <c r="B852" s="27"/>
      <c r="C852" s="28" t="s">
        <v>940</v>
      </c>
      <c r="D852" s="28" t="s">
        <v>957</v>
      </c>
      <c r="E852" s="28" t="s">
        <v>284</v>
      </c>
      <c r="F852" s="29"/>
      <c r="G852" s="30">
        <f>SUM(G853)</f>
        <v>4265.000000000001</v>
      </c>
      <c r="H852" s="30">
        <f>SUM(H853)</f>
        <v>2749.5</v>
      </c>
      <c r="I852" s="30">
        <f t="shared" si="29"/>
        <v>64.46658851113715</v>
      </c>
    </row>
    <row r="853" spans="1:9" ht="42.75">
      <c r="A853" s="31" t="s">
        <v>285</v>
      </c>
      <c r="B853" s="27"/>
      <c r="C853" s="28" t="s">
        <v>940</v>
      </c>
      <c r="D853" s="28" t="s">
        <v>957</v>
      </c>
      <c r="E853" s="28" t="s">
        <v>286</v>
      </c>
      <c r="F853" s="29"/>
      <c r="G853" s="30">
        <f>SUM(G854)</f>
        <v>4265.000000000001</v>
      </c>
      <c r="H853" s="30">
        <f>SUM(H854)</f>
        <v>2749.5</v>
      </c>
      <c r="I853" s="30">
        <f t="shared" si="29"/>
        <v>64.46658851113715</v>
      </c>
    </row>
    <row r="854" spans="1:9" ht="27" customHeight="1">
      <c r="A854" s="26" t="s">
        <v>947</v>
      </c>
      <c r="B854" s="27"/>
      <c r="C854" s="28" t="s">
        <v>940</v>
      </c>
      <c r="D854" s="28" t="s">
        <v>957</v>
      </c>
      <c r="E854" s="28" t="s">
        <v>286</v>
      </c>
      <c r="F854" s="29" t="s">
        <v>948</v>
      </c>
      <c r="G854" s="30">
        <f>7495.8-2223.5-975.4-31.9</f>
        <v>4265.000000000001</v>
      </c>
      <c r="H854" s="30">
        <v>2749.5</v>
      </c>
      <c r="I854" s="30">
        <f t="shared" si="29"/>
        <v>64.46658851113715</v>
      </c>
    </row>
    <row r="855" spans="1:9" ht="27" customHeight="1">
      <c r="A855" s="26" t="s">
        <v>958</v>
      </c>
      <c r="B855" s="27"/>
      <c r="C855" s="28" t="s">
        <v>940</v>
      </c>
      <c r="D855" s="28" t="s">
        <v>957</v>
      </c>
      <c r="E855" s="28" t="s">
        <v>959</v>
      </c>
      <c r="F855" s="29"/>
      <c r="G855" s="30">
        <f>SUM(G856+G858)</f>
        <v>654.5</v>
      </c>
      <c r="H855" s="30">
        <f>SUM(H856)</f>
        <v>0</v>
      </c>
      <c r="I855" s="30">
        <f t="shared" si="29"/>
        <v>0</v>
      </c>
    </row>
    <row r="856" spans="1:9" ht="22.5" customHeight="1">
      <c r="A856" s="26" t="s">
        <v>960</v>
      </c>
      <c r="B856" s="27"/>
      <c r="C856" s="28" t="s">
        <v>940</v>
      </c>
      <c r="D856" s="28" t="s">
        <v>957</v>
      </c>
      <c r="E856" s="28" t="s">
        <v>961</v>
      </c>
      <c r="F856" s="29"/>
      <c r="G856" s="30">
        <f>SUM(G857)</f>
        <v>154.6</v>
      </c>
      <c r="H856" s="30"/>
      <c r="I856" s="30">
        <f t="shared" si="29"/>
        <v>0</v>
      </c>
    </row>
    <row r="857" spans="1:9" ht="27" customHeight="1">
      <c r="A857" s="26" t="s">
        <v>947</v>
      </c>
      <c r="B857" s="27"/>
      <c r="C857" s="28" t="s">
        <v>940</v>
      </c>
      <c r="D857" s="28" t="s">
        <v>957</v>
      </c>
      <c r="E857" s="28" t="s">
        <v>961</v>
      </c>
      <c r="F857" s="29" t="s">
        <v>948</v>
      </c>
      <c r="G857" s="30">
        <f>423.9-267.4-1.9</f>
        <v>154.6</v>
      </c>
      <c r="H857" s="30" t="e">
        <f>SUM(#REF!)</f>
        <v>#REF!</v>
      </c>
      <c r="I857" s="30" t="e">
        <f t="shared" si="29"/>
        <v>#REF!</v>
      </c>
    </row>
    <row r="858" spans="1:9" ht="27" customHeight="1">
      <c r="A858" s="26" t="s">
        <v>577</v>
      </c>
      <c r="B858" s="27"/>
      <c r="C858" s="28" t="s">
        <v>940</v>
      </c>
      <c r="D858" s="28" t="s">
        <v>957</v>
      </c>
      <c r="E858" s="28" t="s">
        <v>578</v>
      </c>
      <c r="F858" s="29"/>
      <c r="G858" s="30">
        <f>SUM(G859)</f>
        <v>499.9</v>
      </c>
      <c r="H858" s="30"/>
      <c r="I858" s="30"/>
    </row>
    <row r="859" spans="1:9" ht="29.25" customHeight="1">
      <c r="A859" s="26" t="s">
        <v>947</v>
      </c>
      <c r="B859" s="27"/>
      <c r="C859" s="28" t="s">
        <v>940</v>
      </c>
      <c r="D859" s="28" t="s">
        <v>957</v>
      </c>
      <c r="E859" s="28" t="s">
        <v>578</v>
      </c>
      <c r="F859" s="29" t="s">
        <v>948</v>
      </c>
      <c r="G859" s="30">
        <f>2735.6-2235.6-0.1</f>
        <v>499.9</v>
      </c>
      <c r="H859" s="30"/>
      <c r="I859" s="30"/>
    </row>
    <row r="860" spans="1:9" s="4" customFormat="1" ht="24.75" customHeight="1">
      <c r="A860" s="44" t="s">
        <v>4</v>
      </c>
      <c r="B860" s="70"/>
      <c r="C860" s="67" t="s">
        <v>5</v>
      </c>
      <c r="D860" s="67"/>
      <c r="E860" s="67"/>
      <c r="F860" s="34"/>
      <c r="G860" s="50">
        <f>SUM(G867+G861)</f>
        <v>7240.2</v>
      </c>
      <c r="H860" s="50" t="e">
        <f>SUM(H867+#REF!)</f>
        <v>#REF!</v>
      </c>
      <c r="I860" s="50" t="e">
        <f t="shared" si="29"/>
        <v>#REF!</v>
      </c>
    </row>
    <row r="861" spans="1:9" s="4" customFormat="1" ht="15">
      <c r="A861" s="44" t="s">
        <v>6</v>
      </c>
      <c r="B861" s="70"/>
      <c r="C861" s="67" t="s">
        <v>5</v>
      </c>
      <c r="D861" s="67" t="s">
        <v>7</v>
      </c>
      <c r="E861" s="67"/>
      <c r="F861" s="34"/>
      <c r="G861" s="50">
        <f>SUM(G862,G864)</f>
        <v>458</v>
      </c>
      <c r="H861" s="50"/>
      <c r="I861" s="50"/>
    </row>
    <row r="862" spans="1:9" ht="31.5" customHeight="1">
      <c r="A862" s="26" t="s">
        <v>8</v>
      </c>
      <c r="B862" s="39"/>
      <c r="C862" s="40" t="s">
        <v>5</v>
      </c>
      <c r="D862" s="40" t="s">
        <v>7</v>
      </c>
      <c r="E862" s="40" t="s">
        <v>9</v>
      </c>
      <c r="F862" s="41"/>
      <c r="G862" s="42">
        <f>SUM(G863)</f>
        <v>286.2</v>
      </c>
      <c r="H862" s="30"/>
      <c r="I862" s="30"/>
    </row>
    <row r="863" spans="1:9" ht="17.25" customHeight="1">
      <c r="A863" s="26" t="s">
        <v>10</v>
      </c>
      <c r="B863" s="39"/>
      <c r="C863" s="40" t="s">
        <v>5</v>
      </c>
      <c r="D863" s="40" t="s">
        <v>7</v>
      </c>
      <c r="E863" s="40" t="s">
        <v>9</v>
      </c>
      <c r="F863" s="41" t="s">
        <v>948</v>
      </c>
      <c r="G863" s="42">
        <f>295-8.8</f>
        <v>286.2</v>
      </c>
      <c r="H863" s="30"/>
      <c r="I863" s="30"/>
    </row>
    <row r="864" spans="1:9" ht="16.5" customHeight="1">
      <c r="A864" s="26" t="s">
        <v>12</v>
      </c>
      <c r="B864" s="39"/>
      <c r="C864" s="40" t="s">
        <v>5</v>
      </c>
      <c r="D864" s="40" t="s">
        <v>7</v>
      </c>
      <c r="E864" s="40" t="s">
        <v>13</v>
      </c>
      <c r="F864" s="41"/>
      <c r="G864" s="42">
        <f>SUM(G865)</f>
        <v>171.8</v>
      </c>
      <c r="H864" s="30"/>
      <c r="I864" s="30"/>
    </row>
    <row r="865" spans="1:9" ht="22.5" customHeight="1">
      <c r="A865" s="26" t="s">
        <v>579</v>
      </c>
      <c r="B865" s="39"/>
      <c r="C865" s="40" t="s">
        <v>5</v>
      </c>
      <c r="D865" s="40" t="s">
        <v>7</v>
      </c>
      <c r="E865" s="40" t="s">
        <v>580</v>
      </c>
      <c r="F865" s="41"/>
      <c r="G865" s="42">
        <f>SUM(G866)</f>
        <v>171.8</v>
      </c>
      <c r="H865" s="30"/>
      <c r="I865" s="30"/>
    </row>
    <row r="866" spans="1:9" ht="28.5" customHeight="1">
      <c r="A866" s="26" t="s">
        <v>947</v>
      </c>
      <c r="B866" s="39"/>
      <c r="C866" s="40" t="s">
        <v>5</v>
      </c>
      <c r="D866" s="40" t="s">
        <v>7</v>
      </c>
      <c r="E866" s="40" t="s">
        <v>580</v>
      </c>
      <c r="F866" s="41" t="s">
        <v>948</v>
      </c>
      <c r="G866" s="42">
        <f>177-5.2</f>
        <v>171.8</v>
      </c>
      <c r="H866" s="30"/>
      <c r="I866" s="30"/>
    </row>
    <row r="867" spans="1:9" ht="19.5" customHeight="1">
      <c r="A867" s="26" t="s">
        <v>18</v>
      </c>
      <c r="B867" s="27"/>
      <c r="C867" s="28" t="s">
        <v>5</v>
      </c>
      <c r="D867" s="28" t="s">
        <v>19</v>
      </c>
      <c r="E867" s="28"/>
      <c r="F867" s="29"/>
      <c r="G867" s="30">
        <f>SUM(G868+G873)</f>
        <v>6782.2</v>
      </c>
      <c r="H867" s="30" t="e">
        <f>SUM(H871+H873+#REF!+H868)</f>
        <v>#REF!</v>
      </c>
      <c r="I867" s="30" t="e">
        <f aca="true" t="shared" si="30" ref="I867:I875">SUM(H867/G867*100)</f>
        <v>#REF!</v>
      </c>
    </row>
    <row r="868" spans="1:9" ht="0.75" customHeight="1" hidden="1">
      <c r="A868" s="26" t="s">
        <v>51</v>
      </c>
      <c r="B868" s="28"/>
      <c r="C868" s="28" t="s">
        <v>5</v>
      </c>
      <c r="D868" s="28" t="s">
        <v>19</v>
      </c>
      <c r="E868" s="28" t="s">
        <v>52</v>
      </c>
      <c r="F868" s="29"/>
      <c r="G868" s="30">
        <f>SUM(G870)</f>
        <v>0</v>
      </c>
      <c r="H868" s="30">
        <f>SUM(H870)</f>
        <v>0</v>
      </c>
      <c r="I868" s="30" t="e">
        <f t="shared" si="30"/>
        <v>#DIV/0!</v>
      </c>
    </row>
    <row r="869" spans="1:9" ht="27" customHeight="1" hidden="1">
      <c r="A869" s="26" t="s">
        <v>53</v>
      </c>
      <c r="B869" s="28"/>
      <c r="C869" s="28" t="s">
        <v>5</v>
      </c>
      <c r="D869" s="28" t="s">
        <v>19</v>
      </c>
      <c r="E869" s="57" t="s">
        <v>54</v>
      </c>
      <c r="F869" s="29"/>
      <c r="G869" s="30">
        <f>SUM(G870)</f>
        <v>0</v>
      </c>
      <c r="H869" s="30">
        <f>SUM(H870)</f>
        <v>0</v>
      </c>
      <c r="I869" s="30" t="e">
        <f t="shared" si="30"/>
        <v>#DIV/0!</v>
      </c>
    </row>
    <row r="870" spans="1:9" ht="18" customHeight="1" hidden="1">
      <c r="A870" s="26" t="s">
        <v>41</v>
      </c>
      <c r="B870" s="28"/>
      <c r="C870" s="28" t="s">
        <v>5</v>
      </c>
      <c r="D870" s="28" t="s">
        <v>19</v>
      </c>
      <c r="E870" s="57" t="s">
        <v>54</v>
      </c>
      <c r="F870" s="29" t="s">
        <v>42</v>
      </c>
      <c r="G870" s="30"/>
      <c r="H870" s="30"/>
      <c r="I870" s="30" t="e">
        <f t="shared" si="30"/>
        <v>#DIV/0!</v>
      </c>
    </row>
    <row r="871" spans="1:9" ht="20.25" customHeight="1" hidden="1">
      <c r="A871" s="60" t="s">
        <v>326</v>
      </c>
      <c r="B871" s="28"/>
      <c r="C871" s="28" t="s">
        <v>5</v>
      </c>
      <c r="D871" s="28" t="s">
        <v>19</v>
      </c>
      <c r="E871" s="28" t="s">
        <v>327</v>
      </c>
      <c r="F871" s="29"/>
      <c r="G871" s="30">
        <f>SUM(G872)</f>
        <v>0</v>
      </c>
      <c r="H871" s="30">
        <f>SUM(H872)</f>
        <v>0</v>
      </c>
      <c r="I871" s="30" t="e">
        <f t="shared" si="30"/>
        <v>#DIV/0!</v>
      </c>
    </row>
    <row r="872" spans="1:9" ht="28.5" customHeight="1" hidden="1">
      <c r="A872" s="26" t="s">
        <v>947</v>
      </c>
      <c r="B872" s="28"/>
      <c r="C872" s="28" t="s">
        <v>5</v>
      </c>
      <c r="D872" s="28" t="s">
        <v>19</v>
      </c>
      <c r="E872" s="28" t="s">
        <v>327</v>
      </c>
      <c r="F872" s="29" t="s">
        <v>948</v>
      </c>
      <c r="G872" s="30"/>
      <c r="H872" s="30"/>
      <c r="I872" s="30" t="e">
        <f t="shared" si="30"/>
        <v>#DIV/0!</v>
      </c>
    </row>
    <row r="873" spans="1:9" ht="28.5">
      <c r="A873" s="26" t="s">
        <v>328</v>
      </c>
      <c r="B873" s="27"/>
      <c r="C873" s="28" t="s">
        <v>5</v>
      </c>
      <c r="D873" s="28" t="s">
        <v>19</v>
      </c>
      <c r="E873" s="28" t="s">
        <v>329</v>
      </c>
      <c r="F873" s="29"/>
      <c r="G873" s="30">
        <f>SUM(G874)</f>
        <v>6782.2</v>
      </c>
      <c r="H873" s="30">
        <f>SUM(H874)</f>
        <v>200</v>
      </c>
      <c r="I873" s="30">
        <f t="shared" si="30"/>
        <v>2.948895638583351</v>
      </c>
    </row>
    <row r="874" spans="1:9" ht="28.5">
      <c r="A874" s="26" t="s">
        <v>330</v>
      </c>
      <c r="B874" s="27"/>
      <c r="C874" s="28" t="s">
        <v>5</v>
      </c>
      <c r="D874" s="28" t="s">
        <v>19</v>
      </c>
      <c r="E874" s="28" t="s">
        <v>331</v>
      </c>
      <c r="F874" s="29"/>
      <c r="G874" s="30">
        <f>SUM(G875)</f>
        <v>6782.2</v>
      </c>
      <c r="H874" s="30">
        <f>SUM(H875)</f>
        <v>200</v>
      </c>
      <c r="I874" s="30">
        <f t="shared" si="30"/>
        <v>2.948895638583351</v>
      </c>
    </row>
    <row r="875" spans="1:9" ht="29.25" customHeight="1">
      <c r="A875" s="26" t="s">
        <v>947</v>
      </c>
      <c r="B875" s="27"/>
      <c r="C875" s="28" t="s">
        <v>5</v>
      </c>
      <c r="D875" s="28" t="s">
        <v>19</v>
      </c>
      <c r="E875" s="28" t="s">
        <v>331</v>
      </c>
      <c r="F875" s="29" t="s">
        <v>948</v>
      </c>
      <c r="G875" s="30">
        <f>7448.7-260.2-406.3</f>
        <v>6782.2</v>
      </c>
      <c r="H875" s="30">
        <v>200</v>
      </c>
      <c r="I875" s="30">
        <f t="shared" si="30"/>
        <v>2.948895638583351</v>
      </c>
    </row>
    <row r="876" spans="1:9" s="43" customFormat="1" ht="19.5" customHeight="1">
      <c r="A876" s="26" t="s">
        <v>30</v>
      </c>
      <c r="B876" s="27"/>
      <c r="C876" s="28" t="s">
        <v>31</v>
      </c>
      <c r="D876" s="28"/>
      <c r="E876" s="28"/>
      <c r="F876" s="29"/>
      <c r="G876" s="30">
        <f>SUM(G888,G877)</f>
        <v>7866.400000000001</v>
      </c>
      <c r="H876" s="30" t="e">
        <f>SUM(#REF!+H1053+H1085+H1108)</f>
        <v>#REF!</v>
      </c>
      <c r="I876" s="30" t="e">
        <f aca="true" t="shared" si="31" ref="I876:I883">SUM(H876/G876*100)</f>
        <v>#REF!</v>
      </c>
    </row>
    <row r="877" spans="1:9" ht="21" customHeight="1">
      <c r="A877" s="26" t="s">
        <v>32</v>
      </c>
      <c r="B877" s="27"/>
      <c r="C877" s="28" t="s">
        <v>31</v>
      </c>
      <c r="D877" s="28" t="s">
        <v>940</v>
      </c>
      <c r="E877" s="28"/>
      <c r="F877" s="29"/>
      <c r="G877" s="30">
        <f>SUM(G878,G886)</f>
        <v>3684.4000000000005</v>
      </c>
      <c r="H877" s="30" t="e">
        <f>SUM(#REF!+H1010)+#REF!+H1001+H880</f>
        <v>#REF!</v>
      </c>
      <c r="I877" s="30" t="e">
        <f t="shared" si="31"/>
        <v>#REF!</v>
      </c>
    </row>
    <row r="878" spans="1:9" ht="27" customHeight="1" hidden="1">
      <c r="A878" s="44" t="s">
        <v>581</v>
      </c>
      <c r="B878" s="45"/>
      <c r="C878" s="28" t="s">
        <v>31</v>
      </c>
      <c r="D878" s="28" t="s">
        <v>940</v>
      </c>
      <c r="E878" s="28" t="s">
        <v>34</v>
      </c>
      <c r="F878" s="29"/>
      <c r="G878" s="30">
        <f>SUM(G879+G882)</f>
        <v>0</v>
      </c>
      <c r="H878" s="30" t="e">
        <f>SUM(H879+H892)</f>
        <v>#REF!</v>
      </c>
      <c r="I878" s="30" t="e">
        <f t="shared" si="31"/>
        <v>#REF!</v>
      </c>
    </row>
    <row r="879" spans="1:9" ht="45" customHeight="1" hidden="1">
      <c r="A879" s="60" t="s">
        <v>582</v>
      </c>
      <c r="B879" s="27"/>
      <c r="C879" s="28" t="s">
        <v>31</v>
      </c>
      <c r="D879" s="28" t="s">
        <v>940</v>
      </c>
      <c r="E879" s="28" t="s">
        <v>36</v>
      </c>
      <c r="F879" s="29"/>
      <c r="G879" s="30">
        <f>SUM(G880)</f>
        <v>0</v>
      </c>
      <c r="H879" s="30" t="e">
        <f>SUM(#REF!)</f>
        <v>#REF!</v>
      </c>
      <c r="I879" s="30" t="e">
        <f t="shared" si="31"/>
        <v>#REF!</v>
      </c>
    </row>
    <row r="880" spans="1:9" ht="75" customHeight="1" hidden="1">
      <c r="A880" s="60" t="s">
        <v>583</v>
      </c>
      <c r="B880" s="27"/>
      <c r="C880" s="28" t="s">
        <v>31</v>
      </c>
      <c r="D880" s="28" t="s">
        <v>940</v>
      </c>
      <c r="E880" s="28" t="s">
        <v>40</v>
      </c>
      <c r="F880" s="29"/>
      <c r="G880" s="30">
        <f>SUM(G881)</f>
        <v>0</v>
      </c>
      <c r="H880" s="30">
        <v>872.8</v>
      </c>
      <c r="I880" s="30" t="e">
        <f t="shared" si="31"/>
        <v>#DIV/0!</v>
      </c>
    </row>
    <row r="881" spans="1:9" ht="15" hidden="1">
      <c r="A881" s="26" t="s">
        <v>195</v>
      </c>
      <c r="B881" s="27"/>
      <c r="C881" s="28" t="s">
        <v>31</v>
      </c>
      <c r="D881" s="28" t="s">
        <v>940</v>
      </c>
      <c r="E881" s="28" t="s">
        <v>40</v>
      </c>
      <c r="F881" s="29" t="s">
        <v>42</v>
      </c>
      <c r="G881" s="50"/>
      <c r="H881" s="30" t="e">
        <f>SUM(#REF!)</f>
        <v>#REF!</v>
      </c>
      <c r="I881" s="30" t="e">
        <f t="shared" si="31"/>
        <v>#REF!</v>
      </c>
    </row>
    <row r="882" spans="1:9" ht="45" customHeight="1" hidden="1">
      <c r="A882" s="60" t="s">
        <v>584</v>
      </c>
      <c r="B882" s="27"/>
      <c r="C882" s="28" t="s">
        <v>31</v>
      </c>
      <c r="D882" s="28" t="s">
        <v>940</v>
      </c>
      <c r="E882" s="28" t="s">
        <v>46</v>
      </c>
      <c r="F882" s="29"/>
      <c r="G882" s="30">
        <f>SUM(G883)</f>
        <v>0</v>
      </c>
      <c r="H882" s="30" t="e">
        <f>SUM(#REF!)</f>
        <v>#REF!</v>
      </c>
      <c r="I882" s="30" t="e">
        <f t="shared" si="31"/>
        <v>#REF!</v>
      </c>
    </row>
    <row r="883" spans="1:9" ht="42.75" customHeight="1" hidden="1">
      <c r="A883" s="60" t="s">
        <v>55</v>
      </c>
      <c r="B883" s="27"/>
      <c r="C883" s="28" t="s">
        <v>31</v>
      </c>
      <c r="D883" s="28" t="s">
        <v>940</v>
      </c>
      <c r="E883" s="28" t="s">
        <v>56</v>
      </c>
      <c r="F883" s="29"/>
      <c r="G883" s="30">
        <f>SUM(G885,G884)</f>
        <v>0</v>
      </c>
      <c r="H883" s="30">
        <v>872.8</v>
      </c>
      <c r="I883" s="30" t="e">
        <f t="shared" si="31"/>
        <v>#DIV/0!</v>
      </c>
    </row>
    <row r="884" spans="1:9" ht="27" customHeight="1" hidden="1">
      <c r="A884" s="60" t="s">
        <v>41</v>
      </c>
      <c r="B884" s="27"/>
      <c r="C884" s="28" t="s">
        <v>31</v>
      </c>
      <c r="D884" s="28" t="s">
        <v>940</v>
      </c>
      <c r="E884" s="28" t="s">
        <v>56</v>
      </c>
      <c r="F884" s="29" t="s">
        <v>42</v>
      </c>
      <c r="G884" s="30"/>
      <c r="H884" s="30"/>
      <c r="I884" s="30"/>
    </row>
    <row r="885" spans="1:9" ht="28.5" hidden="1">
      <c r="A885" s="46" t="s">
        <v>57</v>
      </c>
      <c r="B885" s="27"/>
      <c r="C885" s="28" t="s">
        <v>31</v>
      </c>
      <c r="D885" s="28" t="s">
        <v>940</v>
      </c>
      <c r="E885" s="28" t="s">
        <v>56</v>
      </c>
      <c r="F885" s="29" t="s">
        <v>58</v>
      </c>
      <c r="G885" s="50"/>
      <c r="H885" s="30" t="e">
        <f>SUM(#REF!)</f>
        <v>#REF!</v>
      </c>
      <c r="I885" s="30" t="e">
        <f>SUM(H885/G885*100)</f>
        <v>#REF!</v>
      </c>
    </row>
    <row r="886" spans="1:9" ht="15">
      <c r="A886" s="46" t="s">
        <v>585</v>
      </c>
      <c r="B886" s="27"/>
      <c r="C886" s="28" t="s">
        <v>31</v>
      </c>
      <c r="D886" s="28" t="s">
        <v>940</v>
      </c>
      <c r="E886" s="28" t="s">
        <v>586</v>
      </c>
      <c r="F886" s="29"/>
      <c r="G886" s="50">
        <f>SUM(G887)</f>
        <v>3684.4000000000005</v>
      </c>
      <c r="H886" s="30"/>
      <c r="I886" s="30"/>
    </row>
    <row r="887" spans="1:9" ht="15">
      <c r="A887" s="46" t="s">
        <v>41</v>
      </c>
      <c r="B887" s="27"/>
      <c r="C887" s="28" t="s">
        <v>31</v>
      </c>
      <c r="D887" s="28" t="s">
        <v>940</v>
      </c>
      <c r="E887" s="28" t="s">
        <v>586</v>
      </c>
      <c r="F887" s="29" t="s">
        <v>42</v>
      </c>
      <c r="G887" s="50">
        <f>5221.6-1537.2</f>
        <v>3684.4000000000005</v>
      </c>
      <c r="H887" s="30"/>
      <c r="I887" s="30"/>
    </row>
    <row r="888" spans="1:9" ht="21" customHeight="1">
      <c r="A888" s="26" t="s">
        <v>93</v>
      </c>
      <c r="B888" s="27"/>
      <c r="C888" s="28" t="s">
        <v>31</v>
      </c>
      <c r="D888" s="28" t="s">
        <v>942</v>
      </c>
      <c r="E888" s="28"/>
      <c r="F888" s="29"/>
      <c r="G888" s="30">
        <f>SUM(G889,G892,G895)</f>
        <v>4182</v>
      </c>
      <c r="H888" s="30" t="e">
        <f>SUM(#REF!+H1014)+#REF!+H1010+H893</f>
        <v>#REF!</v>
      </c>
      <c r="I888" s="30" t="e">
        <f aca="true" t="shared" si="32" ref="I888:I894">SUM(H888/G888*100)</f>
        <v>#REF!</v>
      </c>
    </row>
    <row r="889" spans="1:9" ht="0.75" customHeight="1" hidden="1">
      <c r="A889" s="60" t="s">
        <v>587</v>
      </c>
      <c r="B889" s="27"/>
      <c r="C889" s="28" t="s">
        <v>31</v>
      </c>
      <c r="D889" s="28" t="s">
        <v>942</v>
      </c>
      <c r="E889" s="28" t="s">
        <v>99</v>
      </c>
      <c r="F889" s="29"/>
      <c r="G889" s="30">
        <f>SUM(G890)</f>
        <v>0</v>
      </c>
      <c r="H889" s="30" t="e">
        <f>SUM(#REF!)</f>
        <v>#REF!</v>
      </c>
      <c r="I889" s="30" t="e">
        <f t="shared" si="32"/>
        <v>#REF!</v>
      </c>
    </row>
    <row r="890" spans="1:9" ht="27" customHeight="1" hidden="1">
      <c r="A890" s="31" t="s">
        <v>588</v>
      </c>
      <c r="B890" s="27"/>
      <c r="C890" s="28" t="s">
        <v>31</v>
      </c>
      <c r="D890" s="28" t="s">
        <v>942</v>
      </c>
      <c r="E890" s="28" t="s">
        <v>101</v>
      </c>
      <c r="F890" s="29"/>
      <c r="G890" s="30">
        <f>SUM(G891)</f>
        <v>0</v>
      </c>
      <c r="H890" s="30">
        <v>872.8</v>
      </c>
      <c r="I890" s="30" t="e">
        <f t="shared" si="32"/>
        <v>#DIV/0!</v>
      </c>
    </row>
    <row r="891" spans="1:9" ht="15" hidden="1">
      <c r="A891" s="26" t="s">
        <v>10</v>
      </c>
      <c r="B891" s="27"/>
      <c r="C891" s="28" t="s">
        <v>31</v>
      </c>
      <c r="D891" s="28" t="s">
        <v>942</v>
      </c>
      <c r="E891" s="28" t="s">
        <v>101</v>
      </c>
      <c r="F891" s="29" t="s">
        <v>11</v>
      </c>
      <c r="G891" s="50"/>
      <c r="H891" s="30" t="e">
        <f>SUM(#REF!)</f>
        <v>#REF!</v>
      </c>
      <c r="I891" s="30" t="e">
        <f t="shared" si="32"/>
        <v>#REF!</v>
      </c>
    </row>
    <row r="892" spans="1:9" ht="18" customHeight="1">
      <c r="A892" s="60" t="s">
        <v>102</v>
      </c>
      <c r="B892" s="27"/>
      <c r="C892" s="28" t="s">
        <v>31</v>
      </c>
      <c r="D892" s="28" t="s">
        <v>942</v>
      </c>
      <c r="E892" s="28" t="s">
        <v>103</v>
      </c>
      <c r="F892" s="29"/>
      <c r="G892" s="30">
        <f>SUM(G893)</f>
        <v>4182</v>
      </c>
      <c r="H892" s="30" t="e">
        <f>SUM(#REF!)</f>
        <v>#REF!</v>
      </c>
      <c r="I892" s="30" t="e">
        <f t="shared" si="32"/>
        <v>#REF!</v>
      </c>
    </row>
    <row r="893" spans="1:9" ht="18" customHeight="1">
      <c r="A893" s="31" t="s">
        <v>108</v>
      </c>
      <c r="B893" s="27"/>
      <c r="C893" s="28" t="s">
        <v>31</v>
      </c>
      <c r="D893" s="28" t="s">
        <v>942</v>
      </c>
      <c r="E893" s="28" t="s">
        <v>109</v>
      </c>
      <c r="F893" s="29"/>
      <c r="G893" s="30">
        <f>SUM(G894)</f>
        <v>4182</v>
      </c>
      <c r="H893" s="30">
        <v>872.8</v>
      </c>
      <c r="I893" s="30">
        <f t="shared" si="32"/>
        <v>20.870396939263507</v>
      </c>
    </row>
    <row r="894" spans="1:9" ht="27.75" customHeight="1">
      <c r="A894" s="26" t="s">
        <v>947</v>
      </c>
      <c r="B894" s="27"/>
      <c r="C894" s="28" t="s">
        <v>31</v>
      </c>
      <c r="D894" s="28" t="s">
        <v>942</v>
      </c>
      <c r="E894" s="28" t="s">
        <v>109</v>
      </c>
      <c r="F894" s="29" t="s">
        <v>948</v>
      </c>
      <c r="G894" s="50">
        <f>9225.1-1323.1-3600-120</f>
        <v>4182</v>
      </c>
      <c r="H894" s="30" t="e">
        <f>SUM(#REF!)</f>
        <v>#REF!</v>
      </c>
      <c r="I894" s="30" t="e">
        <f t="shared" si="32"/>
        <v>#REF!</v>
      </c>
    </row>
    <row r="895" spans="1:9" ht="15" hidden="1">
      <c r="A895" s="26" t="s">
        <v>20</v>
      </c>
      <c r="B895" s="27"/>
      <c r="C895" s="28" t="s">
        <v>31</v>
      </c>
      <c r="D895" s="28" t="s">
        <v>942</v>
      </c>
      <c r="E895" s="28" t="s">
        <v>21</v>
      </c>
      <c r="F895" s="29"/>
      <c r="G895" s="50">
        <f>SUM(G896)</f>
        <v>0</v>
      </c>
      <c r="H895" s="30"/>
      <c r="I895" s="30"/>
    </row>
    <row r="896" spans="1:9" ht="15" hidden="1">
      <c r="A896" s="26"/>
      <c r="B896" s="27"/>
      <c r="C896" s="28" t="s">
        <v>31</v>
      </c>
      <c r="D896" s="28" t="s">
        <v>942</v>
      </c>
      <c r="E896" s="28" t="s">
        <v>21</v>
      </c>
      <c r="F896" s="29"/>
      <c r="G896" s="50">
        <f>SUM(G897)</f>
        <v>0</v>
      </c>
      <c r="H896" s="30"/>
      <c r="I896" s="30"/>
    </row>
    <row r="897" spans="1:9" ht="28.5" hidden="1">
      <c r="A897" s="26" t="s">
        <v>947</v>
      </c>
      <c r="B897" s="27"/>
      <c r="C897" s="28" t="s">
        <v>31</v>
      </c>
      <c r="D897" s="28" t="s">
        <v>942</v>
      </c>
      <c r="E897" s="28" t="s">
        <v>21</v>
      </c>
      <c r="F897" s="29" t="s">
        <v>948</v>
      </c>
      <c r="G897" s="50">
        <f>6000-6000</f>
        <v>0</v>
      </c>
      <c r="H897" s="30"/>
      <c r="I897" s="30"/>
    </row>
    <row r="898" spans="1:9" ht="15">
      <c r="A898" s="26" t="s">
        <v>379</v>
      </c>
      <c r="B898" s="27"/>
      <c r="C898" s="28" t="s">
        <v>25</v>
      </c>
      <c r="D898" s="28"/>
      <c r="E898" s="28"/>
      <c r="F898" s="29"/>
      <c r="G898" s="50">
        <f>SUM(G899)</f>
        <v>1005.2</v>
      </c>
      <c r="H898" s="30"/>
      <c r="I898" s="30"/>
    </row>
    <row r="899" spans="1:9" ht="15">
      <c r="A899" s="26" t="s">
        <v>384</v>
      </c>
      <c r="B899" s="27"/>
      <c r="C899" s="28" t="s">
        <v>25</v>
      </c>
      <c r="D899" s="28" t="s">
        <v>942</v>
      </c>
      <c r="E899" s="28"/>
      <c r="F899" s="29"/>
      <c r="G899" s="30">
        <f>SUM(G900)</f>
        <v>1005.2</v>
      </c>
      <c r="H899" s="30" t="e">
        <f>SUM(H900+H919+H923+H927)</f>
        <v>#REF!</v>
      </c>
      <c r="I899" s="30" t="e">
        <f>SUM(H899/G899*100)</f>
        <v>#REF!</v>
      </c>
    </row>
    <row r="900" spans="1:9" ht="15">
      <c r="A900" s="26" t="s">
        <v>385</v>
      </c>
      <c r="B900" s="27"/>
      <c r="C900" s="28" t="s">
        <v>25</v>
      </c>
      <c r="D900" s="28" t="s">
        <v>942</v>
      </c>
      <c r="E900" s="28" t="s">
        <v>382</v>
      </c>
      <c r="F900" s="29"/>
      <c r="G900" s="30">
        <f>SUM(G901)</f>
        <v>1005.2</v>
      </c>
      <c r="H900" s="30" t="e">
        <f>SUM(H901)</f>
        <v>#REF!</v>
      </c>
      <c r="I900" s="30" t="e">
        <f>SUM(H900/G900*100)</f>
        <v>#REF!</v>
      </c>
    </row>
    <row r="901" spans="1:9" ht="28.5">
      <c r="A901" s="26" t="s">
        <v>234</v>
      </c>
      <c r="B901" s="27"/>
      <c r="C901" s="28" t="s">
        <v>25</v>
      </c>
      <c r="D901" s="28" t="s">
        <v>942</v>
      </c>
      <c r="E901" s="28" t="s">
        <v>383</v>
      </c>
      <c r="F901" s="29"/>
      <c r="G901" s="30">
        <f>SUM(G902)</f>
        <v>1005.2</v>
      </c>
      <c r="H901" s="30" t="e">
        <f>SUM(H902:H917)</f>
        <v>#REF!</v>
      </c>
      <c r="I901" s="30" t="e">
        <f>SUM(H901/G901*100)</f>
        <v>#REF!</v>
      </c>
    </row>
    <row r="902" spans="1:9" ht="28.5" customHeight="1">
      <c r="A902" s="26" t="s">
        <v>947</v>
      </c>
      <c r="B902" s="27"/>
      <c r="C902" s="28" t="s">
        <v>25</v>
      </c>
      <c r="D902" s="28" t="s">
        <v>942</v>
      </c>
      <c r="E902" s="28" t="s">
        <v>383</v>
      </c>
      <c r="F902" s="29" t="s">
        <v>948</v>
      </c>
      <c r="G902" s="30">
        <v>1005.2</v>
      </c>
      <c r="H902" s="30">
        <v>21799.8</v>
      </c>
      <c r="I902" s="30">
        <f>SUM(H902/G902*100)</f>
        <v>2168.7027457222443</v>
      </c>
    </row>
    <row r="903" spans="1:9" s="4" customFormat="1" ht="17.25" customHeight="1">
      <c r="A903" s="44" t="s">
        <v>971</v>
      </c>
      <c r="B903" s="70"/>
      <c r="C903" s="67" t="s">
        <v>972</v>
      </c>
      <c r="D903" s="67" t="s">
        <v>445</v>
      </c>
      <c r="E903" s="67"/>
      <c r="F903" s="34"/>
      <c r="G903" s="50">
        <f>SUM(G904+G921)</f>
        <v>29777.1</v>
      </c>
      <c r="H903" s="50" t="e">
        <f>SUM(H921+H932+#REF!+H1111+H1129)</f>
        <v>#REF!</v>
      </c>
      <c r="I903" s="50" t="e">
        <f>SUM(H903/G903*100)</f>
        <v>#REF!</v>
      </c>
    </row>
    <row r="904" spans="1:9" s="4" customFormat="1" ht="17.25" customHeight="1">
      <c r="A904" s="44" t="s">
        <v>973</v>
      </c>
      <c r="B904" s="27"/>
      <c r="C904" s="67" t="s">
        <v>972</v>
      </c>
      <c r="D904" s="67" t="s">
        <v>950</v>
      </c>
      <c r="E904" s="67"/>
      <c r="F904" s="34"/>
      <c r="G904" s="50">
        <f>SUM(G905+G911+G916)</f>
        <v>22573.1</v>
      </c>
      <c r="H904" s="50"/>
      <c r="I904" s="50"/>
    </row>
    <row r="905" spans="1:9" s="4" customFormat="1" ht="28.5" customHeight="1">
      <c r="A905" s="44" t="s">
        <v>589</v>
      </c>
      <c r="B905" s="27"/>
      <c r="C905" s="67" t="s">
        <v>972</v>
      </c>
      <c r="D905" s="67" t="s">
        <v>950</v>
      </c>
      <c r="E905" s="67" t="s">
        <v>590</v>
      </c>
      <c r="F905" s="34"/>
      <c r="G905" s="50">
        <f>SUM(G906)+G908</f>
        <v>4897</v>
      </c>
      <c r="H905" s="50"/>
      <c r="I905" s="50"/>
    </row>
    <row r="906" spans="1:9" s="4" customFormat="1" ht="44.25" customHeight="1">
      <c r="A906" s="44" t="s">
        <v>591</v>
      </c>
      <c r="B906" s="27"/>
      <c r="C906" s="67" t="s">
        <v>972</v>
      </c>
      <c r="D906" s="67" t="s">
        <v>950</v>
      </c>
      <c r="E906" s="67" t="s">
        <v>592</v>
      </c>
      <c r="F906" s="34"/>
      <c r="G906" s="50">
        <f>SUM(G907)</f>
        <v>1425.6</v>
      </c>
      <c r="H906" s="50"/>
      <c r="I906" s="50"/>
    </row>
    <row r="907" spans="1:9" s="4" customFormat="1" ht="17.25" customHeight="1">
      <c r="A907" s="26" t="s">
        <v>978</v>
      </c>
      <c r="B907" s="70"/>
      <c r="C907" s="67" t="s">
        <v>972</v>
      </c>
      <c r="D907" s="67" t="s">
        <v>950</v>
      </c>
      <c r="E907" s="67" t="s">
        <v>592</v>
      </c>
      <c r="F907" s="34" t="s">
        <v>979</v>
      </c>
      <c r="G907" s="50">
        <v>1425.6</v>
      </c>
      <c r="H907" s="50"/>
      <c r="I907" s="50"/>
    </row>
    <row r="908" spans="1:9" s="4" customFormat="1" ht="27" customHeight="1">
      <c r="A908" s="26" t="s">
        <v>409</v>
      </c>
      <c r="B908" s="70"/>
      <c r="C908" s="67" t="s">
        <v>972</v>
      </c>
      <c r="D908" s="67" t="s">
        <v>950</v>
      </c>
      <c r="E908" s="67" t="s">
        <v>593</v>
      </c>
      <c r="F908" s="34"/>
      <c r="G908" s="50">
        <f>SUM(G909)</f>
        <v>3471.4</v>
      </c>
      <c r="H908" s="50"/>
      <c r="I908" s="50"/>
    </row>
    <row r="909" spans="1:9" s="4" customFormat="1" ht="17.25" customHeight="1">
      <c r="A909" s="92" t="s">
        <v>411</v>
      </c>
      <c r="B909" s="70"/>
      <c r="C909" s="67" t="s">
        <v>972</v>
      </c>
      <c r="D909" s="67" t="s">
        <v>950</v>
      </c>
      <c r="E909" s="67" t="s">
        <v>593</v>
      </c>
      <c r="F909" s="34" t="s">
        <v>412</v>
      </c>
      <c r="G909" s="50">
        <v>3471.4</v>
      </c>
      <c r="H909" s="50"/>
      <c r="I909" s="50"/>
    </row>
    <row r="910" spans="1:9" ht="15.75">
      <c r="A910" s="26" t="s">
        <v>67</v>
      </c>
      <c r="B910" s="36"/>
      <c r="C910" s="28" t="s">
        <v>972</v>
      </c>
      <c r="D910" s="28" t="s">
        <v>950</v>
      </c>
      <c r="E910" s="28" t="s">
        <v>68</v>
      </c>
      <c r="F910" s="34"/>
      <c r="G910" s="50">
        <f>SUM(G911)</f>
        <v>10663.5</v>
      </c>
      <c r="H910" s="50">
        <f>SUM(H911)</f>
        <v>0</v>
      </c>
      <c r="I910" s="30">
        <f>SUM(H910/G910*100)</f>
        <v>0</v>
      </c>
    </row>
    <row r="911" spans="1:9" ht="71.25">
      <c r="A911" s="26" t="s">
        <v>423</v>
      </c>
      <c r="B911" s="33"/>
      <c r="C911" s="28" t="s">
        <v>972</v>
      </c>
      <c r="D911" s="28" t="s">
        <v>950</v>
      </c>
      <c r="E911" s="28" t="s">
        <v>72</v>
      </c>
      <c r="F911" s="34"/>
      <c r="G911" s="50">
        <f>SUM(G914+G912)</f>
        <v>10663.5</v>
      </c>
      <c r="H911" s="50">
        <f>SUM(H914)+H917</f>
        <v>0</v>
      </c>
      <c r="I911" s="30">
        <f>SUM(H911/G911*100)</f>
        <v>0</v>
      </c>
    </row>
    <row r="912" spans="1:9" ht="42.75">
      <c r="A912" s="26" t="s">
        <v>594</v>
      </c>
      <c r="B912" s="33"/>
      <c r="C912" s="28" t="s">
        <v>972</v>
      </c>
      <c r="D912" s="28" t="s">
        <v>950</v>
      </c>
      <c r="E912" s="28" t="s">
        <v>425</v>
      </c>
      <c r="F912" s="34"/>
      <c r="G912" s="50">
        <f>SUM(G913)</f>
        <v>8965.3</v>
      </c>
      <c r="H912" s="50"/>
      <c r="I912" s="30"/>
    </row>
    <row r="913" spans="1:9" s="4" customFormat="1" ht="17.25" customHeight="1">
      <c r="A913" s="92" t="s">
        <v>411</v>
      </c>
      <c r="B913" s="33"/>
      <c r="C913" s="28" t="s">
        <v>972</v>
      </c>
      <c r="D913" s="28" t="s">
        <v>950</v>
      </c>
      <c r="E913" s="28" t="s">
        <v>425</v>
      </c>
      <c r="F913" s="34" t="s">
        <v>412</v>
      </c>
      <c r="G913" s="50">
        <f>5568.8+3396.5</f>
        <v>8965.3</v>
      </c>
      <c r="H913" s="50"/>
      <c r="I913" s="50"/>
    </row>
    <row r="914" spans="1:9" s="4" customFormat="1" ht="44.25" customHeight="1">
      <c r="A914" s="92" t="s">
        <v>426</v>
      </c>
      <c r="B914" s="33"/>
      <c r="C914" s="28" t="s">
        <v>972</v>
      </c>
      <c r="D914" s="28" t="s">
        <v>950</v>
      </c>
      <c r="E914" s="28" t="s">
        <v>427</v>
      </c>
      <c r="F914" s="34"/>
      <c r="G914" s="50">
        <f>SUM(G915)</f>
        <v>1698.2</v>
      </c>
      <c r="H914" s="50"/>
      <c r="I914" s="50"/>
    </row>
    <row r="915" spans="1:9" s="4" customFormat="1" ht="17.25" customHeight="1">
      <c r="A915" s="92" t="s">
        <v>411</v>
      </c>
      <c r="B915" s="33"/>
      <c r="C915" s="28" t="s">
        <v>972</v>
      </c>
      <c r="D915" s="28" t="s">
        <v>950</v>
      </c>
      <c r="E915" s="28" t="s">
        <v>427</v>
      </c>
      <c r="F915" s="34" t="s">
        <v>412</v>
      </c>
      <c r="G915" s="50">
        <v>1698.2</v>
      </c>
      <c r="H915" s="50"/>
      <c r="I915" s="50"/>
    </row>
    <row r="916" spans="1:9" ht="15">
      <c r="A916" s="26" t="s">
        <v>20</v>
      </c>
      <c r="B916" s="27"/>
      <c r="C916" s="28" t="s">
        <v>972</v>
      </c>
      <c r="D916" s="28" t="s">
        <v>950</v>
      </c>
      <c r="E916" s="28" t="s">
        <v>21</v>
      </c>
      <c r="F916" s="29"/>
      <c r="G916" s="30">
        <f>SUM(G917)</f>
        <v>7012.6</v>
      </c>
      <c r="H916" s="30"/>
      <c r="I916" s="30"/>
    </row>
    <row r="917" spans="1:9" ht="28.5">
      <c r="A917" s="44" t="s">
        <v>947</v>
      </c>
      <c r="B917" s="27"/>
      <c r="C917" s="28" t="s">
        <v>972</v>
      </c>
      <c r="D917" s="28" t="s">
        <v>950</v>
      </c>
      <c r="E917" s="28" t="s">
        <v>21</v>
      </c>
      <c r="F917" s="29" t="s">
        <v>948</v>
      </c>
      <c r="G917" s="30">
        <f>SUM(G918:G918)</f>
        <v>7012.6</v>
      </c>
      <c r="H917" s="30"/>
      <c r="I917" s="30"/>
    </row>
    <row r="918" spans="1:9" ht="42.75">
      <c r="A918" s="44" t="s">
        <v>595</v>
      </c>
      <c r="B918" s="27"/>
      <c r="C918" s="28" t="s">
        <v>972</v>
      </c>
      <c r="D918" s="28" t="s">
        <v>950</v>
      </c>
      <c r="E918" s="67" t="s">
        <v>119</v>
      </c>
      <c r="F918" s="29" t="s">
        <v>948</v>
      </c>
      <c r="G918" s="30">
        <f>SUM(G919:G920)</f>
        <v>7012.6</v>
      </c>
      <c r="H918" s="30"/>
      <c r="I918" s="30"/>
    </row>
    <row r="919" spans="1:9" ht="75.75" customHeight="1">
      <c r="A919" s="26" t="s">
        <v>596</v>
      </c>
      <c r="B919" s="27"/>
      <c r="C919" s="28" t="s">
        <v>972</v>
      </c>
      <c r="D919" s="28" t="s">
        <v>950</v>
      </c>
      <c r="E919" s="67" t="s">
        <v>429</v>
      </c>
      <c r="F919" s="29" t="s">
        <v>948</v>
      </c>
      <c r="G919" s="50">
        <f>3650.9+2512.6</f>
        <v>6163.5</v>
      </c>
      <c r="H919" s="30"/>
      <c r="I919" s="30"/>
    </row>
    <row r="920" spans="1:9" ht="92.25" customHeight="1">
      <c r="A920" s="26" t="s">
        <v>597</v>
      </c>
      <c r="B920" s="27"/>
      <c r="C920" s="28" t="s">
        <v>972</v>
      </c>
      <c r="D920" s="28" t="s">
        <v>950</v>
      </c>
      <c r="E920" s="67" t="s">
        <v>431</v>
      </c>
      <c r="F920" s="29" t="s">
        <v>948</v>
      </c>
      <c r="G920" s="50">
        <v>849.1</v>
      </c>
      <c r="H920" s="30"/>
      <c r="I920" s="30"/>
    </row>
    <row r="921" spans="1:9" ht="14.25" customHeight="1">
      <c r="A921" s="31" t="s">
        <v>540</v>
      </c>
      <c r="B921" s="27"/>
      <c r="C921" s="67" t="s">
        <v>972</v>
      </c>
      <c r="D921" s="67" t="s">
        <v>5</v>
      </c>
      <c r="E921" s="67"/>
      <c r="F921" s="34"/>
      <c r="G921" s="50">
        <f>SUM(G922+G929+G935)+G925</f>
        <v>7204</v>
      </c>
      <c r="H921" s="50">
        <f>SUM(H932+H1077+H1080+H1087+H929)</f>
        <v>53118.9</v>
      </c>
      <c r="I921" s="30">
        <f>SUM(H921/G921*100)</f>
        <v>737.3528595224875</v>
      </c>
    </row>
    <row r="922" spans="1:9" ht="28.5" customHeight="1" hidden="1">
      <c r="A922" s="31" t="s">
        <v>408</v>
      </c>
      <c r="B922" s="27"/>
      <c r="C922" s="28" t="s">
        <v>972</v>
      </c>
      <c r="D922" s="28" t="s">
        <v>950</v>
      </c>
      <c r="E922" s="28" t="s">
        <v>212</v>
      </c>
      <c r="F922" s="29"/>
      <c r="G922" s="50">
        <f>SUM(G923)</f>
        <v>0</v>
      </c>
      <c r="H922" s="50"/>
      <c r="I922" s="30"/>
    </row>
    <row r="923" spans="1:9" ht="30.75" customHeight="1" hidden="1">
      <c r="A923" s="31" t="s">
        <v>409</v>
      </c>
      <c r="B923" s="27"/>
      <c r="C923" s="28" t="s">
        <v>972</v>
      </c>
      <c r="D923" s="28" t="s">
        <v>950</v>
      </c>
      <c r="E923" s="28" t="s">
        <v>410</v>
      </c>
      <c r="F923" s="29"/>
      <c r="G923" s="50">
        <f>SUM(G924)</f>
        <v>0</v>
      </c>
      <c r="H923" s="50"/>
      <c r="I923" s="30"/>
    </row>
    <row r="924" spans="1:9" ht="14.25" customHeight="1" hidden="1">
      <c r="A924" s="31" t="s">
        <v>411</v>
      </c>
      <c r="B924" s="27"/>
      <c r="C924" s="28" t="s">
        <v>972</v>
      </c>
      <c r="D924" s="28" t="s">
        <v>950</v>
      </c>
      <c r="E924" s="28" t="s">
        <v>410</v>
      </c>
      <c r="F924" s="29" t="s">
        <v>412</v>
      </c>
      <c r="G924" s="50"/>
      <c r="H924" s="50"/>
      <c r="I924" s="30"/>
    </row>
    <row r="925" spans="1:9" ht="14.25" customHeight="1">
      <c r="A925" s="26" t="s">
        <v>974</v>
      </c>
      <c r="B925" s="27"/>
      <c r="C925" s="67" t="s">
        <v>972</v>
      </c>
      <c r="D925" s="67" t="s">
        <v>5</v>
      </c>
      <c r="E925" s="28" t="s">
        <v>975</v>
      </c>
      <c r="F925" s="29"/>
      <c r="G925" s="50">
        <f>SUM(G926)</f>
        <v>7204</v>
      </c>
      <c r="H925" s="50"/>
      <c r="I925" s="30"/>
    </row>
    <row r="926" spans="1:9" ht="57" customHeight="1">
      <c r="A926" s="26" t="s">
        <v>417</v>
      </c>
      <c r="B926" s="27"/>
      <c r="C926" s="67" t="s">
        <v>972</v>
      </c>
      <c r="D926" s="67" t="s">
        <v>5</v>
      </c>
      <c r="E926" s="28" t="s">
        <v>418</v>
      </c>
      <c r="F926" s="29"/>
      <c r="G926" s="30">
        <f>SUM(G927)</f>
        <v>7204</v>
      </c>
      <c r="H926" s="50"/>
      <c r="I926" s="30"/>
    </row>
    <row r="927" spans="1:9" ht="70.5" customHeight="1">
      <c r="A927" s="31" t="s">
        <v>419</v>
      </c>
      <c r="B927" s="27"/>
      <c r="C927" s="67" t="s">
        <v>972</v>
      </c>
      <c r="D927" s="67" t="s">
        <v>5</v>
      </c>
      <c r="E927" s="28" t="s">
        <v>420</v>
      </c>
      <c r="F927" s="29"/>
      <c r="G927" s="30">
        <f>SUM(G928)</f>
        <v>7204</v>
      </c>
      <c r="H927" s="50"/>
      <c r="I927" s="30"/>
    </row>
    <row r="928" spans="1:9" ht="17.25" customHeight="1">
      <c r="A928" s="26" t="s">
        <v>978</v>
      </c>
      <c r="B928" s="33"/>
      <c r="C928" s="67" t="s">
        <v>972</v>
      </c>
      <c r="D928" s="67" t="s">
        <v>5</v>
      </c>
      <c r="E928" s="28" t="s">
        <v>420</v>
      </c>
      <c r="F928" s="34" t="s">
        <v>979</v>
      </c>
      <c r="G928" s="50">
        <v>7204</v>
      </c>
      <c r="H928" s="50"/>
      <c r="I928" s="30"/>
    </row>
    <row r="929" spans="1:9" ht="15" customHeight="1" hidden="1">
      <c r="A929" s="26" t="s">
        <v>67</v>
      </c>
      <c r="B929" s="36"/>
      <c r="C929" s="28" t="s">
        <v>972</v>
      </c>
      <c r="D929" s="28" t="s">
        <v>950</v>
      </c>
      <c r="E929" s="28" t="s">
        <v>68</v>
      </c>
      <c r="F929" s="34"/>
      <c r="G929" s="50">
        <f>SUM(G930)</f>
        <v>0</v>
      </c>
      <c r="H929" s="30"/>
      <c r="I929" s="30"/>
    </row>
    <row r="930" spans="1:9" ht="57" hidden="1">
      <c r="A930" s="26" t="s">
        <v>598</v>
      </c>
      <c r="B930" s="33"/>
      <c r="C930" s="28" t="s">
        <v>972</v>
      </c>
      <c r="D930" s="28" t="s">
        <v>950</v>
      </c>
      <c r="E930" s="28" t="s">
        <v>72</v>
      </c>
      <c r="F930" s="34"/>
      <c r="G930" s="50">
        <f>SUM(G931)+G933</f>
        <v>0</v>
      </c>
      <c r="H930" s="30"/>
      <c r="I930" s="30"/>
    </row>
    <row r="931" spans="1:9" ht="27.75" customHeight="1" hidden="1">
      <c r="A931" s="26" t="s">
        <v>424</v>
      </c>
      <c r="B931" s="33"/>
      <c r="C931" s="28" t="s">
        <v>972</v>
      </c>
      <c r="D931" s="28" t="s">
        <v>950</v>
      </c>
      <c r="E931" s="28" t="s">
        <v>425</v>
      </c>
      <c r="F931" s="34"/>
      <c r="G931" s="50">
        <f>SUM(G932)</f>
        <v>0</v>
      </c>
      <c r="H931" s="30"/>
      <c r="I931" s="30"/>
    </row>
    <row r="932" spans="1:9" ht="15" hidden="1">
      <c r="A932" s="31" t="s">
        <v>411</v>
      </c>
      <c r="B932" s="33"/>
      <c r="C932" s="28" t="s">
        <v>972</v>
      </c>
      <c r="D932" s="28" t="s">
        <v>950</v>
      </c>
      <c r="E932" s="28" t="s">
        <v>425</v>
      </c>
      <c r="F932" s="29" t="s">
        <v>412</v>
      </c>
      <c r="G932" s="50"/>
      <c r="H932" s="30"/>
      <c r="I932" s="30"/>
    </row>
    <row r="933" spans="1:9" ht="42.75" hidden="1">
      <c r="A933" s="26" t="s">
        <v>599</v>
      </c>
      <c r="B933" s="33"/>
      <c r="C933" s="28" t="s">
        <v>972</v>
      </c>
      <c r="D933" s="28" t="s">
        <v>950</v>
      </c>
      <c r="E933" s="28" t="s">
        <v>427</v>
      </c>
      <c r="F933" s="34"/>
      <c r="G933" s="50">
        <f>SUM(G934)</f>
        <v>0</v>
      </c>
      <c r="H933" s="30"/>
      <c r="I933" s="30"/>
    </row>
    <row r="934" spans="1:9" ht="15" hidden="1">
      <c r="A934" s="26" t="s">
        <v>411</v>
      </c>
      <c r="B934" s="33"/>
      <c r="C934" s="28" t="s">
        <v>972</v>
      </c>
      <c r="D934" s="28" t="s">
        <v>950</v>
      </c>
      <c r="E934" s="28" t="s">
        <v>427</v>
      </c>
      <c r="F934" s="34" t="s">
        <v>412</v>
      </c>
      <c r="G934" s="50"/>
      <c r="H934" s="30"/>
      <c r="I934" s="30"/>
    </row>
    <row r="935" spans="1:9" ht="15" hidden="1">
      <c r="A935" s="26" t="s">
        <v>20</v>
      </c>
      <c r="B935" s="27"/>
      <c r="C935" s="28" t="s">
        <v>972</v>
      </c>
      <c r="D935" s="28" t="s">
        <v>950</v>
      </c>
      <c r="E935" s="28" t="s">
        <v>21</v>
      </c>
      <c r="F935" s="29"/>
      <c r="G935" s="30">
        <f>SUM(G936)</f>
        <v>0</v>
      </c>
      <c r="H935" s="30"/>
      <c r="I935" s="30"/>
    </row>
    <row r="936" spans="1:9" ht="28.5" hidden="1">
      <c r="A936" s="44" t="s">
        <v>947</v>
      </c>
      <c r="B936" s="27"/>
      <c r="C936" s="28" t="s">
        <v>972</v>
      </c>
      <c r="D936" s="28" t="s">
        <v>950</v>
      </c>
      <c r="E936" s="28" t="s">
        <v>21</v>
      </c>
      <c r="F936" s="29" t="s">
        <v>948</v>
      </c>
      <c r="G936" s="30">
        <f>SUM(G937:G937)</f>
        <v>0</v>
      </c>
      <c r="H936" s="30"/>
      <c r="I936" s="30"/>
    </row>
    <row r="937" spans="1:9" ht="42.75" hidden="1">
      <c r="A937" s="44" t="s">
        <v>118</v>
      </c>
      <c r="B937" s="27"/>
      <c r="C937" s="28" t="s">
        <v>972</v>
      </c>
      <c r="D937" s="28" t="s">
        <v>950</v>
      </c>
      <c r="E937" s="67" t="s">
        <v>119</v>
      </c>
      <c r="F937" s="29" t="s">
        <v>948</v>
      </c>
      <c r="G937" s="30">
        <f>SUM(G938:G939)</f>
        <v>0</v>
      </c>
      <c r="H937" s="30"/>
      <c r="I937" s="30"/>
    </row>
    <row r="938" spans="1:9" ht="27" customHeight="1" hidden="1">
      <c r="A938" s="26" t="s">
        <v>424</v>
      </c>
      <c r="B938" s="27"/>
      <c r="C938" s="28" t="s">
        <v>972</v>
      </c>
      <c r="D938" s="28" t="s">
        <v>950</v>
      </c>
      <c r="E938" s="67" t="s">
        <v>429</v>
      </c>
      <c r="F938" s="29" t="s">
        <v>948</v>
      </c>
      <c r="G938" s="50"/>
      <c r="H938" s="30"/>
      <c r="I938" s="30"/>
    </row>
    <row r="939" spans="1:9" ht="24" customHeight="1" hidden="1">
      <c r="A939" s="26" t="s">
        <v>599</v>
      </c>
      <c r="B939" s="27"/>
      <c r="C939" s="28" t="s">
        <v>972</v>
      </c>
      <c r="D939" s="28" t="s">
        <v>950</v>
      </c>
      <c r="E939" s="67" t="s">
        <v>431</v>
      </c>
      <c r="F939" s="29" t="s">
        <v>948</v>
      </c>
      <c r="G939" s="50">
        <f>80.7-80.7</f>
        <v>0</v>
      </c>
      <c r="H939" s="30"/>
      <c r="I939" s="30"/>
    </row>
    <row r="940" spans="1:9" s="4" customFormat="1" ht="18.75" customHeight="1" hidden="1">
      <c r="A940" s="44" t="s">
        <v>390</v>
      </c>
      <c r="B940" s="70"/>
      <c r="C940" s="67" t="s">
        <v>432</v>
      </c>
      <c r="D940" s="67"/>
      <c r="E940" s="67"/>
      <c r="F940" s="34"/>
      <c r="G940" s="50">
        <f>SUM(G941)</f>
        <v>0</v>
      </c>
      <c r="H940" s="50" t="e">
        <f>SUM(H941+#REF!+H954+H962+H972+H991)</f>
        <v>#REF!</v>
      </c>
      <c r="I940" s="50" t="e">
        <f>SUM(H940/G940*100)</f>
        <v>#REF!</v>
      </c>
    </row>
    <row r="941" spans="1:9" ht="28.5" hidden="1">
      <c r="A941" s="26" t="s">
        <v>433</v>
      </c>
      <c r="B941" s="27"/>
      <c r="C941" s="28" t="s">
        <v>432</v>
      </c>
      <c r="D941" s="28" t="s">
        <v>31</v>
      </c>
      <c r="E941" s="28"/>
      <c r="F941" s="29"/>
      <c r="G941" s="50">
        <f>SUM(G942)</f>
        <v>0</v>
      </c>
      <c r="H941" s="30"/>
      <c r="I941" s="30"/>
    </row>
    <row r="942" spans="1:9" ht="15" hidden="1">
      <c r="A942" s="26" t="s">
        <v>20</v>
      </c>
      <c r="B942" s="27"/>
      <c r="C942" s="28" t="s">
        <v>432</v>
      </c>
      <c r="D942" s="28" t="s">
        <v>31</v>
      </c>
      <c r="E942" s="28" t="s">
        <v>21</v>
      </c>
      <c r="F942" s="29"/>
      <c r="G942" s="50">
        <f>SUM(G943)</f>
        <v>0</v>
      </c>
      <c r="H942" s="30" t="e">
        <f>SUM(#REF!)+#REF!+#REF!</f>
        <v>#REF!</v>
      </c>
      <c r="I942" s="30" t="e">
        <f>SUM(H942/G942*100)</f>
        <v>#REF!</v>
      </c>
    </row>
    <row r="943" spans="1:9" ht="29.25" customHeight="1" hidden="1">
      <c r="A943" s="26" t="s">
        <v>336</v>
      </c>
      <c r="B943" s="27"/>
      <c r="C943" s="28" t="s">
        <v>432</v>
      </c>
      <c r="D943" s="28" t="s">
        <v>31</v>
      </c>
      <c r="E943" s="28" t="s">
        <v>92</v>
      </c>
      <c r="F943" s="34"/>
      <c r="G943" s="50">
        <f>SUM(G944)</f>
        <v>0</v>
      </c>
      <c r="H943" s="50">
        <f>SUM(H944)</f>
        <v>1042.3</v>
      </c>
      <c r="I943" s="30" t="e">
        <f>SUM(H943/G943*100)</f>
        <v>#DIV/0!</v>
      </c>
    </row>
    <row r="944" spans="1:9" ht="16.5" customHeight="1" hidden="1">
      <c r="A944" s="26" t="s">
        <v>195</v>
      </c>
      <c r="B944" s="27"/>
      <c r="C944" s="28" t="s">
        <v>432</v>
      </c>
      <c r="D944" s="28" t="s">
        <v>31</v>
      </c>
      <c r="E944" s="28" t="s">
        <v>92</v>
      </c>
      <c r="F944" s="34" t="s">
        <v>42</v>
      </c>
      <c r="G944" s="50"/>
      <c r="H944" s="50">
        <v>1042.3</v>
      </c>
      <c r="I944" s="30" t="e">
        <f>SUM(H944/G944*100)</f>
        <v>#DIV/0!</v>
      </c>
    </row>
    <row r="945" spans="1:9" ht="47.25" customHeight="1">
      <c r="A945" s="35" t="s">
        <v>600</v>
      </c>
      <c r="B945" s="36" t="s">
        <v>601</v>
      </c>
      <c r="C945" s="75"/>
      <c r="D945" s="85"/>
      <c r="E945" s="85"/>
      <c r="F945" s="86"/>
      <c r="G945" s="37">
        <f>SUM(G946+G955+G993)</f>
        <v>60949.09999999999</v>
      </c>
      <c r="H945" s="37" t="e">
        <f>SUM(#REF!+H1060)</f>
        <v>#REF!</v>
      </c>
      <c r="I945" s="30" t="e">
        <f>SUM(H945/G945*100)</f>
        <v>#REF!</v>
      </c>
    </row>
    <row r="946" spans="1:9" ht="18.75" customHeight="1" hidden="1">
      <c r="A946" s="26" t="s">
        <v>939</v>
      </c>
      <c r="B946" s="27"/>
      <c r="C946" s="28" t="s">
        <v>940</v>
      </c>
      <c r="D946" s="28"/>
      <c r="E946" s="28"/>
      <c r="F946" s="29"/>
      <c r="G946" s="30">
        <f>SUM(G947+G951)</f>
        <v>0</v>
      </c>
      <c r="H946" s="37"/>
      <c r="I946" s="30"/>
    </row>
    <row r="947" spans="1:9" ht="30.75" customHeight="1" hidden="1">
      <c r="A947" s="26" t="s">
        <v>250</v>
      </c>
      <c r="B947" s="27"/>
      <c r="C947" s="28" t="s">
        <v>940</v>
      </c>
      <c r="D947" s="28" t="s">
        <v>5</v>
      </c>
      <c r="E947" s="28"/>
      <c r="F947" s="29"/>
      <c r="G947" s="30">
        <f>SUM(G948)</f>
        <v>0</v>
      </c>
      <c r="H947" s="37"/>
      <c r="I947" s="30"/>
    </row>
    <row r="948" spans="1:9" ht="30.75" customHeight="1" hidden="1">
      <c r="A948" s="26" t="s">
        <v>943</v>
      </c>
      <c r="B948" s="27"/>
      <c r="C948" s="28" t="s">
        <v>940</v>
      </c>
      <c r="D948" s="28" t="s">
        <v>5</v>
      </c>
      <c r="E948" s="28" t="s">
        <v>944</v>
      </c>
      <c r="F948" s="29"/>
      <c r="G948" s="30">
        <f>SUM(G949)</f>
        <v>0</v>
      </c>
      <c r="H948" s="37"/>
      <c r="I948" s="30"/>
    </row>
    <row r="949" spans="1:9" ht="20.25" customHeight="1" hidden="1">
      <c r="A949" s="26" t="s">
        <v>951</v>
      </c>
      <c r="B949" s="27"/>
      <c r="C949" s="28" t="s">
        <v>940</v>
      </c>
      <c r="D949" s="28" t="s">
        <v>5</v>
      </c>
      <c r="E949" s="28" t="s">
        <v>953</v>
      </c>
      <c r="F949" s="29"/>
      <c r="G949" s="30">
        <f>SUM(G950)</f>
        <v>0</v>
      </c>
      <c r="H949" s="37"/>
      <c r="I949" s="30"/>
    </row>
    <row r="950" spans="1:9" ht="30.75" customHeight="1" hidden="1">
      <c r="A950" s="26" t="s">
        <v>947</v>
      </c>
      <c r="B950" s="27"/>
      <c r="C950" s="28" t="s">
        <v>940</v>
      </c>
      <c r="D950" s="28" t="s">
        <v>5</v>
      </c>
      <c r="E950" s="28" t="s">
        <v>953</v>
      </c>
      <c r="F950" s="29" t="s">
        <v>948</v>
      </c>
      <c r="G950" s="30"/>
      <c r="H950" s="37"/>
      <c r="I950" s="30"/>
    </row>
    <row r="951" spans="1:9" ht="15" hidden="1">
      <c r="A951" s="26" t="s">
        <v>956</v>
      </c>
      <c r="B951" s="27"/>
      <c r="C951" s="28" t="s">
        <v>940</v>
      </c>
      <c r="D951" s="28" t="s">
        <v>293</v>
      </c>
      <c r="E951" s="28"/>
      <c r="F951" s="29"/>
      <c r="G951" s="30">
        <f>SUM(G952)</f>
        <v>0</v>
      </c>
      <c r="H951" s="30">
        <f>SUM(H952)</f>
        <v>186.6</v>
      </c>
      <c r="I951" s="30" t="e">
        <f aca="true" t="shared" si="33" ref="I951:I962">SUM(H951/G951*100)</f>
        <v>#DIV/0!</v>
      </c>
    </row>
    <row r="952" spans="1:9" ht="28.5" hidden="1">
      <c r="A952" s="31" t="s">
        <v>958</v>
      </c>
      <c r="B952" s="27"/>
      <c r="C952" s="28" t="s">
        <v>940</v>
      </c>
      <c r="D952" s="28" t="s">
        <v>293</v>
      </c>
      <c r="E952" s="28" t="s">
        <v>959</v>
      </c>
      <c r="F952" s="29"/>
      <c r="G952" s="30">
        <f>SUM(G954)</f>
        <v>0</v>
      </c>
      <c r="H952" s="30">
        <f>SUM(H954)</f>
        <v>186.6</v>
      </c>
      <c r="I952" s="30" t="e">
        <f t="shared" si="33"/>
        <v>#DIV/0!</v>
      </c>
    </row>
    <row r="953" spans="1:9" ht="15" hidden="1">
      <c r="A953" s="31" t="s">
        <v>960</v>
      </c>
      <c r="B953" s="27"/>
      <c r="C953" s="28" t="s">
        <v>940</v>
      </c>
      <c r="D953" s="28" t="s">
        <v>293</v>
      </c>
      <c r="E953" s="28" t="s">
        <v>961</v>
      </c>
      <c r="F953" s="29"/>
      <c r="G953" s="30">
        <f>SUM(G954)</f>
        <v>0</v>
      </c>
      <c r="H953" s="30">
        <f>SUM(H954)</f>
        <v>186.6</v>
      </c>
      <c r="I953" s="30" t="e">
        <f t="shared" si="33"/>
        <v>#DIV/0!</v>
      </c>
    </row>
    <row r="954" spans="1:9" ht="27" customHeight="1" hidden="1">
      <c r="A954" s="26" t="s">
        <v>947</v>
      </c>
      <c r="B954" s="27"/>
      <c r="C954" s="28" t="s">
        <v>940</v>
      </c>
      <c r="D954" s="28" t="s">
        <v>293</v>
      </c>
      <c r="E954" s="28" t="s">
        <v>961</v>
      </c>
      <c r="F954" s="29" t="s">
        <v>948</v>
      </c>
      <c r="G954" s="30">
        <f>276.8-276.8</f>
        <v>0</v>
      </c>
      <c r="H954" s="30">
        <v>186.6</v>
      </c>
      <c r="I954" s="30" t="e">
        <f t="shared" si="33"/>
        <v>#DIV/0!</v>
      </c>
    </row>
    <row r="955" spans="1:9" s="4" customFormat="1" ht="15">
      <c r="A955" s="44" t="s">
        <v>962</v>
      </c>
      <c r="B955" s="70"/>
      <c r="C955" s="67" t="s">
        <v>963</v>
      </c>
      <c r="D955" s="67"/>
      <c r="E955" s="67"/>
      <c r="F955" s="34"/>
      <c r="G955" s="30">
        <f>SUM(G956,G965,G983)</f>
        <v>54476.399999999994</v>
      </c>
      <c r="H955" s="50" t="e">
        <f>SUM(H956+H1002+H1080+H1108)</f>
        <v>#REF!</v>
      </c>
      <c r="I955" s="50" t="e">
        <f t="shared" si="33"/>
        <v>#REF!</v>
      </c>
    </row>
    <row r="956" spans="1:9" s="64" customFormat="1" ht="15.75" customHeight="1">
      <c r="A956" s="26" t="s">
        <v>231</v>
      </c>
      <c r="B956" s="36"/>
      <c r="C956" s="28" t="s">
        <v>963</v>
      </c>
      <c r="D956" s="28" t="s">
        <v>942</v>
      </c>
      <c r="E956" s="28"/>
      <c r="F956" s="29"/>
      <c r="G956" s="30">
        <f>SUM(G960+G957)</f>
        <v>49206.299999999996</v>
      </c>
      <c r="H956" s="30" t="e">
        <f>SUM(H995+#REF!+H1030+H1050)+H1055+H1023+H1044+H1041+H960+H1059</f>
        <v>#REF!</v>
      </c>
      <c r="I956" s="30" t="e">
        <f t="shared" si="33"/>
        <v>#REF!</v>
      </c>
    </row>
    <row r="957" spans="1:9" ht="15">
      <c r="A957" s="26" t="s">
        <v>94</v>
      </c>
      <c r="B957" s="27"/>
      <c r="C957" s="28" t="s">
        <v>963</v>
      </c>
      <c r="D957" s="28" t="s">
        <v>942</v>
      </c>
      <c r="E957" s="28" t="s">
        <v>95</v>
      </c>
      <c r="F957" s="29"/>
      <c r="G957" s="30">
        <f>SUM(G958)</f>
        <v>317.1</v>
      </c>
      <c r="H957" s="30">
        <f>SUM(H958)</f>
        <v>59030.5</v>
      </c>
      <c r="I957" s="30">
        <f t="shared" si="33"/>
        <v>18615.73636076947</v>
      </c>
    </row>
    <row r="958" spans="1:9" ht="15">
      <c r="A958" s="26" t="s">
        <v>96</v>
      </c>
      <c r="B958" s="27"/>
      <c r="C958" s="28" t="s">
        <v>963</v>
      </c>
      <c r="D958" s="28" t="s">
        <v>942</v>
      </c>
      <c r="E958" s="28" t="s">
        <v>97</v>
      </c>
      <c r="F958" s="29"/>
      <c r="G958" s="30">
        <f>SUM(G959)</f>
        <v>317.1</v>
      </c>
      <c r="H958" s="30">
        <f>SUM(H959+H960)</f>
        <v>59030.5</v>
      </c>
      <c r="I958" s="30">
        <f t="shared" si="33"/>
        <v>18615.73636076947</v>
      </c>
    </row>
    <row r="959" spans="1:9" ht="15">
      <c r="A959" s="26" t="s">
        <v>969</v>
      </c>
      <c r="B959" s="27"/>
      <c r="C959" s="28" t="s">
        <v>963</v>
      </c>
      <c r="D959" s="28" t="s">
        <v>942</v>
      </c>
      <c r="E959" s="28" t="s">
        <v>97</v>
      </c>
      <c r="F959" s="29" t="s">
        <v>970</v>
      </c>
      <c r="G959" s="30">
        <v>317.1</v>
      </c>
      <c r="H959" s="30">
        <v>964</v>
      </c>
      <c r="I959" s="30">
        <f t="shared" si="33"/>
        <v>304.0050457269</v>
      </c>
    </row>
    <row r="960" spans="1:9" ht="18" customHeight="1">
      <c r="A960" s="26" t="s">
        <v>360</v>
      </c>
      <c r="B960" s="27"/>
      <c r="C960" s="28" t="s">
        <v>963</v>
      </c>
      <c r="D960" s="28" t="s">
        <v>942</v>
      </c>
      <c r="E960" s="28" t="s">
        <v>602</v>
      </c>
      <c r="F960" s="29"/>
      <c r="G960" s="30">
        <f>SUM(G961+G963)</f>
        <v>48889.2</v>
      </c>
      <c r="H960" s="30">
        <f>SUM(H961)</f>
        <v>58066.5</v>
      </c>
      <c r="I960" s="30">
        <f t="shared" si="33"/>
        <v>118.77163054416928</v>
      </c>
    </row>
    <row r="961" spans="1:9" ht="28.5" customHeight="1">
      <c r="A961" s="26" t="s">
        <v>234</v>
      </c>
      <c r="B961" s="36"/>
      <c r="C961" s="28" t="s">
        <v>963</v>
      </c>
      <c r="D961" s="28" t="s">
        <v>942</v>
      </c>
      <c r="E961" s="28" t="s">
        <v>362</v>
      </c>
      <c r="F961" s="29"/>
      <c r="G961" s="30">
        <f>SUM(G962)</f>
        <v>48889.2</v>
      </c>
      <c r="H961" s="30">
        <f>SUM(H962+H997+H995)</f>
        <v>58066.5</v>
      </c>
      <c r="I961" s="30">
        <f t="shared" si="33"/>
        <v>118.77163054416928</v>
      </c>
    </row>
    <row r="962" spans="1:9" ht="15.75" customHeight="1">
      <c r="A962" s="26" t="s">
        <v>969</v>
      </c>
      <c r="B962" s="36"/>
      <c r="C962" s="28" t="s">
        <v>963</v>
      </c>
      <c r="D962" s="28" t="s">
        <v>942</v>
      </c>
      <c r="E962" s="28" t="s">
        <v>362</v>
      </c>
      <c r="F962" s="29" t="s">
        <v>970</v>
      </c>
      <c r="G962" s="30">
        <f>49428.6-539.4</f>
        <v>48889.2</v>
      </c>
      <c r="H962" s="30">
        <v>56722</v>
      </c>
      <c r="I962" s="30">
        <f t="shared" si="33"/>
        <v>116.02153440841741</v>
      </c>
    </row>
    <row r="963" spans="1:9" ht="15.75" customHeight="1" hidden="1">
      <c r="A963" s="26" t="s">
        <v>603</v>
      </c>
      <c r="B963" s="36"/>
      <c r="C963" s="28" t="s">
        <v>963</v>
      </c>
      <c r="D963" s="28" t="s">
        <v>942</v>
      </c>
      <c r="E963" s="28" t="s">
        <v>604</v>
      </c>
      <c r="F963" s="29"/>
      <c r="G963" s="30">
        <f>SUM(G964)</f>
        <v>0</v>
      </c>
      <c r="H963" s="30"/>
      <c r="I963" s="30"/>
    </row>
    <row r="964" spans="1:9" ht="17.25" customHeight="1" hidden="1">
      <c r="A964" s="26" t="s">
        <v>605</v>
      </c>
      <c r="B964" s="36"/>
      <c r="C964" s="28" t="s">
        <v>963</v>
      </c>
      <c r="D964" s="28" t="s">
        <v>942</v>
      </c>
      <c r="E964" s="28" t="s">
        <v>604</v>
      </c>
      <c r="F964" s="29" t="s">
        <v>606</v>
      </c>
      <c r="G964" s="30"/>
      <c r="H964" s="30"/>
      <c r="I964" s="30"/>
    </row>
    <row r="965" spans="1:9" ht="23.25" customHeight="1">
      <c r="A965" s="26" t="s">
        <v>964</v>
      </c>
      <c r="B965" s="32"/>
      <c r="C965" s="28" t="s">
        <v>963</v>
      </c>
      <c r="D965" s="28" t="s">
        <v>963</v>
      </c>
      <c r="E965" s="28"/>
      <c r="F965" s="29"/>
      <c r="G965" s="30">
        <f>SUM(G970)+G979</f>
        <v>3977.6000000000004</v>
      </c>
      <c r="H965" s="30" t="e">
        <f>SUM(H970+H994+H1001+H966)</f>
        <v>#REF!</v>
      </c>
      <c r="I965" s="30" t="e">
        <f aca="true" t="shared" si="34" ref="I965:I972">SUM(H965/G965*100)</f>
        <v>#REF!</v>
      </c>
    </row>
    <row r="966" spans="1:9" ht="15" hidden="1">
      <c r="A966" s="26" t="s">
        <v>94</v>
      </c>
      <c r="B966" s="27"/>
      <c r="C966" s="28" t="s">
        <v>963</v>
      </c>
      <c r="D966" s="28" t="s">
        <v>963</v>
      </c>
      <c r="E966" s="28" t="s">
        <v>95</v>
      </c>
      <c r="F966" s="29"/>
      <c r="G966" s="30">
        <f>SUM(G967)</f>
        <v>0</v>
      </c>
      <c r="H966" s="30">
        <f>SUM(H967)</f>
        <v>1563.8</v>
      </c>
      <c r="I966" s="30" t="e">
        <f t="shared" si="34"/>
        <v>#DIV/0!</v>
      </c>
    </row>
    <row r="967" spans="1:9" ht="15" hidden="1">
      <c r="A967" s="26" t="s">
        <v>96</v>
      </c>
      <c r="B967" s="27"/>
      <c r="C967" s="28" t="s">
        <v>963</v>
      </c>
      <c r="D967" s="28" t="s">
        <v>963</v>
      </c>
      <c r="E967" s="28" t="s">
        <v>97</v>
      </c>
      <c r="F967" s="29"/>
      <c r="G967" s="30">
        <f>SUM(G968+G969)</f>
        <v>0</v>
      </c>
      <c r="H967" s="30">
        <f>SUM(H968+H969)</f>
        <v>1563.8</v>
      </c>
      <c r="I967" s="30" t="e">
        <f t="shared" si="34"/>
        <v>#DIV/0!</v>
      </c>
    </row>
    <row r="968" spans="1:9" ht="15" hidden="1">
      <c r="A968" s="26" t="s">
        <v>969</v>
      </c>
      <c r="B968" s="27"/>
      <c r="C968" s="28" t="s">
        <v>963</v>
      </c>
      <c r="D968" s="28" t="s">
        <v>963</v>
      </c>
      <c r="E968" s="28" t="s">
        <v>97</v>
      </c>
      <c r="F968" s="29" t="s">
        <v>970</v>
      </c>
      <c r="G968" s="30"/>
      <c r="H968" s="30">
        <v>964</v>
      </c>
      <c r="I968" s="30" t="e">
        <f t="shared" si="34"/>
        <v>#DIV/0!</v>
      </c>
    </row>
    <row r="969" spans="1:9" ht="15" hidden="1">
      <c r="A969" s="26" t="s">
        <v>459</v>
      </c>
      <c r="B969" s="27"/>
      <c r="C969" s="28" t="s">
        <v>963</v>
      </c>
      <c r="D969" s="28" t="s">
        <v>963</v>
      </c>
      <c r="E969" s="28" t="s">
        <v>97</v>
      </c>
      <c r="F969" s="29" t="s">
        <v>460</v>
      </c>
      <c r="G969" s="30"/>
      <c r="H969" s="30">
        <v>599.8</v>
      </c>
      <c r="I969" s="30" t="e">
        <f t="shared" si="34"/>
        <v>#DIV/0!</v>
      </c>
    </row>
    <row r="970" spans="1:9" ht="28.5">
      <c r="A970" s="26" t="s">
        <v>365</v>
      </c>
      <c r="B970" s="27"/>
      <c r="C970" s="28" t="s">
        <v>963</v>
      </c>
      <c r="D970" s="28" t="s">
        <v>963</v>
      </c>
      <c r="E970" s="28" t="s">
        <v>366</v>
      </c>
      <c r="F970" s="29"/>
      <c r="G970" s="30">
        <f>SUM(G971+G977)</f>
        <v>3797.6000000000004</v>
      </c>
      <c r="H970" s="30" t="e">
        <f>SUM(H971+#REF!+#REF!)</f>
        <v>#REF!</v>
      </c>
      <c r="I970" s="30" t="e">
        <f t="shared" si="34"/>
        <v>#REF!</v>
      </c>
    </row>
    <row r="971" spans="1:9" ht="18" customHeight="1">
      <c r="A971" s="26" t="s">
        <v>367</v>
      </c>
      <c r="B971" s="28"/>
      <c r="C971" s="28" t="s">
        <v>963</v>
      </c>
      <c r="D971" s="28" t="s">
        <v>963</v>
      </c>
      <c r="E971" s="28" t="s">
        <v>368</v>
      </c>
      <c r="F971" s="29"/>
      <c r="G971" s="30">
        <f>SUM(G972+G975+G973)</f>
        <v>1842.6000000000001</v>
      </c>
      <c r="H971" s="30">
        <f>SUM(H972:H978)</f>
        <v>2394.5</v>
      </c>
      <c r="I971" s="30">
        <f t="shared" si="34"/>
        <v>129.9522413980245</v>
      </c>
    </row>
    <row r="972" spans="1:9" ht="15" customHeight="1">
      <c r="A972" s="26" t="s">
        <v>969</v>
      </c>
      <c r="B972" s="27"/>
      <c r="C972" s="28" t="s">
        <v>963</v>
      </c>
      <c r="D972" s="28" t="s">
        <v>963</v>
      </c>
      <c r="E972" s="28" t="s">
        <v>368</v>
      </c>
      <c r="F972" s="29" t="s">
        <v>970</v>
      </c>
      <c r="G972" s="30">
        <v>1039.4</v>
      </c>
      <c r="H972" s="30">
        <v>341.9</v>
      </c>
      <c r="I972" s="30">
        <f t="shared" si="34"/>
        <v>32.89397729459303</v>
      </c>
    </row>
    <row r="973" spans="1:9" ht="30" customHeight="1">
      <c r="A973" s="26" t="s">
        <v>607</v>
      </c>
      <c r="B973" s="27"/>
      <c r="C973" s="28" t="s">
        <v>963</v>
      </c>
      <c r="D973" s="28" t="s">
        <v>963</v>
      </c>
      <c r="E973" s="28" t="s">
        <v>608</v>
      </c>
      <c r="F973" s="29"/>
      <c r="G973" s="30">
        <f>SUM(G974)</f>
        <v>378.2</v>
      </c>
      <c r="H973" s="30"/>
      <c r="I973" s="30"/>
    </row>
    <row r="974" spans="1:9" ht="18.75" customHeight="1">
      <c r="A974" s="26" t="s">
        <v>969</v>
      </c>
      <c r="B974" s="27"/>
      <c r="C974" s="28" t="s">
        <v>963</v>
      </c>
      <c r="D974" s="28" t="s">
        <v>963</v>
      </c>
      <c r="E974" s="28" t="s">
        <v>608</v>
      </c>
      <c r="F974" s="29" t="s">
        <v>970</v>
      </c>
      <c r="G974" s="30">
        <v>378.2</v>
      </c>
      <c r="H974" s="30"/>
      <c r="I974" s="30"/>
    </row>
    <row r="975" spans="1:9" ht="57.75" customHeight="1">
      <c r="A975" s="26" t="s">
        <v>609</v>
      </c>
      <c r="B975" s="27"/>
      <c r="C975" s="28" t="s">
        <v>963</v>
      </c>
      <c r="D975" s="28" t="s">
        <v>963</v>
      </c>
      <c r="E975" s="28" t="s">
        <v>610</v>
      </c>
      <c r="F975" s="29"/>
      <c r="G975" s="30">
        <f>SUM(G976)</f>
        <v>425</v>
      </c>
      <c r="H975" s="30"/>
      <c r="I975" s="30"/>
    </row>
    <row r="976" spans="1:9" ht="15.75" customHeight="1">
      <c r="A976" s="26" t="s">
        <v>969</v>
      </c>
      <c r="B976" s="27"/>
      <c r="C976" s="28" t="s">
        <v>963</v>
      </c>
      <c r="D976" s="28" t="s">
        <v>963</v>
      </c>
      <c r="E976" s="28" t="s">
        <v>610</v>
      </c>
      <c r="F976" s="29" t="s">
        <v>970</v>
      </c>
      <c r="G976" s="30">
        <v>425</v>
      </c>
      <c r="H976" s="30"/>
      <c r="I976" s="30"/>
    </row>
    <row r="977" spans="1:9" ht="30.75" customHeight="1">
      <c r="A977" s="26" t="s">
        <v>234</v>
      </c>
      <c r="B977" s="27"/>
      <c r="C977" s="28" t="s">
        <v>963</v>
      </c>
      <c r="D977" s="28" t="s">
        <v>963</v>
      </c>
      <c r="E977" s="28" t="s">
        <v>611</v>
      </c>
      <c r="F977" s="29"/>
      <c r="G977" s="30">
        <f>SUM(G978)</f>
        <v>1955</v>
      </c>
      <c r="H977" s="30">
        <f>SUM(H978)</f>
        <v>1026.3</v>
      </c>
      <c r="I977" s="30">
        <f>SUM(H977/G977*100)</f>
        <v>52.49616368286445</v>
      </c>
    </row>
    <row r="978" spans="1:9" ht="18.75" customHeight="1">
      <c r="A978" s="26" t="s">
        <v>969</v>
      </c>
      <c r="B978" s="27"/>
      <c r="C978" s="28" t="s">
        <v>963</v>
      </c>
      <c r="D978" s="28" t="s">
        <v>963</v>
      </c>
      <c r="E978" s="28" t="s">
        <v>611</v>
      </c>
      <c r="F978" s="29" t="s">
        <v>970</v>
      </c>
      <c r="G978" s="30">
        <f>1963.9-8.9</f>
        <v>1955</v>
      </c>
      <c r="H978" s="30">
        <v>1026.3</v>
      </c>
      <c r="I978" s="30">
        <f>SUM(H978/G978*100)</f>
        <v>52.49616368286445</v>
      </c>
    </row>
    <row r="979" spans="1:9" ht="28.5">
      <c r="A979" s="31" t="s">
        <v>965</v>
      </c>
      <c r="B979" s="32"/>
      <c r="C979" s="28" t="s">
        <v>963</v>
      </c>
      <c r="D979" s="28" t="s">
        <v>963</v>
      </c>
      <c r="E979" s="28" t="s">
        <v>966</v>
      </c>
      <c r="F979" s="29"/>
      <c r="G979" s="30">
        <f>SUM(G980)</f>
        <v>180</v>
      </c>
      <c r="H979" s="30">
        <f>SUM(H982+H984+H986)</f>
        <v>21856.899999999998</v>
      </c>
      <c r="I979" s="30">
        <f>SUM(H979/G979*100)</f>
        <v>12142.72222222222</v>
      </c>
    </row>
    <row r="980" spans="1:9" ht="42.75">
      <c r="A980" s="31" t="s">
        <v>612</v>
      </c>
      <c r="B980" s="32"/>
      <c r="C980" s="28" t="s">
        <v>963</v>
      </c>
      <c r="D980" s="28" t="s">
        <v>963</v>
      </c>
      <c r="E980" s="28" t="s">
        <v>613</v>
      </c>
      <c r="F980" s="29"/>
      <c r="G980" s="30">
        <f>SUM(G982)</f>
        <v>180</v>
      </c>
      <c r="H980" s="30">
        <f>SUM(H982)</f>
        <v>2757.3</v>
      </c>
      <c r="I980" s="30">
        <f>SUM(H980/G980*100)</f>
        <v>1531.8333333333335</v>
      </c>
    </row>
    <row r="981" spans="1:9" ht="57">
      <c r="A981" s="31" t="s">
        <v>614</v>
      </c>
      <c r="B981" s="32"/>
      <c r="C981" s="28" t="s">
        <v>963</v>
      </c>
      <c r="D981" s="28" t="s">
        <v>963</v>
      </c>
      <c r="E981" s="28" t="s">
        <v>615</v>
      </c>
      <c r="F981" s="29"/>
      <c r="G981" s="30">
        <f>SUM(G982)</f>
        <v>180</v>
      </c>
      <c r="H981" s="30"/>
      <c r="I981" s="30"/>
    </row>
    <row r="982" spans="1:9" ht="15" customHeight="1">
      <c r="A982" s="26" t="s">
        <v>969</v>
      </c>
      <c r="B982" s="32"/>
      <c r="C982" s="28" t="s">
        <v>963</v>
      </c>
      <c r="D982" s="28" t="s">
        <v>963</v>
      </c>
      <c r="E982" s="28" t="s">
        <v>615</v>
      </c>
      <c r="F982" s="29" t="s">
        <v>970</v>
      </c>
      <c r="G982" s="30">
        <v>180</v>
      </c>
      <c r="H982" s="30">
        <v>2757.3</v>
      </c>
      <c r="I982" s="30">
        <f>SUM(H982/G982*100)</f>
        <v>1531.8333333333335</v>
      </c>
    </row>
    <row r="983" spans="1:9" ht="18.75" customHeight="1">
      <c r="A983" s="26" t="s">
        <v>369</v>
      </c>
      <c r="B983" s="27"/>
      <c r="C983" s="28" t="s">
        <v>963</v>
      </c>
      <c r="D983" s="28" t="s">
        <v>25</v>
      </c>
      <c r="E983" s="28"/>
      <c r="F983" s="29"/>
      <c r="G983" s="30">
        <f>SUM(G987)+G984</f>
        <v>1292.5</v>
      </c>
      <c r="H983" s="30"/>
      <c r="I983" s="30"/>
    </row>
    <row r="984" spans="1:9" ht="18.75" customHeight="1">
      <c r="A984" s="26" t="s">
        <v>67</v>
      </c>
      <c r="B984" s="36"/>
      <c r="C984" s="28" t="s">
        <v>963</v>
      </c>
      <c r="D984" s="28" t="s">
        <v>25</v>
      </c>
      <c r="E984" s="28" t="s">
        <v>68</v>
      </c>
      <c r="F984" s="29"/>
      <c r="G984" s="30">
        <f>SUM(G985)</f>
        <v>320</v>
      </c>
      <c r="H984" s="30">
        <f>SUM(H985)</f>
        <v>9549.8</v>
      </c>
      <c r="I984" s="30">
        <f>SUM(H984/G984*100)</f>
        <v>2984.3124999999995</v>
      </c>
    </row>
    <row r="985" spans="1:9" ht="58.5" customHeight="1">
      <c r="A985" s="26" t="s">
        <v>616</v>
      </c>
      <c r="B985" s="36"/>
      <c r="C985" s="28" t="s">
        <v>963</v>
      </c>
      <c r="D985" s="28" t="s">
        <v>25</v>
      </c>
      <c r="E985" s="28" t="s">
        <v>617</v>
      </c>
      <c r="F985" s="29"/>
      <c r="G985" s="30">
        <f>SUM(G986)</f>
        <v>320</v>
      </c>
      <c r="H985" s="30">
        <f>SUM(H986)</f>
        <v>9549.8</v>
      </c>
      <c r="I985" s="30">
        <f>SUM(H985/G985*100)</f>
        <v>2984.3124999999995</v>
      </c>
    </row>
    <row r="986" spans="1:9" ht="18.75" customHeight="1">
      <c r="A986" s="26" t="s">
        <v>969</v>
      </c>
      <c r="B986" s="36"/>
      <c r="C986" s="28" t="s">
        <v>963</v>
      </c>
      <c r="D986" s="28" t="s">
        <v>25</v>
      </c>
      <c r="E986" s="28" t="s">
        <v>617</v>
      </c>
      <c r="F986" s="29" t="s">
        <v>970</v>
      </c>
      <c r="G986" s="30">
        <v>320</v>
      </c>
      <c r="H986" s="30">
        <v>9549.8</v>
      </c>
      <c r="I986" s="30">
        <f>SUM(H986/G986*100)</f>
        <v>2984.3124999999995</v>
      </c>
    </row>
    <row r="987" spans="1:9" ht="21" customHeight="1">
      <c r="A987" s="26" t="s">
        <v>20</v>
      </c>
      <c r="B987" s="80"/>
      <c r="C987" s="28" t="s">
        <v>963</v>
      </c>
      <c r="D987" s="28" t="s">
        <v>25</v>
      </c>
      <c r="E987" s="28" t="s">
        <v>21</v>
      </c>
      <c r="F987" s="29"/>
      <c r="G987" s="30">
        <f>SUM(G988)</f>
        <v>972.5</v>
      </c>
      <c r="H987" s="30">
        <f>SUM(H988)</f>
        <v>4033.5</v>
      </c>
      <c r="I987" s="30">
        <f>SUM(H987/G987*100)</f>
        <v>414.7557840616966</v>
      </c>
    </row>
    <row r="988" spans="1:9" ht="19.5" customHeight="1">
      <c r="A988" s="26" t="s">
        <v>459</v>
      </c>
      <c r="B988" s="80"/>
      <c r="C988" s="28" t="s">
        <v>963</v>
      </c>
      <c r="D988" s="28" t="s">
        <v>25</v>
      </c>
      <c r="E988" s="28" t="s">
        <v>21</v>
      </c>
      <c r="F988" s="29" t="s">
        <v>460</v>
      </c>
      <c r="G988" s="30">
        <f>SUM(G990,G991,G992,G989)</f>
        <v>972.5</v>
      </c>
      <c r="H988" s="30">
        <f>SUM(H994:H998)</f>
        <v>4033.5</v>
      </c>
      <c r="I988" s="30">
        <f>SUM(H988/G988*100)</f>
        <v>414.7557840616966</v>
      </c>
    </row>
    <row r="989" spans="1:9" ht="47.25" customHeight="1">
      <c r="A989" s="26" t="s">
        <v>618</v>
      </c>
      <c r="B989" s="80"/>
      <c r="C989" s="28" t="s">
        <v>963</v>
      </c>
      <c r="D989" s="28" t="s">
        <v>25</v>
      </c>
      <c r="E989" s="28" t="s">
        <v>619</v>
      </c>
      <c r="F989" s="29" t="s">
        <v>460</v>
      </c>
      <c r="G989" s="30">
        <v>50</v>
      </c>
      <c r="H989" s="30"/>
      <c r="I989" s="30"/>
    </row>
    <row r="990" spans="1:9" ht="44.25" customHeight="1">
      <c r="A990" s="26" t="s">
        <v>620</v>
      </c>
      <c r="B990" s="80"/>
      <c r="C990" s="28" t="s">
        <v>963</v>
      </c>
      <c r="D990" s="28" t="s">
        <v>25</v>
      </c>
      <c r="E990" s="28" t="s">
        <v>402</v>
      </c>
      <c r="F990" s="29" t="s">
        <v>460</v>
      </c>
      <c r="G990" s="30">
        <v>922.5</v>
      </c>
      <c r="H990" s="30"/>
      <c r="I990" s="30"/>
    </row>
    <row r="991" spans="1:9" ht="71.25" customHeight="1" hidden="1">
      <c r="A991" s="26" t="s">
        <v>621</v>
      </c>
      <c r="B991" s="80"/>
      <c r="C991" s="28" t="s">
        <v>963</v>
      </c>
      <c r="D991" s="28" t="s">
        <v>25</v>
      </c>
      <c r="E991" s="28" t="s">
        <v>622</v>
      </c>
      <c r="F991" s="29" t="s">
        <v>460</v>
      </c>
      <c r="G991" s="30"/>
      <c r="H991" s="30"/>
      <c r="I991" s="30"/>
    </row>
    <row r="992" spans="1:9" ht="33.75" customHeight="1" hidden="1">
      <c r="A992" s="26" t="s">
        <v>623</v>
      </c>
      <c r="B992" s="80"/>
      <c r="C992" s="28" t="s">
        <v>963</v>
      </c>
      <c r="D992" s="28" t="s">
        <v>25</v>
      </c>
      <c r="E992" s="28" t="s">
        <v>624</v>
      </c>
      <c r="F992" s="29" t="s">
        <v>460</v>
      </c>
      <c r="G992" s="30"/>
      <c r="H992" s="30"/>
      <c r="I992" s="30"/>
    </row>
    <row r="993" spans="1:9" s="4" customFormat="1" ht="18.75" customHeight="1">
      <c r="A993" s="44" t="s">
        <v>390</v>
      </c>
      <c r="B993" s="70"/>
      <c r="C993" s="67" t="s">
        <v>432</v>
      </c>
      <c r="D993" s="67"/>
      <c r="E993" s="67"/>
      <c r="F993" s="34"/>
      <c r="G993" s="50">
        <f>SUM(G994+G1000)</f>
        <v>6472.700000000001</v>
      </c>
      <c r="H993" s="50" t="e">
        <f>SUM(H994+#REF!+H1025+H1030+H1042+H1053)</f>
        <v>#REF!</v>
      </c>
      <c r="I993" s="50" t="e">
        <f>SUM(H993/G993*100)</f>
        <v>#REF!</v>
      </c>
    </row>
    <row r="994" spans="1:9" ht="18" customHeight="1">
      <c r="A994" s="26" t="s">
        <v>625</v>
      </c>
      <c r="B994" s="27"/>
      <c r="C994" s="28" t="s">
        <v>432</v>
      </c>
      <c r="D994" s="28" t="s">
        <v>940</v>
      </c>
      <c r="E994" s="28"/>
      <c r="F994" s="29"/>
      <c r="G994" s="30">
        <f>SUM(G995,G997)</f>
        <v>2938.4</v>
      </c>
      <c r="H994" s="30">
        <f>SUM(H997+H1000+H995)</f>
        <v>1344.5</v>
      </c>
      <c r="I994" s="30">
        <f>SUM(H994/G994*100)</f>
        <v>45.75619384699156</v>
      </c>
    </row>
    <row r="995" spans="1:9" ht="16.5" customHeight="1" hidden="1">
      <c r="A995" s="26" t="s">
        <v>96</v>
      </c>
      <c r="B995" s="27"/>
      <c r="C995" s="28" t="s">
        <v>25</v>
      </c>
      <c r="D995" s="28" t="s">
        <v>7</v>
      </c>
      <c r="E995" s="28" t="s">
        <v>97</v>
      </c>
      <c r="F995" s="29"/>
      <c r="G995" s="30">
        <f>SUM(G996)</f>
        <v>0</v>
      </c>
      <c r="H995" s="30">
        <f>SUM(H996)</f>
        <v>79.5</v>
      </c>
      <c r="I995" s="30"/>
    </row>
    <row r="996" spans="1:9" ht="25.5" customHeight="1" hidden="1">
      <c r="A996" s="26" t="s">
        <v>947</v>
      </c>
      <c r="B996" s="27"/>
      <c r="C996" s="28" t="s">
        <v>25</v>
      </c>
      <c r="D996" s="28" t="s">
        <v>7</v>
      </c>
      <c r="E996" s="28" t="s">
        <v>97</v>
      </c>
      <c r="F996" s="29" t="s">
        <v>948</v>
      </c>
      <c r="G996" s="30">
        <f>50.3-50.3</f>
        <v>0</v>
      </c>
      <c r="H996" s="30">
        <v>79.5</v>
      </c>
      <c r="I996" s="30"/>
    </row>
    <row r="997" spans="1:9" ht="28.5">
      <c r="A997" s="26" t="s">
        <v>391</v>
      </c>
      <c r="B997" s="27"/>
      <c r="C997" s="28" t="s">
        <v>432</v>
      </c>
      <c r="D997" s="28" t="s">
        <v>940</v>
      </c>
      <c r="E997" s="75" t="s">
        <v>392</v>
      </c>
      <c r="F997" s="29"/>
      <c r="G997" s="30">
        <f>SUM(G998)</f>
        <v>2938.4</v>
      </c>
      <c r="H997" s="30">
        <f>SUM(H998)</f>
        <v>1265</v>
      </c>
      <c r="I997" s="30">
        <f>SUM(H997/G997*100)</f>
        <v>43.05063980397495</v>
      </c>
    </row>
    <row r="998" spans="1:9" ht="30" customHeight="1">
      <c r="A998" s="26" t="s">
        <v>393</v>
      </c>
      <c r="B998" s="27"/>
      <c r="C998" s="28" t="s">
        <v>432</v>
      </c>
      <c r="D998" s="28" t="s">
        <v>940</v>
      </c>
      <c r="E998" s="75" t="s">
        <v>394</v>
      </c>
      <c r="F998" s="29"/>
      <c r="G998" s="30">
        <f>SUM(G999)</f>
        <v>2938.4</v>
      </c>
      <c r="H998" s="30">
        <f>SUM(H999)</f>
        <v>1265</v>
      </c>
      <c r="I998" s="30">
        <f>SUM(H998/G998*100)</f>
        <v>43.05063980397495</v>
      </c>
    </row>
    <row r="999" spans="1:9" ht="30" customHeight="1">
      <c r="A999" s="26" t="s">
        <v>947</v>
      </c>
      <c r="B999" s="27"/>
      <c r="C999" s="28" t="s">
        <v>432</v>
      </c>
      <c r="D999" s="28" t="s">
        <v>940</v>
      </c>
      <c r="E999" s="75" t="s">
        <v>394</v>
      </c>
      <c r="F999" s="29" t="s">
        <v>948</v>
      </c>
      <c r="G999" s="30">
        <f>2949.4-11</f>
        <v>2938.4</v>
      </c>
      <c r="H999" s="30">
        <v>1265</v>
      </c>
      <c r="I999" s="30">
        <f>SUM(H999/G999*100)</f>
        <v>43.05063980397495</v>
      </c>
    </row>
    <row r="1000" spans="1:9" ht="28.5">
      <c r="A1000" s="26" t="s">
        <v>433</v>
      </c>
      <c r="B1000" s="27"/>
      <c r="C1000" s="28" t="s">
        <v>432</v>
      </c>
      <c r="D1000" s="28" t="s">
        <v>31</v>
      </c>
      <c r="E1000" s="28"/>
      <c r="F1000" s="29"/>
      <c r="G1000" s="30">
        <f>SUM(G1001+G1004+G1006)</f>
        <v>3534.3</v>
      </c>
      <c r="H1000" s="30"/>
      <c r="I1000" s="30"/>
    </row>
    <row r="1001" spans="1:9" ht="42.75" customHeight="1">
      <c r="A1001" s="26" t="s">
        <v>943</v>
      </c>
      <c r="B1001" s="27"/>
      <c r="C1001" s="28" t="s">
        <v>432</v>
      </c>
      <c r="D1001" s="28" t="s">
        <v>31</v>
      </c>
      <c r="E1001" s="28" t="s">
        <v>944</v>
      </c>
      <c r="F1001" s="29"/>
      <c r="G1001" s="30">
        <f>SUM(G1002)</f>
        <v>3534.3</v>
      </c>
      <c r="H1001" s="37"/>
      <c r="I1001" s="30"/>
    </row>
    <row r="1002" spans="1:9" ht="20.25" customHeight="1">
      <c r="A1002" s="26" t="s">
        <v>951</v>
      </c>
      <c r="B1002" s="27"/>
      <c r="C1002" s="28" t="s">
        <v>432</v>
      </c>
      <c r="D1002" s="28" t="s">
        <v>31</v>
      </c>
      <c r="E1002" s="28" t="s">
        <v>953</v>
      </c>
      <c r="F1002" s="29"/>
      <c r="G1002" s="30">
        <f>SUM(G1003)</f>
        <v>3534.3</v>
      </c>
      <c r="H1002" s="37"/>
      <c r="I1002" s="30"/>
    </row>
    <row r="1003" spans="1:9" ht="30.75" customHeight="1">
      <c r="A1003" s="26" t="s">
        <v>947</v>
      </c>
      <c r="B1003" s="27"/>
      <c r="C1003" s="28" t="s">
        <v>432</v>
      </c>
      <c r="D1003" s="28" t="s">
        <v>31</v>
      </c>
      <c r="E1003" s="28" t="s">
        <v>953</v>
      </c>
      <c r="F1003" s="29" t="s">
        <v>948</v>
      </c>
      <c r="G1003" s="30">
        <f>3395.9+138.4</f>
        <v>3534.3</v>
      </c>
      <c r="H1003" s="37"/>
      <c r="I1003" s="30"/>
    </row>
    <row r="1004" spans="1:9" ht="15" hidden="1">
      <c r="A1004" s="26" t="s">
        <v>96</v>
      </c>
      <c r="B1004" s="27"/>
      <c r="C1004" s="28" t="s">
        <v>432</v>
      </c>
      <c r="D1004" s="28" t="s">
        <v>31</v>
      </c>
      <c r="E1004" s="28" t="s">
        <v>97</v>
      </c>
      <c r="F1004" s="29"/>
      <c r="G1004" s="30">
        <f>SUM(G1005)</f>
        <v>0</v>
      </c>
      <c r="H1004" s="30">
        <f>SUM(H1005)</f>
        <v>79.5</v>
      </c>
      <c r="I1004" s="30"/>
    </row>
    <row r="1005" spans="1:9" ht="28.5" hidden="1">
      <c r="A1005" s="26" t="s">
        <v>947</v>
      </c>
      <c r="B1005" s="27"/>
      <c r="C1005" s="28" t="s">
        <v>432</v>
      </c>
      <c r="D1005" s="28" t="s">
        <v>31</v>
      </c>
      <c r="E1005" s="28" t="s">
        <v>97</v>
      </c>
      <c r="F1005" s="29" t="s">
        <v>948</v>
      </c>
      <c r="G1005" s="30"/>
      <c r="H1005" s="30">
        <v>79.5</v>
      </c>
      <c r="I1005" s="30"/>
    </row>
    <row r="1006" spans="1:9" ht="28.5" hidden="1">
      <c r="A1006" s="31" t="s">
        <v>958</v>
      </c>
      <c r="B1006" s="27"/>
      <c r="C1006" s="28" t="s">
        <v>432</v>
      </c>
      <c r="D1006" s="28" t="s">
        <v>31</v>
      </c>
      <c r="E1006" s="28" t="s">
        <v>959</v>
      </c>
      <c r="F1006" s="29"/>
      <c r="G1006" s="30">
        <f>SUM(G1008)</f>
        <v>0</v>
      </c>
      <c r="H1006" s="30">
        <f>SUM(H1008)</f>
        <v>186.6</v>
      </c>
      <c r="I1006" s="30" t="e">
        <f>SUM(H1006/G1006*100)</f>
        <v>#DIV/0!</v>
      </c>
    </row>
    <row r="1007" spans="1:9" ht="15" hidden="1">
      <c r="A1007" s="31" t="s">
        <v>960</v>
      </c>
      <c r="B1007" s="27"/>
      <c r="C1007" s="28" t="s">
        <v>432</v>
      </c>
      <c r="D1007" s="28" t="s">
        <v>31</v>
      </c>
      <c r="E1007" s="28" t="s">
        <v>961</v>
      </c>
      <c r="F1007" s="29"/>
      <c r="G1007" s="30">
        <f>SUM(G1008)</f>
        <v>0</v>
      </c>
      <c r="H1007" s="30">
        <f>SUM(H1008)</f>
        <v>186.6</v>
      </c>
      <c r="I1007" s="30" t="e">
        <f>SUM(H1007/G1007*100)</f>
        <v>#DIV/0!</v>
      </c>
    </row>
    <row r="1008" spans="1:9" ht="27" customHeight="1" hidden="1">
      <c r="A1008" s="26" t="s">
        <v>947</v>
      </c>
      <c r="B1008" s="27"/>
      <c r="C1008" s="28" t="s">
        <v>432</v>
      </c>
      <c r="D1008" s="28" t="s">
        <v>31</v>
      </c>
      <c r="E1008" s="28" t="s">
        <v>961</v>
      </c>
      <c r="F1008" s="29" t="s">
        <v>948</v>
      </c>
      <c r="G1008" s="30"/>
      <c r="H1008" s="30">
        <v>186.6</v>
      </c>
      <c r="I1008" s="30" t="e">
        <f>SUM(H1008/G1008*100)</f>
        <v>#DIV/0!</v>
      </c>
    </row>
    <row r="1009" spans="1:9" ht="45.75" customHeight="1">
      <c r="A1009" s="35" t="s">
        <v>626</v>
      </c>
      <c r="B1009" s="36" t="s">
        <v>627</v>
      </c>
      <c r="C1009" s="75"/>
      <c r="D1009" s="85"/>
      <c r="E1009" s="85"/>
      <c r="F1009" s="86"/>
      <c r="G1009" s="37">
        <f>SUM(G1010)</f>
        <v>51968.50000000001</v>
      </c>
      <c r="H1009" s="37">
        <f>SUM(H1010)</f>
        <v>36922.5</v>
      </c>
      <c r="I1009" s="38">
        <f aca="true" t="shared" si="35" ref="I1009:I1072">SUM(H1009/G1009*100)</f>
        <v>71.0478462915035</v>
      </c>
    </row>
    <row r="1010" spans="1:9" ht="28.5" customHeight="1">
      <c r="A1010" s="26" t="s">
        <v>295</v>
      </c>
      <c r="B1010" s="27"/>
      <c r="C1010" s="28" t="s">
        <v>950</v>
      </c>
      <c r="D1010" s="28"/>
      <c r="E1010" s="28"/>
      <c r="F1010" s="29"/>
      <c r="G1010" s="30">
        <f>SUM(G1011)</f>
        <v>51968.50000000001</v>
      </c>
      <c r="H1010" s="30">
        <f>SUM(H1011)</f>
        <v>36922.5</v>
      </c>
      <c r="I1010" s="30">
        <f t="shared" si="35"/>
        <v>71.0478462915035</v>
      </c>
    </row>
    <row r="1011" spans="1:9" ht="21" customHeight="1">
      <c r="A1011" s="26" t="s">
        <v>628</v>
      </c>
      <c r="B1011" s="27"/>
      <c r="C1011" s="28" t="s">
        <v>950</v>
      </c>
      <c r="D1011" s="28" t="s">
        <v>942</v>
      </c>
      <c r="E1011" s="28"/>
      <c r="F1011" s="29"/>
      <c r="G1011" s="30">
        <f>SUM(G1012+G1034)</f>
        <v>51968.50000000001</v>
      </c>
      <c r="H1011" s="30">
        <f>SUM(H1012+H1034)</f>
        <v>36922.5</v>
      </c>
      <c r="I1011" s="30">
        <f t="shared" si="35"/>
        <v>71.0478462915035</v>
      </c>
    </row>
    <row r="1012" spans="1:9" ht="18" customHeight="1">
      <c r="A1012" s="31" t="s">
        <v>629</v>
      </c>
      <c r="B1012" s="27"/>
      <c r="C1012" s="28" t="s">
        <v>950</v>
      </c>
      <c r="D1012" s="28" t="s">
        <v>942</v>
      </c>
      <c r="E1012" s="75" t="s">
        <v>630</v>
      </c>
      <c r="F1012" s="29"/>
      <c r="G1012" s="30">
        <f>SUM(G1013+G1015+G1022+G1024+G1027+G1032)</f>
        <v>45042.200000000004</v>
      </c>
      <c r="H1012" s="30">
        <f>SUM(H1013+H1015+H1022+H1024+H1027+H1032)</f>
        <v>36646.8</v>
      </c>
      <c r="I1012" s="30">
        <f t="shared" si="35"/>
        <v>81.36103476295563</v>
      </c>
    </row>
    <row r="1013" spans="1:9" ht="70.5" customHeight="1">
      <c r="A1013" s="31" t="s">
        <v>631</v>
      </c>
      <c r="B1013" s="27"/>
      <c r="C1013" s="28" t="s">
        <v>950</v>
      </c>
      <c r="D1013" s="28" t="s">
        <v>942</v>
      </c>
      <c r="E1013" s="75" t="s">
        <v>632</v>
      </c>
      <c r="F1013" s="29"/>
      <c r="G1013" s="30">
        <f>SUM(G1014)</f>
        <v>4065.8</v>
      </c>
      <c r="H1013" s="30">
        <f>SUM(H1014)</f>
        <v>2461.2</v>
      </c>
      <c r="I1013" s="30">
        <f t="shared" si="35"/>
        <v>60.53421220915932</v>
      </c>
    </row>
    <row r="1014" spans="1:9" ht="42.75">
      <c r="A1014" s="31" t="s">
        <v>633</v>
      </c>
      <c r="B1014" s="27"/>
      <c r="C1014" s="28" t="s">
        <v>950</v>
      </c>
      <c r="D1014" s="28" t="s">
        <v>942</v>
      </c>
      <c r="E1014" s="75" t="s">
        <v>632</v>
      </c>
      <c r="F1014" s="29" t="s">
        <v>634</v>
      </c>
      <c r="G1014" s="30">
        <f>6237.3-2171.5</f>
        <v>4065.8</v>
      </c>
      <c r="H1014" s="30">
        <v>2461.2</v>
      </c>
      <c r="I1014" s="30">
        <f t="shared" si="35"/>
        <v>60.53421220915932</v>
      </c>
    </row>
    <row r="1015" spans="1:9" ht="21" customHeight="1">
      <c r="A1015" s="31" t="s">
        <v>635</v>
      </c>
      <c r="B1015" s="27"/>
      <c r="C1015" s="28" t="s">
        <v>950</v>
      </c>
      <c r="D1015" s="28" t="s">
        <v>942</v>
      </c>
      <c r="E1015" s="75" t="s">
        <v>636</v>
      </c>
      <c r="F1015" s="29"/>
      <c r="G1015" s="30">
        <f>SUM(G1017+G1019+G1021)</f>
        <v>24420.1</v>
      </c>
      <c r="H1015" s="30">
        <f>SUM(H1017)</f>
        <v>25107.2</v>
      </c>
      <c r="I1015" s="30">
        <f t="shared" si="35"/>
        <v>102.8136657917044</v>
      </c>
    </row>
    <row r="1016" spans="1:9" ht="29.25" customHeight="1">
      <c r="A1016" s="31" t="s">
        <v>637</v>
      </c>
      <c r="B1016" s="27"/>
      <c r="C1016" s="28" t="s">
        <v>950</v>
      </c>
      <c r="D1016" s="28" t="s">
        <v>942</v>
      </c>
      <c r="E1016" s="75" t="s">
        <v>638</v>
      </c>
      <c r="F1016" s="29"/>
      <c r="G1016" s="30">
        <f>SUM(G1017)</f>
        <v>21308.6</v>
      </c>
      <c r="H1016" s="30"/>
      <c r="I1016" s="30"/>
    </row>
    <row r="1017" spans="1:9" ht="43.5" customHeight="1">
      <c r="A1017" s="31" t="s">
        <v>633</v>
      </c>
      <c r="B1017" s="27"/>
      <c r="C1017" s="28" t="s">
        <v>950</v>
      </c>
      <c r="D1017" s="28" t="s">
        <v>942</v>
      </c>
      <c r="E1017" s="75" t="s">
        <v>638</v>
      </c>
      <c r="F1017" s="29" t="s">
        <v>634</v>
      </c>
      <c r="G1017" s="30">
        <f>22727.5-1418.9</f>
        <v>21308.6</v>
      </c>
      <c r="H1017" s="30">
        <v>25107.2</v>
      </c>
      <c r="I1017" s="30">
        <f t="shared" si="35"/>
        <v>117.82660522042745</v>
      </c>
    </row>
    <row r="1018" spans="1:9" ht="72" customHeight="1">
      <c r="A1018" s="31" t="s">
        <v>639</v>
      </c>
      <c r="B1018" s="27"/>
      <c r="C1018" s="28" t="s">
        <v>950</v>
      </c>
      <c r="D1018" s="28" t="s">
        <v>942</v>
      </c>
      <c r="E1018" s="75" t="s">
        <v>640</v>
      </c>
      <c r="F1018" s="29"/>
      <c r="G1018" s="30">
        <f>SUM(G1019)</f>
        <v>1366.6</v>
      </c>
      <c r="H1018" s="30"/>
      <c r="I1018" s="30"/>
    </row>
    <row r="1019" spans="1:9" ht="43.5" customHeight="1">
      <c r="A1019" s="31" t="s">
        <v>633</v>
      </c>
      <c r="B1019" s="27"/>
      <c r="C1019" s="28" t="s">
        <v>950</v>
      </c>
      <c r="D1019" s="28" t="s">
        <v>942</v>
      </c>
      <c r="E1019" s="75" t="s">
        <v>640</v>
      </c>
      <c r="F1019" s="29" t="s">
        <v>634</v>
      </c>
      <c r="G1019" s="30">
        <f>2736-1369.4</f>
        <v>1366.6</v>
      </c>
      <c r="H1019" s="30">
        <v>25107.2</v>
      </c>
      <c r="I1019" s="30">
        <f>SUM(H1019/G1019*100)</f>
        <v>1837.2018147226697</v>
      </c>
    </row>
    <row r="1020" spans="1:9" ht="43.5" customHeight="1">
      <c r="A1020" s="31" t="s">
        <v>641</v>
      </c>
      <c r="B1020" s="27"/>
      <c r="C1020" s="28" t="s">
        <v>950</v>
      </c>
      <c r="D1020" s="28" t="s">
        <v>942</v>
      </c>
      <c r="E1020" s="75" t="s">
        <v>642</v>
      </c>
      <c r="F1020" s="29"/>
      <c r="G1020" s="30">
        <f>SUM(G1021)</f>
        <v>1744.9</v>
      </c>
      <c r="H1020" s="30"/>
      <c r="I1020" s="30"/>
    </row>
    <row r="1021" spans="1:9" ht="43.5" customHeight="1">
      <c r="A1021" s="31" t="s">
        <v>633</v>
      </c>
      <c r="B1021" s="27"/>
      <c r="C1021" s="28" t="s">
        <v>950</v>
      </c>
      <c r="D1021" s="28" t="s">
        <v>942</v>
      </c>
      <c r="E1021" s="75" t="s">
        <v>642</v>
      </c>
      <c r="F1021" s="29" t="s">
        <v>634</v>
      </c>
      <c r="G1021" s="30">
        <f>1815.5-70.6</f>
        <v>1744.9</v>
      </c>
      <c r="H1021" s="30"/>
      <c r="I1021" s="30"/>
    </row>
    <row r="1022" spans="1:9" ht="57" customHeight="1">
      <c r="A1022" s="31" t="s">
        <v>643</v>
      </c>
      <c r="B1022" s="27"/>
      <c r="C1022" s="28" t="s">
        <v>950</v>
      </c>
      <c r="D1022" s="28" t="s">
        <v>942</v>
      </c>
      <c r="E1022" s="75" t="s">
        <v>644</v>
      </c>
      <c r="F1022" s="29"/>
      <c r="G1022" s="30">
        <f>SUM(G1023)</f>
        <v>16092.1</v>
      </c>
      <c r="H1022" s="30">
        <f>SUM(H1023)</f>
        <v>7951.2</v>
      </c>
      <c r="I1022" s="30">
        <f t="shared" si="35"/>
        <v>49.41058034687828</v>
      </c>
    </row>
    <row r="1023" spans="1:9" ht="43.5" customHeight="1">
      <c r="A1023" s="31" t="s">
        <v>633</v>
      </c>
      <c r="B1023" s="27"/>
      <c r="C1023" s="28" t="s">
        <v>950</v>
      </c>
      <c r="D1023" s="28" t="s">
        <v>942</v>
      </c>
      <c r="E1023" s="75" t="s">
        <v>644</v>
      </c>
      <c r="F1023" s="29" t="s">
        <v>634</v>
      </c>
      <c r="G1023" s="30">
        <f>15852.5+308.7-69.1</f>
        <v>16092.1</v>
      </c>
      <c r="H1023" s="30">
        <v>7951.2</v>
      </c>
      <c r="I1023" s="30">
        <f t="shared" si="35"/>
        <v>49.41058034687828</v>
      </c>
    </row>
    <row r="1024" spans="1:9" s="93" customFormat="1" ht="15">
      <c r="A1024" s="31" t="s">
        <v>645</v>
      </c>
      <c r="B1024" s="27"/>
      <c r="C1024" s="28" t="s">
        <v>950</v>
      </c>
      <c r="D1024" s="28" t="s">
        <v>942</v>
      </c>
      <c r="E1024" s="75" t="s">
        <v>646</v>
      </c>
      <c r="F1024" s="29"/>
      <c r="G1024" s="30">
        <f>SUM(G1025)</f>
        <v>73.3</v>
      </c>
      <c r="H1024" s="30">
        <f>SUM(H1025)</f>
        <v>73.1</v>
      </c>
      <c r="I1024" s="30">
        <f t="shared" si="35"/>
        <v>99.72714870395633</v>
      </c>
    </row>
    <row r="1025" spans="1:9" s="93" customFormat="1" ht="36.75" customHeight="1">
      <c r="A1025" s="31" t="s">
        <v>647</v>
      </c>
      <c r="B1025" s="27"/>
      <c r="C1025" s="28" t="s">
        <v>950</v>
      </c>
      <c r="D1025" s="28" t="s">
        <v>942</v>
      </c>
      <c r="E1025" s="75" t="s">
        <v>648</v>
      </c>
      <c r="F1025" s="29"/>
      <c r="G1025" s="30">
        <f>SUM(G1026)</f>
        <v>73.3</v>
      </c>
      <c r="H1025" s="30">
        <f>SUM(H1026)</f>
        <v>73.1</v>
      </c>
      <c r="I1025" s="30">
        <f t="shared" si="35"/>
        <v>99.72714870395633</v>
      </c>
    </row>
    <row r="1026" spans="1:9" s="93" customFormat="1" ht="42.75">
      <c r="A1026" s="31" t="s">
        <v>633</v>
      </c>
      <c r="B1026" s="27"/>
      <c r="C1026" s="28" t="s">
        <v>950</v>
      </c>
      <c r="D1026" s="28" t="s">
        <v>942</v>
      </c>
      <c r="E1026" s="75" t="s">
        <v>648</v>
      </c>
      <c r="F1026" s="29" t="s">
        <v>634</v>
      </c>
      <c r="G1026" s="30">
        <v>73.3</v>
      </c>
      <c r="H1026" s="30">
        <v>73.1</v>
      </c>
      <c r="I1026" s="30">
        <f t="shared" si="35"/>
        <v>99.72714870395633</v>
      </c>
    </row>
    <row r="1027" spans="1:9" s="93" customFormat="1" ht="17.25" customHeight="1">
      <c r="A1027" s="26" t="s">
        <v>649</v>
      </c>
      <c r="B1027" s="27"/>
      <c r="C1027" s="28" t="s">
        <v>650</v>
      </c>
      <c r="D1027" s="28" t="s">
        <v>942</v>
      </c>
      <c r="E1027" s="75" t="s">
        <v>651</v>
      </c>
      <c r="F1027" s="29"/>
      <c r="G1027" s="30">
        <f>SUM(G1028+G1030)</f>
        <v>390.9</v>
      </c>
      <c r="H1027" s="30">
        <f>SUM(H1028+H1030)</f>
        <v>66.8</v>
      </c>
      <c r="I1027" s="30">
        <f t="shared" si="35"/>
        <v>17.08876950626759</v>
      </c>
    </row>
    <row r="1028" spans="1:9" ht="30" customHeight="1">
      <c r="A1028" s="31" t="s">
        <v>652</v>
      </c>
      <c r="B1028" s="27"/>
      <c r="C1028" s="28" t="s">
        <v>650</v>
      </c>
      <c r="D1028" s="28" t="s">
        <v>942</v>
      </c>
      <c r="E1028" s="75" t="s">
        <v>653</v>
      </c>
      <c r="F1028" s="29"/>
      <c r="G1028" s="30">
        <f>SUM(G1029)</f>
        <v>29.299999999999955</v>
      </c>
      <c r="H1028" s="30">
        <f>SUM(H1029)</f>
        <v>0</v>
      </c>
      <c r="I1028" s="30">
        <f t="shared" si="35"/>
        <v>0</v>
      </c>
    </row>
    <row r="1029" spans="1:9" ht="41.25" customHeight="1">
      <c r="A1029" s="31" t="s">
        <v>633</v>
      </c>
      <c r="B1029" s="27"/>
      <c r="C1029" s="28" t="s">
        <v>650</v>
      </c>
      <c r="D1029" s="28" t="s">
        <v>942</v>
      </c>
      <c r="E1029" s="75" t="s">
        <v>653</v>
      </c>
      <c r="F1029" s="29" t="s">
        <v>634</v>
      </c>
      <c r="G1029" s="30">
        <f>761.8-732.5</f>
        <v>29.299999999999955</v>
      </c>
      <c r="H1029" s="30"/>
      <c r="I1029" s="30">
        <f t="shared" si="35"/>
        <v>0</v>
      </c>
    </row>
    <row r="1030" spans="1:9" ht="15.75" customHeight="1">
      <c r="A1030" s="31" t="s">
        <v>654</v>
      </c>
      <c r="B1030" s="27"/>
      <c r="C1030" s="28" t="s">
        <v>650</v>
      </c>
      <c r="D1030" s="28" t="s">
        <v>942</v>
      </c>
      <c r="E1030" s="75" t="s">
        <v>655</v>
      </c>
      <c r="F1030" s="29"/>
      <c r="G1030" s="30">
        <f>SUM(G1031)</f>
        <v>361.6</v>
      </c>
      <c r="H1030" s="30">
        <f>SUM(H1031)</f>
        <v>66.8</v>
      </c>
      <c r="I1030" s="30">
        <f t="shared" si="35"/>
        <v>18.473451327433626</v>
      </c>
    </row>
    <row r="1031" spans="1:9" ht="47.25" customHeight="1">
      <c r="A1031" s="31" t="s">
        <v>633</v>
      </c>
      <c r="B1031" s="27"/>
      <c r="C1031" s="28" t="s">
        <v>650</v>
      </c>
      <c r="D1031" s="28" t="s">
        <v>942</v>
      </c>
      <c r="E1031" s="75" t="s">
        <v>655</v>
      </c>
      <c r="F1031" s="29" t="s">
        <v>634</v>
      </c>
      <c r="G1031" s="30">
        <f>330-37.5+69.1</f>
        <v>361.6</v>
      </c>
      <c r="H1031" s="30">
        <v>66.8</v>
      </c>
      <c r="I1031" s="30">
        <f t="shared" si="35"/>
        <v>18.473451327433626</v>
      </c>
    </row>
    <row r="1032" spans="1:9" ht="47.25" customHeight="1" hidden="1">
      <c r="A1032" s="26" t="s">
        <v>656</v>
      </c>
      <c r="B1032" s="27"/>
      <c r="C1032" s="28" t="s">
        <v>650</v>
      </c>
      <c r="D1032" s="28" t="s">
        <v>942</v>
      </c>
      <c r="E1032" s="75" t="s">
        <v>657</v>
      </c>
      <c r="F1032" s="29"/>
      <c r="G1032" s="30">
        <f>SUM(G1033)</f>
        <v>0</v>
      </c>
      <c r="H1032" s="30">
        <f>SUM(H1033)</f>
        <v>987.3</v>
      </c>
      <c r="I1032" s="30" t="e">
        <f t="shared" si="35"/>
        <v>#DIV/0!</v>
      </c>
    </row>
    <row r="1033" spans="1:9" ht="21" customHeight="1" hidden="1">
      <c r="A1033" s="31" t="s">
        <v>978</v>
      </c>
      <c r="B1033" s="27"/>
      <c r="C1033" s="28" t="s">
        <v>650</v>
      </c>
      <c r="D1033" s="28" t="s">
        <v>942</v>
      </c>
      <c r="E1033" s="75" t="s">
        <v>657</v>
      </c>
      <c r="F1033" s="29" t="s">
        <v>979</v>
      </c>
      <c r="G1033" s="30"/>
      <c r="H1033" s="30">
        <v>987.3</v>
      </c>
      <c r="I1033" s="30" t="e">
        <f t="shared" si="35"/>
        <v>#DIV/0!</v>
      </c>
    </row>
    <row r="1034" spans="1:9" ht="21" customHeight="1">
      <c r="A1034" s="47" t="s">
        <v>20</v>
      </c>
      <c r="B1034" s="69"/>
      <c r="C1034" s="69" t="s">
        <v>950</v>
      </c>
      <c r="D1034" s="69" t="s">
        <v>942</v>
      </c>
      <c r="E1034" s="94" t="s">
        <v>21</v>
      </c>
      <c r="F1034" s="34"/>
      <c r="G1034" s="30">
        <f>SUM(G1035)</f>
        <v>6926.3</v>
      </c>
      <c r="H1034" s="30">
        <f>SUM(H1035)</f>
        <v>275.7</v>
      </c>
      <c r="I1034" s="30">
        <f t="shared" si="35"/>
        <v>3.9804801986630665</v>
      </c>
    </row>
    <row r="1035" spans="1:9" ht="43.5" customHeight="1">
      <c r="A1035" s="31" t="s">
        <v>633</v>
      </c>
      <c r="B1035" s="51"/>
      <c r="C1035" s="57" t="s">
        <v>950</v>
      </c>
      <c r="D1035" s="57" t="s">
        <v>942</v>
      </c>
      <c r="E1035" s="57" t="s">
        <v>658</v>
      </c>
      <c r="F1035" s="49" t="s">
        <v>634</v>
      </c>
      <c r="G1035" s="30">
        <f>SUM(G1038+G1036)+G1037</f>
        <v>6926.3</v>
      </c>
      <c r="H1035" s="30">
        <f>SUM(H1038)</f>
        <v>275.7</v>
      </c>
      <c r="I1035" s="30">
        <f t="shared" si="35"/>
        <v>3.9804801986630665</v>
      </c>
    </row>
    <row r="1036" spans="1:9" ht="46.5" customHeight="1">
      <c r="A1036" s="46" t="s">
        <v>659</v>
      </c>
      <c r="B1036" s="80"/>
      <c r="C1036" s="57" t="s">
        <v>950</v>
      </c>
      <c r="D1036" s="57" t="s">
        <v>942</v>
      </c>
      <c r="E1036" s="28" t="s">
        <v>402</v>
      </c>
      <c r="F1036" s="29" t="s">
        <v>634</v>
      </c>
      <c r="G1036" s="30">
        <f>588.5-63.7</f>
        <v>524.8</v>
      </c>
      <c r="H1036" s="30">
        <v>179.9</v>
      </c>
      <c r="I1036" s="30">
        <f t="shared" si="35"/>
        <v>34.2797256097561</v>
      </c>
    </row>
    <row r="1037" spans="1:9" ht="46.5" customHeight="1">
      <c r="A1037" s="46" t="s">
        <v>660</v>
      </c>
      <c r="B1037" s="80"/>
      <c r="C1037" s="57" t="s">
        <v>950</v>
      </c>
      <c r="D1037" s="57" t="s">
        <v>942</v>
      </c>
      <c r="E1037" s="28" t="s">
        <v>661</v>
      </c>
      <c r="F1037" s="29" t="s">
        <v>634</v>
      </c>
      <c r="G1037" s="30">
        <f>1225-96.3</f>
        <v>1128.7</v>
      </c>
      <c r="H1037" s="30"/>
      <c r="I1037" s="30"/>
    </row>
    <row r="1038" spans="1:9" ht="48" customHeight="1">
      <c r="A1038" s="44" t="s">
        <v>662</v>
      </c>
      <c r="B1038" s="48"/>
      <c r="C1038" s="57" t="s">
        <v>950</v>
      </c>
      <c r="D1038" s="57" t="s">
        <v>942</v>
      </c>
      <c r="E1038" s="57" t="s">
        <v>663</v>
      </c>
      <c r="F1038" s="49" t="s">
        <v>634</v>
      </c>
      <c r="G1038" s="50">
        <f>2850+2422.8</f>
        <v>5272.8</v>
      </c>
      <c r="H1038" s="50">
        <v>275.7</v>
      </c>
      <c r="I1038" s="30">
        <f t="shared" si="35"/>
        <v>5.228720983158853</v>
      </c>
    </row>
    <row r="1039" spans="1:9" ht="21" customHeight="1">
      <c r="A1039" s="35" t="s">
        <v>664</v>
      </c>
      <c r="B1039" s="36" t="s">
        <v>665</v>
      </c>
      <c r="C1039" s="95"/>
      <c r="D1039" s="95"/>
      <c r="E1039" s="95"/>
      <c r="F1039" s="96"/>
      <c r="G1039" s="37">
        <f>SUM(G1044+G1195)</f>
        <v>1062631.4</v>
      </c>
      <c r="H1039" s="37" t="e">
        <f>SUM(H1044+H1195)</f>
        <v>#REF!</v>
      </c>
      <c r="I1039" s="38" t="e">
        <f t="shared" si="35"/>
        <v>#REF!</v>
      </c>
    </row>
    <row r="1040" spans="1:9" ht="0.75" customHeight="1" hidden="1">
      <c r="A1040" s="26" t="s">
        <v>4</v>
      </c>
      <c r="B1040" s="27"/>
      <c r="C1040" s="28" t="s">
        <v>5</v>
      </c>
      <c r="D1040" s="28"/>
      <c r="E1040" s="28"/>
      <c r="F1040" s="29"/>
      <c r="G1040" s="30">
        <f aca="true" t="shared" si="36" ref="G1040:H1042">SUM(G1041)</f>
        <v>0</v>
      </c>
      <c r="H1040" s="30">
        <f t="shared" si="36"/>
        <v>0</v>
      </c>
      <c r="I1040" s="30" t="e">
        <f t="shared" si="35"/>
        <v>#DIV/0!</v>
      </c>
    </row>
    <row r="1041" spans="1:9" ht="18" customHeight="1" hidden="1">
      <c r="A1041" s="26" t="s">
        <v>666</v>
      </c>
      <c r="B1041" s="27"/>
      <c r="C1041" s="28" t="s">
        <v>5</v>
      </c>
      <c r="D1041" s="28" t="s">
        <v>940</v>
      </c>
      <c r="E1041" s="85"/>
      <c r="F1041" s="86"/>
      <c r="G1041" s="30">
        <f t="shared" si="36"/>
        <v>0</v>
      </c>
      <c r="H1041" s="30">
        <f t="shared" si="36"/>
        <v>0</v>
      </c>
      <c r="I1041" s="30" t="e">
        <f t="shared" si="35"/>
        <v>#DIV/0!</v>
      </c>
    </row>
    <row r="1042" spans="1:9" ht="17.25" customHeight="1" hidden="1">
      <c r="A1042" s="26" t="s">
        <v>667</v>
      </c>
      <c r="B1042" s="27"/>
      <c r="C1042" s="28" t="s">
        <v>5</v>
      </c>
      <c r="D1042" s="28" t="s">
        <v>940</v>
      </c>
      <c r="E1042" s="75" t="s">
        <v>668</v>
      </c>
      <c r="F1042" s="86"/>
      <c r="G1042" s="30">
        <f t="shared" si="36"/>
        <v>0</v>
      </c>
      <c r="H1042" s="30">
        <f t="shared" si="36"/>
        <v>0</v>
      </c>
      <c r="I1042" s="30" t="e">
        <f t="shared" si="35"/>
        <v>#DIV/0!</v>
      </c>
    </row>
    <row r="1043" spans="1:9" ht="15" hidden="1">
      <c r="A1043" s="26" t="s">
        <v>669</v>
      </c>
      <c r="B1043" s="27"/>
      <c r="C1043" s="28" t="s">
        <v>5</v>
      </c>
      <c r="D1043" s="28" t="s">
        <v>940</v>
      </c>
      <c r="E1043" s="75" t="s">
        <v>668</v>
      </c>
      <c r="F1043" s="86">
        <v>273</v>
      </c>
      <c r="G1043" s="30"/>
      <c r="H1043" s="30"/>
      <c r="I1043" s="30" t="e">
        <f t="shared" si="35"/>
        <v>#DIV/0!</v>
      </c>
    </row>
    <row r="1044" spans="1:9" ht="18.75" customHeight="1">
      <c r="A1044" s="26" t="s">
        <v>962</v>
      </c>
      <c r="B1044" s="27"/>
      <c r="C1044" s="28" t="s">
        <v>963</v>
      </c>
      <c r="D1044" s="28"/>
      <c r="E1044" s="28"/>
      <c r="F1044" s="29"/>
      <c r="G1044" s="30">
        <f>SUM(G1045+G1069+G1126+G1155)</f>
        <v>1039975.8999999999</v>
      </c>
      <c r="H1044" s="30" t="e">
        <f>SUM(H1045+H1069+H1126+H1155)</f>
        <v>#REF!</v>
      </c>
      <c r="I1044" s="30" t="e">
        <f t="shared" si="35"/>
        <v>#REF!</v>
      </c>
    </row>
    <row r="1045" spans="1:9" ht="14.25" customHeight="1">
      <c r="A1045" s="26" t="s">
        <v>355</v>
      </c>
      <c r="B1045" s="36"/>
      <c r="C1045" s="28" t="s">
        <v>963</v>
      </c>
      <c r="D1045" s="28" t="s">
        <v>940</v>
      </c>
      <c r="E1045" s="28"/>
      <c r="F1045" s="29"/>
      <c r="G1045" s="30">
        <f>SUM(G1046+G1063)+G1066</f>
        <v>418115.1999999999</v>
      </c>
      <c r="H1045" s="30" t="e">
        <f>SUM(H1046+H1063)</f>
        <v>#REF!</v>
      </c>
      <c r="I1045" s="30" t="e">
        <f t="shared" si="35"/>
        <v>#REF!</v>
      </c>
    </row>
    <row r="1046" spans="1:9" ht="21" customHeight="1">
      <c r="A1046" s="26" t="s">
        <v>670</v>
      </c>
      <c r="B1046" s="36"/>
      <c r="C1046" s="28" t="s">
        <v>963</v>
      </c>
      <c r="D1046" s="28" t="s">
        <v>940</v>
      </c>
      <c r="E1046" s="28" t="s">
        <v>671</v>
      </c>
      <c r="F1046" s="29"/>
      <c r="G1046" s="30">
        <f>SUM(G1049,G1047)</f>
        <v>386158.79999999993</v>
      </c>
      <c r="H1046" s="30">
        <f>SUM(H1049)</f>
        <v>213007.5</v>
      </c>
      <c r="I1046" s="30">
        <f t="shared" si="35"/>
        <v>55.160597142937064</v>
      </c>
    </row>
    <row r="1047" spans="1:9" ht="76.5" customHeight="1">
      <c r="A1047" s="26" t="s">
        <v>603</v>
      </c>
      <c r="B1047" s="36"/>
      <c r="C1047" s="28" t="s">
        <v>963</v>
      </c>
      <c r="D1047" s="28" t="s">
        <v>940</v>
      </c>
      <c r="E1047" s="28" t="s">
        <v>916</v>
      </c>
      <c r="F1047" s="29"/>
      <c r="G1047" s="30">
        <f>SUM(G1048)</f>
        <v>1785.1</v>
      </c>
      <c r="H1047" s="30">
        <f>SUM(H1048)</f>
        <v>120.3</v>
      </c>
      <c r="I1047" s="30">
        <f>SUM(H1047/G1047*100)</f>
        <v>6.739118256680299</v>
      </c>
    </row>
    <row r="1048" spans="1:9" ht="29.25" customHeight="1">
      <c r="A1048" s="26" t="s">
        <v>605</v>
      </c>
      <c r="B1048" s="36"/>
      <c r="C1048" s="28" t="s">
        <v>963</v>
      </c>
      <c r="D1048" s="28" t="s">
        <v>940</v>
      </c>
      <c r="E1048" s="28" t="s">
        <v>916</v>
      </c>
      <c r="F1048" s="29" t="s">
        <v>970</v>
      </c>
      <c r="G1048" s="30">
        <v>1785.1</v>
      </c>
      <c r="H1048" s="30">
        <v>120.3</v>
      </c>
      <c r="I1048" s="30">
        <f>SUM(H1048/G1048*100)</f>
        <v>6.739118256680299</v>
      </c>
    </row>
    <row r="1049" spans="1:9" ht="28.5">
      <c r="A1049" s="26" t="s">
        <v>234</v>
      </c>
      <c r="B1049" s="36"/>
      <c r="C1049" s="28" t="s">
        <v>963</v>
      </c>
      <c r="D1049" s="28" t="s">
        <v>940</v>
      </c>
      <c r="E1049" s="28" t="s">
        <v>672</v>
      </c>
      <c r="F1049" s="29"/>
      <c r="G1049" s="30">
        <f>SUM(G1050+G1054+G1058+G1060)+G1051+G1056</f>
        <v>384373.69999999995</v>
      </c>
      <c r="H1049" s="30">
        <f>SUM(H1050+H1054+H1058+H1060)+H1051</f>
        <v>213007.5</v>
      </c>
      <c r="I1049" s="30">
        <f t="shared" si="35"/>
        <v>55.41677279168684</v>
      </c>
    </row>
    <row r="1050" spans="1:9" ht="15.75" customHeight="1">
      <c r="A1050" s="26" t="s">
        <v>969</v>
      </c>
      <c r="B1050" s="36"/>
      <c r="C1050" s="28" t="s">
        <v>963</v>
      </c>
      <c r="D1050" s="28" t="s">
        <v>940</v>
      </c>
      <c r="E1050" s="28" t="s">
        <v>672</v>
      </c>
      <c r="F1050" s="29" t="s">
        <v>970</v>
      </c>
      <c r="G1050" s="30">
        <f>357031.9+24.1-214.4+365.5+85.8</f>
        <v>357292.89999999997</v>
      </c>
      <c r="H1050" s="30">
        <v>187516.5</v>
      </c>
      <c r="I1050" s="30">
        <f t="shared" si="35"/>
        <v>52.482571022262135</v>
      </c>
    </row>
    <row r="1051" spans="1:9" ht="76.5" customHeight="1">
      <c r="A1051" s="26" t="s">
        <v>603</v>
      </c>
      <c r="B1051" s="36"/>
      <c r="C1051" s="28" t="s">
        <v>963</v>
      </c>
      <c r="D1051" s="28" t="s">
        <v>940</v>
      </c>
      <c r="E1051" s="28" t="s">
        <v>673</v>
      </c>
      <c r="F1051" s="29"/>
      <c r="G1051" s="30">
        <f>SUM(G1052)</f>
        <v>556.5</v>
      </c>
      <c r="H1051" s="30">
        <f>SUM(H1052)</f>
        <v>120.3</v>
      </c>
      <c r="I1051" s="30">
        <f t="shared" si="35"/>
        <v>21.617250673854446</v>
      </c>
    </row>
    <row r="1052" spans="1:9" ht="29.25" customHeight="1">
      <c r="A1052" s="26" t="s">
        <v>605</v>
      </c>
      <c r="B1052" s="36"/>
      <c r="C1052" s="28" t="s">
        <v>963</v>
      </c>
      <c r="D1052" s="28" t="s">
        <v>940</v>
      </c>
      <c r="E1052" s="28" t="s">
        <v>673</v>
      </c>
      <c r="F1052" s="29" t="s">
        <v>606</v>
      </c>
      <c r="G1052" s="30">
        <f>410.7+145.8</f>
        <v>556.5</v>
      </c>
      <c r="H1052" s="30">
        <v>120.3</v>
      </c>
      <c r="I1052" s="30">
        <f t="shared" si="35"/>
        <v>21.617250673854446</v>
      </c>
    </row>
    <row r="1053" spans="1:9" ht="63" customHeight="1" hidden="1">
      <c r="A1053" s="26" t="s">
        <v>674</v>
      </c>
      <c r="B1053" s="36"/>
      <c r="C1053" s="28" t="s">
        <v>963</v>
      </c>
      <c r="D1053" s="28" t="s">
        <v>940</v>
      </c>
      <c r="E1053" s="28" t="s">
        <v>672</v>
      </c>
      <c r="F1053" s="29" t="s">
        <v>675</v>
      </c>
      <c r="G1053" s="30"/>
      <c r="H1053" s="30"/>
      <c r="I1053" s="30" t="e">
        <f t="shared" si="35"/>
        <v>#DIV/0!</v>
      </c>
    </row>
    <row r="1054" spans="1:9" ht="37.5" customHeight="1">
      <c r="A1054" s="26" t="s">
        <v>676</v>
      </c>
      <c r="B1054" s="27"/>
      <c r="C1054" s="28" t="s">
        <v>963</v>
      </c>
      <c r="D1054" s="28" t="s">
        <v>940</v>
      </c>
      <c r="E1054" s="28" t="s">
        <v>677</v>
      </c>
      <c r="F1054" s="29"/>
      <c r="G1054" s="30">
        <f>SUM(G1055)</f>
        <v>23046</v>
      </c>
      <c r="H1054" s="30">
        <f>SUM(H1055)</f>
        <v>24134</v>
      </c>
      <c r="I1054" s="30">
        <f t="shared" si="35"/>
        <v>104.72099279701466</v>
      </c>
    </row>
    <row r="1055" spans="1:9" ht="20.25" customHeight="1">
      <c r="A1055" s="26" t="s">
        <v>969</v>
      </c>
      <c r="B1055" s="27"/>
      <c r="C1055" s="28" t="s">
        <v>963</v>
      </c>
      <c r="D1055" s="28" t="s">
        <v>940</v>
      </c>
      <c r="E1055" s="28" t="s">
        <v>677</v>
      </c>
      <c r="F1055" s="29" t="s">
        <v>970</v>
      </c>
      <c r="G1055" s="30">
        <v>23046</v>
      </c>
      <c r="H1055" s="30">
        <v>24134</v>
      </c>
      <c r="I1055" s="30">
        <f t="shared" si="35"/>
        <v>104.72099279701466</v>
      </c>
    </row>
    <row r="1056" spans="1:9" ht="44.25" customHeight="1">
      <c r="A1056" s="26" t="s">
        <v>678</v>
      </c>
      <c r="B1056" s="27"/>
      <c r="C1056" s="28" t="s">
        <v>963</v>
      </c>
      <c r="D1056" s="28" t="s">
        <v>940</v>
      </c>
      <c r="E1056" s="28" t="s">
        <v>679</v>
      </c>
      <c r="F1056" s="29"/>
      <c r="G1056" s="30">
        <f>SUM(G1057)</f>
        <v>285</v>
      </c>
      <c r="H1056" s="30"/>
      <c r="I1056" s="30"/>
    </row>
    <row r="1057" spans="1:9" ht="20.25" customHeight="1">
      <c r="A1057" s="26" t="s">
        <v>969</v>
      </c>
      <c r="B1057" s="27"/>
      <c r="C1057" s="28" t="s">
        <v>963</v>
      </c>
      <c r="D1057" s="28" t="s">
        <v>940</v>
      </c>
      <c r="E1057" s="28" t="s">
        <v>679</v>
      </c>
      <c r="F1057" s="29" t="s">
        <v>970</v>
      </c>
      <c r="G1057" s="30">
        <v>285</v>
      </c>
      <c r="H1057" s="30"/>
      <c r="I1057" s="30"/>
    </row>
    <row r="1058" spans="1:9" ht="28.5" customHeight="1">
      <c r="A1058" s="26" t="s">
        <v>680</v>
      </c>
      <c r="B1058" s="27"/>
      <c r="C1058" s="28" t="s">
        <v>963</v>
      </c>
      <c r="D1058" s="28" t="s">
        <v>940</v>
      </c>
      <c r="E1058" s="28" t="s">
        <v>681</v>
      </c>
      <c r="F1058" s="29"/>
      <c r="G1058" s="30">
        <f>SUM(G1059)</f>
        <v>1941.8</v>
      </c>
      <c r="H1058" s="30">
        <f>SUM(H1059)</f>
        <v>1236.7</v>
      </c>
      <c r="I1058" s="30">
        <f t="shared" si="35"/>
        <v>63.688330415078795</v>
      </c>
    </row>
    <row r="1059" spans="1:9" ht="19.5" customHeight="1">
      <c r="A1059" s="26" t="s">
        <v>969</v>
      </c>
      <c r="B1059" s="27"/>
      <c r="C1059" s="28" t="s">
        <v>963</v>
      </c>
      <c r="D1059" s="28" t="s">
        <v>940</v>
      </c>
      <c r="E1059" s="28" t="s">
        <v>681</v>
      </c>
      <c r="F1059" s="29" t="s">
        <v>970</v>
      </c>
      <c r="G1059" s="30">
        <f>2077.5-135.7</f>
        <v>1941.8</v>
      </c>
      <c r="H1059" s="30">
        <v>1236.7</v>
      </c>
      <c r="I1059" s="30">
        <f t="shared" si="35"/>
        <v>63.688330415078795</v>
      </c>
    </row>
    <row r="1060" spans="1:9" ht="69" customHeight="1">
      <c r="A1060" s="26" t="s">
        <v>682</v>
      </c>
      <c r="B1060" s="32"/>
      <c r="C1060" s="28" t="s">
        <v>963</v>
      </c>
      <c r="D1060" s="28" t="s">
        <v>940</v>
      </c>
      <c r="E1060" s="28" t="s">
        <v>683</v>
      </c>
      <c r="F1060" s="29"/>
      <c r="G1060" s="30">
        <f>SUM(G1062)</f>
        <v>1251.5</v>
      </c>
      <c r="H1060" s="30">
        <f>SUM(H1062)</f>
        <v>0</v>
      </c>
      <c r="I1060" s="30">
        <f t="shared" si="35"/>
        <v>0</v>
      </c>
    </row>
    <row r="1061" spans="1:9" ht="50.25" customHeight="1" hidden="1">
      <c r="A1061" s="26" t="s">
        <v>684</v>
      </c>
      <c r="B1061" s="32"/>
      <c r="C1061" s="28" t="s">
        <v>963</v>
      </c>
      <c r="D1061" s="28" t="s">
        <v>940</v>
      </c>
      <c r="E1061" s="28" t="s">
        <v>672</v>
      </c>
      <c r="F1061" s="29" t="s">
        <v>685</v>
      </c>
      <c r="G1061" s="30"/>
      <c r="H1061" s="30"/>
      <c r="I1061" s="30" t="e">
        <f t="shared" si="35"/>
        <v>#DIV/0!</v>
      </c>
    </row>
    <row r="1062" spans="1:9" ht="18.75" customHeight="1">
      <c r="A1062" s="26" t="s">
        <v>969</v>
      </c>
      <c r="B1062" s="32"/>
      <c r="C1062" s="28" t="s">
        <v>963</v>
      </c>
      <c r="D1062" s="28" t="s">
        <v>940</v>
      </c>
      <c r="E1062" s="28" t="s">
        <v>683</v>
      </c>
      <c r="F1062" s="29" t="s">
        <v>970</v>
      </c>
      <c r="G1062" s="30">
        <v>1251.5</v>
      </c>
      <c r="H1062" s="30"/>
      <c r="I1062" s="30">
        <f t="shared" si="35"/>
        <v>0</v>
      </c>
    </row>
    <row r="1063" spans="1:9" ht="18.75" customHeight="1">
      <c r="A1063" s="26" t="s">
        <v>67</v>
      </c>
      <c r="B1063" s="36"/>
      <c r="C1063" s="28" t="s">
        <v>963</v>
      </c>
      <c r="D1063" s="28" t="s">
        <v>940</v>
      </c>
      <c r="E1063" s="28" t="s">
        <v>68</v>
      </c>
      <c r="F1063" s="29"/>
      <c r="G1063" s="30">
        <f>SUM(G1064)</f>
        <v>21103.1</v>
      </c>
      <c r="H1063" s="30" t="e">
        <f>SUM(H1064)</f>
        <v>#REF!</v>
      </c>
      <c r="I1063" s="30" t="e">
        <f t="shared" si="35"/>
        <v>#REF!</v>
      </c>
    </row>
    <row r="1064" spans="1:9" ht="63" customHeight="1">
      <c r="A1064" s="26" t="s">
        <v>356</v>
      </c>
      <c r="B1064" s="36"/>
      <c r="C1064" s="28" t="s">
        <v>963</v>
      </c>
      <c r="D1064" s="28" t="s">
        <v>940</v>
      </c>
      <c r="E1064" s="28" t="s">
        <v>357</v>
      </c>
      <c r="F1064" s="29"/>
      <c r="G1064" s="30">
        <f>SUM(G1065)</f>
        <v>21103.1</v>
      </c>
      <c r="H1064" s="30" t="e">
        <f>SUM(#REF!)</f>
        <v>#REF!</v>
      </c>
      <c r="I1064" s="30" t="e">
        <f t="shared" si="35"/>
        <v>#REF!</v>
      </c>
    </row>
    <row r="1065" spans="1:9" ht="18.75" customHeight="1">
      <c r="A1065" s="26" t="s">
        <v>969</v>
      </c>
      <c r="B1065" s="36"/>
      <c r="C1065" s="28" t="s">
        <v>963</v>
      </c>
      <c r="D1065" s="28" t="s">
        <v>940</v>
      </c>
      <c r="E1065" s="28" t="s">
        <v>357</v>
      </c>
      <c r="F1065" s="29" t="s">
        <v>970</v>
      </c>
      <c r="G1065" s="30">
        <v>21103.1</v>
      </c>
      <c r="H1065" s="30">
        <v>9549.8</v>
      </c>
      <c r="I1065" s="30">
        <f>SUM(H1065/G1065*100)</f>
        <v>45.25306708493065</v>
      </c>
    </row>
    <row r="1066" spans="1:10" s="82" customFormat="1" ht="15">
      <c r="A1066" s="26" t="s">
        <v>20</v>
      </c>
      <c r="B1066" s="80"/>
      <c r="C1066" s="28" t="s">
        <v>963</v>
      </c>
      <c r="D1066" s="28" t="s">
        <v>940</v>
      </c>
      <c r="E1066" s="28" t="s">
        <v>21</v>
      </c>
      <c r="F1066" s="29"/>
      <c r="G1066" s="30">
        <f>SUM(G1067)</f>
        <v>10853.3</v>
      </c>
      <c r="H1066" s="30" t="e">
        <f>SUM(#REF!)</f>
        <v>#REF!</v>
      </c>
      <c r="I1066" s="30" t="e">
        <f>SUM(H1066/G1066*100)</f>
        <v>#REF!</v>
      </c>
      <c r="J1066" s="81"/>
    </row>
    <row r="1067" spans="1:10" s="82" customFormat="1" ht="42.75">
      <c r="A1067" s="26" t="s">
        <v>358</v>
      </c>
      <c r="B1067" s="27"/>
      <c r="C1067" s="28" t="s">
        <v>963</v>
      </c>
      <c r="D1067" s="28" t="s">
        <v>940</v>
      </c>
      <c r="E1067" s="28" t="s">
        <v>359</v>
      </c>
      <c r="F1067" s="34"/>
      <c r="G1067" s="50">
        <f>SUM(G1068)</f>
        <v>10853.3</v>
      </c>
      <c r="H1067" s="30"/>
      <c r="I1067" s="30"/>
      <c r="J1067" s="81"/>
    </row>
    <row r="1068" spans="1:10" s="82" customFormat="1" ht="15">
      <c r="A1068" s="26" t="s">
        <v>459</v>
      </c>
      <c r="B1068" s="27"/>
      <c r="C1068" s="28" t="s">
        <v>963</v>
      </c>
      <c r="D1068" s="28" t="s">
        <v>940</v>
      </c>
      <c r="E1068" s="28" t="s">
        <v>359</v>
      </c>
      <c r="F1068" s="34" t="s">
        <v>460</v>
      </c>
      <c r="G1068" s="50">
        <f>11443.3-590</f>
        <v>10853.3</v>
      </c>
      <c r="H1068" s="30"/>
      <c r="I1068" s="30"/>
      <c r="J1068" s="81"/>
    </row>
    <row r="1069" spans="1:9" ht="19.5" customHeight="1">
      <c r="A1069" s="26" t="s">
        <v>231</v>
      </c>
      <c r="B1069" s="36"/>
      <c r="C1069" s="28" t="s">
        <v>963</v>
      </c>
      <c r="D1069" s="28" t="s">
        <v>942</v>
      </c>
      <c r="E1069" s="28"/>
      <c r="F1069" s="29"/>
      <c r="G1069" s="30">
        <f>SUM(G1075+G1098+G1108+G1121)+G1117+G1070</f>
        <v>542266.3999999999</v>
      </c>
      <c r="H1069" s="30">
        <f>SUM(H1075+H1098+H1108+H1121)+H1117+H1070</f>
        <v>322040.1</v>
      </c>
      <c r="I1069" s="30">
        <f t="shared" si="35"/>
        <v>59.38780274787449</v>
      </c>
    </row>
    <row r="1070" spans="1:9" ht="18.75" customHeight="1" hidden="1">
      <c r="A1070" s="26" t="s">
        <v>94</v>
      </c>
      <c r="B1070" s="36"/>
      <c r="C1070" s="28" t="s">
        <v>963</v>
      </c>
      <c r="D1070" s="28" t="s">
        <v>942</v>
      </c>
      <c r="E1070" s="28" t="s">
        <v>95</v>
      </c>
      <c r="F1070" s="29"/>
      <c r="G1070" s="30">
        <f>SUM(G1071+G1073)</f>
        <v>0</v>
      </c>
      <c r="H1070" s="30">
        <f>SUM(H1071+H1073)</f>
        <v>0</v>
      </c>
      <c r="I1070" s="30" t="e">
        <f t="shared" si="35"/>
        <v>#DIV/0!</v>
      </c>
    </row>
    <row r="1071" spans="1:9" ht="20.25" customHeight="1" hidden="1">
      <c r="A1071" s="26" t="s">
        <v>686</v>
      </c>
      <c r="B1071" s="36"/>
      <c r="C1071" s="28" t="s">
        <v>963</v>
      </c>
      <c r="D1071" s="28" t="s">
        <v>942</v>
      </c>
      <c r="E1071" s="28" t="s">
        <v>687</v>
      </c>
      <c r="F1071" s="29"/>
      <c r="G1071" s="30">
        <f>SUM(G1072)</f>
        <v>0</v>
      </c>
      <c r="H1071" s="30">
        <f>SUM(H1072)</f>
        <v>0</v>
      </c>
      <c r="I1071" s="30" t="e">
        <f t="shared" si="35"/>
        <v>#DIV/0!</v>
      </c>
    </row>
    <row r="1072" spans="1:9" ht="20.25" customHeight="1" hidden="1">
      <c r="A1072" s="26" t="s">
        <v>969</v>
      </c>
      <c r="B1072" s="36"/>
      <c r="C1072" s="28" t="s">
        <v>963</v>
      </c>
      <c r="D1072" s="28" t="s">
        <v>942</v>
      </c>
      <c r="E1072" s="28" t="s">
        <v>687</v>
      </c>
      <c r="F1072" s="29" t="s">
        <v>970</v>
      </c>
      <c r="G1072" s="30"/>
      <c r="H1072" s="30"/>
      <c r="I1072" s="30" t="e">
        <f t="shared" si="35"/>
        <v>#DIV/0!</v>
      </c>
    </row>
    <row r="1073" spans="1:9" ht="20.25" customHeight="1" hidden="1">
      <c r="A1073" s="26" t="s">
        <v>96</v>
      </c>
      <c r="B1073" s="27"/>
      <c r="C1073" s="28" t="s">
        <v>963</v>
      </c>
      <c r="D1073" s="28" t="s">
        <v>942</v>
      </c>
      <c r="E1073" s="28" t="s">
        <v>97</v>
      </c>
      <c r="F1073" s="29"/>
      <c r="G1073" s="30">
        <f>SUM(G1074)</f>
        <v>0</v>
      </c>
      <c r="H1073" s="30">
        <f>SUM(H1074)</f>
        <v>0</v>
      </c>
      <c r="I1073" s="30" t="e">
        <f aca="true" t="shared" si="37" ref="I1073:I1136">SUM(H1073/G1073*100)</f>
        <v>#DIV/0!</v>
      </c>
    </row>
    <row r="1074" spans="1:9" ht="20.25" customHeight="1" hidden="1">
      <c r="A1074" s="26" t="s">
        <v>969</v>
      </c>
      <c r="B1074" s="36"/>
      <c r="C1074" s="28" t="s">
        <v>963</v>
      </c>
      <c r="D1074" s="28" t="s">
        <v>942</v>
      </c>
      <c r="E1074" s="28" t="s">
        <v>97</v>
      </c>
      <c r="F1074" s="29" t="s">
        <v>970</v>
      </c>
      <c r="G1074" s="30"/>
      <c r="H1074" s="30"/>
      <c r="I1074" s="30" t="e">
        <f t="shared" si="37"/>
        <v>#DIV/0!</v>
      </c>
    </row>
    <row r="1075" spans="1:9" ht="32.25" customHeight="1">
      <c r="A1075" s="26" t="s">
        <v>232</v>
      </c>
      <c r="B1075" s="36"/>
      <c r="C1075" s="28" t="s">
        <v>963</v>
      </c>
      <c r="D1075" s="28" t="s">
        <v>942</v>
      </c>
      <c r="E1075" s="28" t="s">
        <v>233</v>
      </c>
      <c r="F1075" s="29"/>
      <c r="G1075" s="30">
        <f>SUM(G1076)</f>
        <v>463953.49999999994</v>
      </c>
      <c r="H1075" s="30">
        <f>SUM(H1076)</f>
        <v>260775.1</v>
      </c>
      <c r="I1075" s="30">
        <f t="shared" si="37"/>
        <v>56.20716300232675</v>
      </c>
    </row>
    <row r="1076" spans="1:9" ht="37.5" customHeight="1">
      <c r="A1076" s="26" t="s">
        <v>234</v>
      </c>
      <c r="B1076" s="36"/>
      <c r="C1076" s="28" t="s">
        <v>963</v>
      </c>
      <c r="D1076" s="28" t="s">
        <v>942</v>
      </c>
      <c r="E1076" s="28" t="s">
        <v>235</v>
      </c>
      <c r="F1076" s="29"/>
      <c r="G1076" s="30">
        <f>SUM(G1077+G1085+G1087+G1096)+G1089+G1079+G1083+G1094+G1092</f>
        <v>463953.49999999994</v>
      </c>
      <c r="H1076" s="30">
        <f>SUM(H1077+H1085+H1087+H1096)+H1089+H1079+H1083+H1094</f>
        <v>260775.1</v>
      </c>
      <c r="I1076" s="30">
        <f t="shared" si="37"/>
        <v>56.20716300232675</v>
      </c>
    </row>
    <row r="1077" spans="1:9" ht="19.5" customHeight="1">
      <c r="A1077" s="26" t="s">
        <v>969</v>
      </c>
      <c r="B1077" s="36"/>
      <c r="C1077" s="28" t="s">
        <v>963</v>
      </c>
      <c r="D1077" s="28" t="s">
        <v>942</v>
      </c>
      <c r="E1077" s="28" t="s">
        <v>235</v>
      </c>
      <c r="F1077" s="29" t="s">
        <v>970</v>
      </c>
      <c r="G1077" s="30">
        <f>104881.9-552+1014.5+50</f>
        <v>105394.4</v>
      </c>
      <c r="H1077" s="30">
        <v>53118.9</v>
      </c>
      <c r="I1077" s="30">
        <f t="shared" si="37"/>
        <v>50.40011613520263</v>
      </c>
    </row>
    <row r="1078" spans="1:9" ht="75.75" customHeight="1">
      <c r="A1078" s="26" t="s">
        <v>603</v>
      </c>
      <c r="B1078" s="36"/>
      <c r="C1078" s="28" t="s">
        <v>963</v>
      </c>
      <c r="D1078" s="28" t="s">
        <v>942</v>
      </c>
      <c r="E1078" s="28" t="s">
        <v>688</v>
      </c>
      <c r="F1078" s="29"/>
      <c r="G1078" s="30">
        <f>SUM(G1079)</f>
        <v>1074</v>
      </c>
      <c r="H1078" s="30">
        <f>SUM(H1079)</f>
        <v>392.5</v>
      </c>
      <c r="I1078" s="30">
        <f t="shared" si="37"/>
        <v>36.54562383612663</v>
      </c>
    </row>
    <row r="1079" spans="1:9" ht="31.5" customHeight="1">
      <c r="A1079" s="26" t="s">
        <v>605</v>
      </c>
      <c r="B1079" s="36"/>
      <c r="C1079" s="28" t="s">
        <v>963</v>
      </c>
      <c r="D1079" s="28" t="s">
        <v>942</v>
      </c>
      <c r="E1079" s="28" t="s">
        <v>688</v>
      </c>
      <c r="F1079" s="29" t="s">
        <v>606</v>
      </c>
      <c r="G1079" s="30">
        <f>954.5+119.5</f>
        <v>1074</v>
      </c>
      <c r="H1079" s="30">
        <v>392.5</v>
      </c>
      <c r="I1079" s="30">
        <f t="shared" si="37"/>
        <v>36.54562383612663</v>
      </c>
    </row>
    <row r="1080" spans="1:9" ht="28.5" customHeight="1" hidden="1">
      <c r="A1080" s="26" t="s">
        <v>674</v>
      </c>
      <c r="B1080" s="36"/>
      <c r="C1080" s="28" t="s">
        <v>963</v>
      </c>
      <c r="D1080" s="28" t="s">
        <v>942</v>
      </c>
      <c r="E1080" s="28" t="s">
        <v>235</v>
      </c>
      <c r="F1080" s="29" t="s">
        <v>675</v>
      </c>
      <c r="G1080" s="30"/>
      <c r="H1080" s="30"/>
      <c r="I1080" s="30" t="e">
        <f t="shared" si="37"/>
        <v>#DIV/0!</v>
      </c>
    </row>
    <row r="1081" spans="1:9" ht="22.5" customHeight="1" hidden="1">
      <c r="A1081" s="26" t="s">
        <v>969</v>
      </c>
      <c r="B1081" s="36"/>
      <c r="C1081" s="28" t="s">
        <v>963</v>
      </c>
      <c r="D1081" s="28" t="s">
        <v>942</v>
      </c>
      <c r="E1081" s="28" t="s">
        <v>689</v>
      </c>
      <c r="F1081" s="29" t="s">
        <v>970</v>
      </c>
      <c r="G1081" s="30"/>
      <c r="H1081" s="30"/>
      <c r="I1081" s="30" t="e">
        <f t="shared" si="37"/>
        <v>#DIV/0!</v>
      </c>
    </row>
    <row r="1082" spans="1:9" ht="30" customHeight="1" hidden="1">
      <c r="A1082" s="26" t="s">
        <v>690</v>
      </c>
      <c r="B1082" s="36"/>
      <c r="C1082" s="28" t="s">
        <v>963</v>
      </c>
      <c r="D1082" s="28" t="s">
        <v>942</v>
      </c>
      <c r="E1082" s="28" t="s">
        <v>235</v>
      </c>
      <c r="F1082" s="29" t="s">
        <v>691</v>
      </c>
      <c r="G1082" s="30"/>
      <c r="H1082" s="30"/>
      <c r="I1082" s="30" t="e">
        <f t="shared" si="37"/>
        <v>#DIV/0!</v>
      </c>
    </row>
    <row r="1083" spans="1:9" ht="23.25" customHeight="1" hidden="1">
      <c r="A1083" s="26" t="s">
        <v>393</v>
      </c>
      <c r="B1083" s="36"/>
      <c r="C1083" s="28" t="s">
        <v>963</v>
      </c>
      <c r="D1083" s="28" t="s">
        <v>942</v>
      </c>
      <c r="E1083" s="28" t="s">
        <v>689</v>
      </c>
      <c r="F1083" s="29"/>
      <c r="G1083" s="30">
        <f>SUM(G1084)</f>
        <v>0</v>
      </c>
      <c r="H1083" s="30">
        <f>SUM(H1084)</f>
        <v>0</v>
      </c>
      <c r="I1083" s="30" t="e">
        <f t="shared" si="37"/>
        <v>#DIV/0!</v>
      </c>
    </row>
    <row r="1084" spans="1:9" ht="22.5" customHeight="1" hidden="1">
      <c r="A1084" s="26" t="s">
        <v>969</v>
      </c>
      <c r="B1084" s="36"/>
      <c r="C1084" s="28" t="s">
        <v>963</v>
      </c>
      <c r="D1084" s="28" t="s">
        <v>942</v>
      </c>
      <c r="E1084" s="28" t="s">
        <v>689</v>
      </c>
      <c r="F1084" s="29" t="s">
        <v>970</v>
      </c>
      <c r="G1084" s="30"/>
      <c r="H1084" s="30"/>
      <c r="I1084" s="30" t="e">
        <f t="shared" si="37"/>
        <v>#DIV/0!</v>
      </c>
    </row>
    <row r="1085" spans="1:9" ht="76.5" customHeight="1">
      <c r="A1085" s="26" t="s">
        <v>692</v>
      </c>
      <c r="B1085" s="36"/>
      <c r="C1085" s="28" t="s">
        <v>963</v>
      </c>
      <c r="D1085" s="28" t="s">
        <v>942</v>
      </c>
      <c r="E1085" s="28" t="s">
        <v>693</v>
      </c>
      <c r="F1085" s="29"/>
      <c r="G1085" s="30">
        <f>SUM(G1086)</f>
        <v>10154.7</v>
      </c>
      <c r="H1085" s="30">
        <f>SUM(H1086)</f>
        <v>5014</v>
      </c>
      <c r="I1085" s="30">
        <f t="shared" si="37"/>
        <v>49.37615094488266</v>
      </c>
    </row>
    <row r="1086" spans="1:9" ht="17.25" customHeight="1">
      <c r="A1086" s="26" t="s">
        <v>969</v>
      </c>
      <c r="B1086" s="36"/>
      <c r="C1086" s="28" t="s">
        <v>963</v>
      </c>
      <c r="D1086" s="28" t="s">
        <v>942</v>
      </c>
      <c r="E1086" s="28" t="s">
        <v>693</v>
      </c>
      <c r="F1086" s="29" t="s">
        <v>970</v>
      </c>
      <c r="G1086" s="30">
        <f>10266.1-111.4</f>
        <v>10154.7</v>
      </c>
      <c r="H1086" s="30">
        <v>5014</v>
      </c>
      <c r="I1086" s="30">
        <f t="shared" si="37"/>
        <v>49.37615094488266</v>
      </c>
    </row>
    <row r="1087" spans="1:9" ht="44.25" customHeight="1">
      <c r="A1087" s="26" t="s">
        <v>678</v>
      </c>
      <c r="B1087" s="27"/>
      <c r="C1087" s="28" t="s">
        <v>963</v>
      </c>
      <c r="D1087" s="28" t="s">
        <v>942</v>
      </c>
      <c r="E1087" s="28" t="s">
        <v>694</v>
      </c>
      <c r="F1087" s="29"/>
      <c r="G1087" s="30">
        <f>SUM(G1088)</f>
        <v>256.5</v>
      </c>
      <c r="H1087" s="30"/>
      <c r="I1087" s="30"/>
    </row>
    <row r="1088" spans="1:9" ht="20.25" customHeight="1">
      <c r="A1088" s="26" t="s">
        <v>969</v>
      </c>
      <c r="B1088" s="27"/>
      <c r="C1088" s="28" t="s">
        <v>963</v>
      </c>
      <c r="D1088" s="28" t="s">
        <v>942</v>
      </c>
      <c r="E1088" s="28" t="s">
        <v>694</v>
      </c>
      <c r="F1088" s="29" t="s">
        <v>970</v>
      </c>
      <c r="G1088" s="30">
        <v>256.5</v>
      </c>
      <c r="H1088" s="30"/>
      <c r="I1088" s="30"/>
    </row>
    <row r="1089" spans="1:9" ht="60.75" customHeight="1">
      <c r="A1089" s="26" t="s">
        <v>455</v>
      </c>
      <c r="B1089" s="36"/>
      <c r="C1089" s="28" t="s">
        <v>963</v>
      </c>
      <c r="D1089" s="28" t="s">
        <v>942</v>
      </c>
      <c r="E1089" s="28" t="s">
        <v>695</v>
      </c>
      <c r="F1089" s="29"/>
      <c r="G1089" s="30">
        <f>SUM(G1091)</f>
        <v>867.1</v>
      </c>
      <c r="H1089" s="30">
        <f>SUM(H1091)</f>
        <v>454</v>
      </c>
      <c r="I1089" s="30">
        <f t="shared" si="37"/>
        <v>52.358436166532115</v>
      </c>
    </row>
    <row r="1090" spans="1:9" ht="20.25" customHeight="1" hidden="1">
      <c r="A1090" s="26" t="s">
        <v>684</v>
      </c>
      <c r="B1090" s="36"/>
      <c r="C1090" s="28" t="s">
        <v>963</v>
      </c>
      <c r="D1090" s="28" t="s">
        <v>942</v>
      </c>
      <c r="E1090" s="28" t="s">
        <v>235</v>
      </c>
      <c r="F1090" s="29" t="s">
        <v>685</v>
      </c>
      <c r="G1090" s="30"/>
      <c r="H1090" s="30"/>
      <c r="I1090" s="30" t="e">
        <f t="shared" si="37"/>
        <v>#DIV/0!</v>
      </c>
    </row>
    <row r="1091" spans="1:9" ht="20.25" customHeight="1">
      <c r="A1091" s="26" t="s">
        <v>969</v>
      </c>
      <c r="B1091" s="36"/>
      <c r="C1091" s="28" t="s">
        <v>963</v>
      </c>
      <c r="D1091" s="28" t="s">
        <v>942</v>
      </c>
      <c r="E1091" s="28" t="s">
        <v>695</v>
      </c>
      <c r="F1091" s="29" t="s">
        <v>970</v>
      </c>
      <c r="G1091" s="30">
        <f>929.4-62.3</f>
        <v>867.1</v>
      </c>
      <c r="H1091" s="30">
        <v>454</v>
      </c>
      <c r="I1091" s="30">
        <f t="shared" si="37"/>
        <v>52.358436166532115</v>
      </c>
    </row>
    <row r="1092" spans="1:9" ht="69" customHeight="1">
      <c r="A1092" s="26" t="s">
        <v>682</v>
      </c>
      <c r="B1092" s="32"/>
      <c r="C1092" s="28" t="s">
        <v>963</v>
      </c>
      <c r="D1092" s="28" t="s">
        <v>942</v>
      </c>
      <c r="E1092" s="28" t="s">
        <v>696</v>
      </c>
      <c r="F1092" s="29"/>
      <c r="G1092" s="30">
        <f>SUM(G1093)</f>
        <v>498.5</v>
      </c>
      <c r="H1092" s="30">
        <f>SUM(H1094)</f>
        <v>0</v>
      </c>
      <c r="I1092" s="30">
        <f t="shared" si="37"/>
        <v>0</v>
      </c>
    </row>
    <row r="1093" spans="1:9" ht="18.75" customHeight="1">
      <c r="A1093" s="26" t="s">
        <v>969</v>
      </c>
      <c r="B1093" s="32"/>
      <c r="C1093" s="28" t="s">
        <v>963</v>
      </c>
      <c r="D1093" s="28" t="s">
        <v>942</v>
      </c>
      <c r="E1093" s="28" t="s">
        <v>696</v>
      </c>
      <c r="F1093" s="29" t="s">
        <v>970</v>
      </c>
      <c r="G1093" s="30">
        <v>498.5</v>
      </c>
      <c r="H1093" s="30"/>
      <c r="I1093" s="30">
        <f t="shared" si="37"/>
        <v>0</v>
      </c>
    </row>
    <row r="1094" spans="1:9" ht="17.25" customHeight="1" hidden="1">
      <c r="A1094" s="26" t="s">
        <v>697</v>
      </c>
      <c r="B1094" s="36"/>
      <c r="C1094" s="28" t="s">
        <v>963</v>
      </c>
      <c r="D1094" s="28" t="s">
        <v>942</v>
      </c>
      <c r="E1094" s="28" t="s">
        <v>698</v>
      </c>
      <c r="F1094" s="29"/>
      <c r="G1094" s="30">
        <f>SUM(G1095)</f>
        <v>0</v>
      </c>
      <c r="H1094" s="30">
        <f>SUM(H1095)</f>
        <v>0</v>
      </c>
      <c r="I1094" s="30" t="e">
        <f t="shared" si="37"/>
        <v>#DIV/0!</v>
      </c>
    </row>
    <row r="1095" spans="1:9" ht="17.25" customHeight="1" hidden="1">
      <c r="A1095" s="26" t="s">
        <v>699</v>
      </c>
      <c r="B1095" s="36"/>
      <c r="C1095" s="28" t="s">
        <v>963</v>
      </c>
      <c r="D1095" s="28" t="s">
        <v>942</v>
      </c>
      <c r="E1095" s="28" t="s">
        <v>698</v>
      </c>
      <c r="F1095" s="29" t="s">
        <v>700</v>
      </c>
      <c r="G1095" s="30"/>
      <c r="H1095" s="30"/>
      <c r="I1095" s="30" t="e">
        <f t="shared" si="37"/>
        <v>#DIV/0!</v>
      </c>
    </row>
    <row r="1096" spans="1:9" ht="62.25" customHeight="1">
      <c r="A1096" s="26" t="s">
        <v>701</v>
      </c>
      <c r="B1096" s="36"/>
      <c r="C1096" s="28" t="s">
        <v>963</v>
      </c>
      <c r="D1096" s="28" t="s">
        <v>942</v>
      </c>
      <c r="E1096" s="28" t="s">
        <v>702</v>
      </c>
      <c r="F1096" s="29"/>
      <c r="G1096" s="30">
        <f>SUM(G1097)</f>
        <v>345708.3</v>
      </c>
      <c r="H1096" s="30">
        <f>SUM(H1097)</f>
        <v>201795.7</v>
      </c>
      <c r="I1096" s="30">
        <f t="shared" si="37"/>
        <v>58.37166767474198</v>
      </c>
    </row>
    <row r="1097" spans="1:9" ht="15.75">
      <c r="A1097" s="26" t="s">
        <v>969</v>
      </c>
      <c r="B1097" s="36"/>
      <c r="C1097" s="28" t="s">
        <v>963</v>
      </c>
      <c r="D1097" s="28" t="s">
        <v>942</v>
      </c>
      <c r="E1097" s="28" t="s">
        <v>702</v>
      </c>
      <c r="F1097" s="29" t="s">
        <v>970</v>
      </c>
      <c r="G1097" s="30">
        <f>349189.2-3480.9</f>
        <v>345708.3</v>
      </c>
      <c r="H1097" s="30">
        <v>201795.7</v>
      </c>
      <c r="I1097" s="30">
        <f t="shared" si="37"/>
        <v>58.37166767474198</v>
      </c>
    </row>
    <row r="1098" spans="1:9" ht="15" customHeight="1">
      <c r="A1098" s="26" t="s">
        <v>360</v>
      </c>
      <c r="B1098" s="27"/>
      <c r="C1098" s="28" t="s">
        <v>963</v>
      </c>
      <c r="D1098" s="28" t="s">
        <v>942</v>
      </c>
      <c r="E1098" s="28" t="s">
        <v>602</v>
      </c>
      <c r="F1098" s="29"/>
      <c r="G1098" s="30">
        <f>SUM(G1099)</f>
        <v>28869.6</v>
      </c>
      <c r="H1098" s="30">
        <f>SUM(H1099)</f>
        <v>39140.2</v>
      </c>
      <c r="I1098" s="30">
        <f t="shared" si="37"/>
        <v>135.57583063152936</v>
      </c>
    </row>
    <row r="1099" spans="1:9" ht="32.25" customHeight="1">
      <c r="A1099" s="26" t="s">
        <v>234</v>
      </c>
      <c r="B1099" s="36"/>
      <c r="C1099" s="28" t="s">
        <v>963</v>
      </c>
      <c r="D1099" s="28" t="s">
        <v>942</v>
      </c>
      <c r="E1099" s="28" t="s">
        <v>362</v>
      </c>
      <c r="F1099" s="29"/>
      <c r="G1099" s="30">
        <f>SUM(G1100+G1105+G1101)</f>
        <v>28869.6</v>
      </c>
      <c r="H1099" s="30">
        <f>SUM(H1100+H1105+H1101)</f>
        <v>39140.2</v>
      </c>
      <c r="I1099" s="30">
        <f t="shared" si="37"/>
        <v>135.57583063152936</v>
      </c>
    </row>
    <row r="1100" spans="1:9" ht="19.5" customHeight="1">
      <c r="A1100" s="26" t="s">
        <v>969</v>
      </c>
      <c r="B1100" s="36"/>
      <c r="C1100" s="28" t="s">
        <v>963</v>
      </c>
      <c r="D1100" s="28" t="s">
        <v>942</v>
      </c>
      <c r="E1100" s="28" t="s">
        <v>362</v>
      </c>
      <c r="F1100" s="29" t="s">
        <v>970</v>
      </c>
      <c r="G1100" s="30">
        <f>29117.6-191-268.5</f>
        <v>28658.1</v>
      </c>
      <c r="H1100" s="30">
        <v>39061.6</v>
      </c>
      <c r="I1100" s="30">
        <f t="shared" si="37"/>
        <v>136.30212749624016</v>
      </c>
    </row>
    <row r="1101" spans="1:9" ht="78" customHeight="1">
      <c r="A1101" s="26" t="s">
        <v>603</v>
      </c>
      <c r="B1101" s="36"/>
      <c r="C1101" s="28" t="s">
        <v>963</v>
      </c>
      <c r="D1101" s="28" t="s">
        <v>942</v>
      </c>
      <c r="E1101" s="28" t="s">
        <v>604</v>
      </c>
      <c r="F1101" s="29"/>
      <c r="G1101" s="30">
        <f>SUM(G1102)</f>
        <v>211.5</v>
      </c>
      <c r="H1101" s="30">
        <f>SUM(H1102)</f>
        <v>78.6</v>
      </c>
      <c r="I1101" s="30">
        <f t="shared" si="37"/>
        <v>37.163120567375884</v>
      </c>
    </row>
    <row r="1102" spans="1:9" ht="36.75" customHeight="1">
      <c r="A1102" s="26" t="s">
        <v>605</v>
      </c>
      <c r="B1102" s="36"/>
      <c r="C1102" s="28" t="s">
        <v>963</v>
      </c>
      <c r="D1102" s="28" t="s">
        <v>942</v>
      </c>
      <c r="E1102" s="28" t="s">
        <v>604</v>
      </c>
      <c r="F1102" s="29" t="s">
        <v>606</v>
      </c>
      <c r="G1102" s="30">
        <f>198.2+13.3</f>
        <v>211.5</v>
      </c>
      <c r="H1102" s="30">
        <v>78.6</v>
      </c>
      <c r="I1102" s="30">
        <f t="shared" si="37"/>
        <v>37.163120567375884</v>
      </c>
    </row>
    <row r="1103" spans="1:9" ht="27" customHeight="1" hidden="1">
      <c r="A1103" s="26" t="s">
        <v>703</v>
      </c>
      <c r="B1103" s="36"/>
      <c r="C1103" s="28" t="s">
        <v>963</v>
      </c>
      <c r="D1103" s="28" t="s">
        <v>942</v>
      </c>
      <c r="E1103" s="28" t="s">
        <v>362</v>
      </c>
      <c r="F1103" s="29" t="s">
        <v>704</v>
      </c>
      <c r="G1103" s="30"/>
      <c r="H1103" s="30"/>
      <c r="I1103" s="30" t="e">
        <f t="shared" si="37"/>
        <v>#DIV/0!</v>
      </c>
    </row>
    <row r="1104" spans="1:9" ht="32.25" customHeight="1" hidden="1">
      <c r="A1104" s="26" t="s">
        <v>674</v>
      </c>
      <c r="B1104" s="36"/>
      <c r="C1104" s="28" t="s">
        <v>963</v>
      </c>
      <c r="D1104" s="28" t="s">
        <v>942</v>
      </c>
      <c r="E1104" s="28" t="s">
        <v>362</v>
      </c>
      <c r="F1104" s="29" t="s">
        <v>675</v>
      </c>
      <c r="G1104" s="30"/>
      <c r="H1104" s="30"/>
      <c r="I1104" s="30" t="e">
        <f t="shared" si="37"/>
        <v>#DIV/0!</v>
      </c>
    </row>
    <row r="1105" spans="1:9" s="7" customFormat="1" ht="57" customHeight="1" hidden="1">
      <c r="A1105" s="26" t="s">
        <v>705</v>
      </c>
      <c r="B1105" s="36"/>
      <c r="C1105" s="28" t="s">
        <v>963</v>
      </c>
      <c r="D1105" s="28" t="s">
        <v>942</v>
      </c>
      <c r="E1105" s="28" t="s">
        <v>706</v>
      </c>
      <c r="F1105" s="29"/>
      <c r="G1105" s="30">
        <f>SUM(G1107)</f>
        <v>0</v>
      </c>
      <c r="H1105" s="30">
        <f>SUM(H1107)</f>
        <v>0</v>
      </c>
      <c r="I1105" s="30" t="e">
        <f t="shared" si="37"/>
        <v>#DIV/0!</v>
      </c>
    </row>
    <row r="1106" spans="1:9" ht="42.75" customHeight="1" hidden="1">
      <c r="A1106" s="26" t="s">
        <v>684</v>
      </c>
      <c r="B1106" s="36"/>
      <c r="C1106" s="28" t="s">
        <v>963</v>
      </c>
      <c r="D1106" s="28" t="s">
        <v>942</v>
      </c>
      <c r="E1106" s="28" t="s">
        <v>362</v>
      </c>
      <c r="F1106" s="29" t="s">
        <v>685</v>
      </c>
      <c r="G1106" s="30"/>
      <c r="H1106" s="30"/>
      <c r="I1106" s="30" t="e">
        <f t="shared" si="37"/>
        <v>#DIV/0!</v>
      </c>
    </row>
    <row r="1107" spans="1:9" ht="21.75" customHeight="1" hidden="1">
      <c r="A1107" s="26" t="s">
        <v>969</v>
      </c>
      <c r="B1107" s="36"/>
      <c r="C1107" s="28" t="s">
        <v>963</v>
      </c>
      <c r="D1107" s="28" t="s">
        <v>942</v>
      </c>
      <c r="E1107" s="28" t="s">
        <v>706</v>
      </c>
      <c r="F1107" s="29" t="s">
        <v>970</v>
      </c>
      <c r="G1107" s="30"/>
      <c r="H1107" s="30"/>
      <c r="I1107" s="30" t="e">
        <f t="shared" si="37"/>
        <v>#DIV/0!</v>
      </c>
    </row>
    <row r="1108" spans="1:9" ht="23.25" customHeight="1">
      <c r="A1108" s="26" t="s">
        <v>707</v>
      </c>
      <c r="B1108" s="28"/>
      <c r="C1108" s="28" t="s">
        <v>963</v>
      </c>
      <c r="D1108" s="28" t="s">
        <v>942</v>
      </c>
      <c r="E1108" s="28" t="s">
        <v>708</v>
      </c>
      <c r="F1108" s="29"/>
      <c r="G1108" s="30">
        <f>SUM(G1109)</f>
        <v>25904.8</v>
      </c>
      <c r="H1108" s="30">
        <f>SUM(H1109)</f>
        <v>13916.300000000001</v>
      </c>
      <c r="I1108" s="30">
        <f t="shared" si="37"/>
        <v>53.72093202804115</v>
      </c>
    </row>
    <row r="1109" spans="1:9" ht="26.25" customHeight="1">
      <c r="A1109" s="26" t="s">
        <v>234</v>
      </c>
      <c r="B1109" s="36"/>
      <c r="C1109" s="28" t="s">
        <v>963</v>
      </c>
      <c r="D1109" s="28" t="s">
        <v>942</v>
      </c>
      <c r="E1109" s="28" t="s">
        <v>709</v>
      </c>
      <c r="F1109" s="29"/>
      <c r="G1109" s="30">
        <f>SUM(G1111+G1113+G1115)</f>
        <v>25904.8</v>
      </c>
      <c r="H1109" s="30">
        <f>SUM(H1111+H1113+H1115)</f>
        <v>13916.300000000001</v>
      </c>
      <c r="I1109" s="30">
        <f t="shared" si="37"/>
        <v>53.72093202804115</v>
      </c>
    </row>
    <row r="1110" spans="1:9" ht="21.75" customHeight="1" hidden="1">
      <c r="A1110" s="26" t="s">
        <v>969</v>
      </c>
      <c r="B1110" s="36"/>
      <c r="C1110" s="28" t="s">
        <v>963</v>
      </c>
      <c r="D1110" s="28" t="s">
        <v>942</v>
      </c>
      <c r="E1110" s="28" t="s">
        <v>709</v>
      </c>
      <c r="F1110" s="29" t="s">
        <v>970</v>
      </c>
      <c r="G1110" s="30"/>
      <c r="H1110" s="30"/>
      <c r="I1110" s="30" t="e">
        <f t="shared" si="37"/>
        <v>#DIV/0!</v>
      </c>
    </row>
    <row r="1111" spans="1:9" ht="78" customHeight="1">
      <c r="A1111" s="26" t="s">
        <v>603</v>
      </c>
      <c r="B1111" s="36"/>
      <c r="C1111" s="28" t="s">
        <v>963</v>
      </c>
      <c r="D1111" s="28" t="s">
        <v>942</v>
      </c>
      <c r="E1111" s="28" t="s">
        <v>710</v>
      </c>
      <c r="F1111" s="29"/>
      <c r="G1111" s="30">
        <f>SUM(G1112)</f>
        <v>71.9</v>
      </c>
      <c r="H1111" s="30">
        <f>SUM(H1112)</f>
        <v>40.9</v>
      </c>
      <c r="I1111" s="30">
        <f t="shared" si="37"/>
        <v>56.884561891515986</v>
      </c>
    </row>
    <row r="1112" spans="1:9" ht="37.5" customHeight="1">
      <c r="A1112" s="26" t="s">
        <v>605</v>
      </c>
      <c r="B1112" s="36"/>
      <c r="C1112" s="28" t="s">
        <v>963</v>
      </c>
      <c r="D1112" s="28" t="s">
        <v>942</v>
      </c>
      <c r="E1112" s="28" t="s">
        <v>710</v>
      </c>
      <c r="F1112" s="29" t="s">
        <v>606</v>
      </c>
      <c r="G1112" s="30">
        <v>71.9</v>
      </c>
      <c r="H1112" s="30">
        <v>40.9</v>
      </c>
      <c r="I1112" s="30">
        <f t="shared" si="37"/>
        <v>56.884561891515986</v>
      </c>
    </row>
    <row r="1113" spans="1:9" ht="63.75" customHeight="1">
      <c r="A1113" s="26" t="s">
        <v>455</v>
      </c>
      <c r="B1113" s="36"/>
      <c r="C1113" s="28" t="s">
        <v>963</v>
      </c>
      <c r="D1113" s="28" t="s">
        <v>942</v>
      </c>
      <c r="E1113" s="28" t="s">
        <v>711</v>
      </c>
      <c r="F1113" s="29"/>
      <c r="G1113" s="30">
        <f>SUM(G1114)</f>
        <v>35.8</v>
      </c>
      <c r="H1113" s="30">
        <f>SUM(H1114)</f>
        <v>12.8</v>
      </c>
      <c r="I1113" s="30">
        <f t="shared" si="37"/>
        <v>35.75418994413408</v>
      </c>
    </row>
    <row r="1114" spans="1:9" ht="19.5" customHeight="1">
      <c r="A1114" s="26" t="s">
        <v>969</v>
      </c>
      <c r="B1114" s="36"/>
      <c r="C1114" s="28" t="s">
        <v>963</v>
      </c>
      <c r="D1114" s="28" t="s">
        <v>942</v>
      </c>
      <c r="E1114" s="28" t="s">
        <v>711</v>
      </c>
      <c r="F1114" s="29" t="s">
        <v>970</v>
      </c>
      <c r="G1114" s="30">
        <f>39.3-3.5</f>
        <v>35.8</v>
      </c>
      <c r="H1114" s="30">
        <v>12.8</v>
      </c>
      <c r="I1114" s="30">
        <f t="shared" si="37"/>
        <v>35.75418994413408</v>
      </c>
    </row>
    <row r="1115" spans="1:9" ht="92.25" customHeight="1">
      <c r="A1115" s="26" t="s">
        <v>712</v>
      </c>
      <c r="B1115" s="36"/>
      <c r="C1115" s="28" t="s">
        <v>963</v>
      </c>
      <c r="D1115" s="28" t="s">
        <v>942</v>
      </c>
      <c r="E1115" s="28" t="s">
        <v>713</v>
      </c>
      <c r="F1115" s="29"/>
      <c r="G1115" s="30">
        <f>SUM(G1116)</f>
        <v>25797.1</v>
      </c>
      <c r="H1115" s="30">
        <f>SUM(H1116)</f>
        <v>13862.6</v>
      </c>
      <c r="I1115" s="30">
        <f t="shared" si="37"/>
        <v>53.73704796275551</v>
      </c>
    </row>
    <row r="1116" spans="1:9" ht="19.5" customHeight="1">
      <c r="A1116" s="26" t="s">
        <v>969</v>
      </c>
      <c r="B1116" s="36"/>
      <c r="C1116" s="28" t="s">
        <v>963</v>
      </c>
      <c r="D1116" s="28" t="s">
        <v>942</v>
      </c>
      <c r="E1116" s="28" t="s">
        <v>713</v>
      </c>
      <c r="F1116" s="29" t="s">
        <v>970</v>
      </c>
      <c r="G1116" s="30">
        <v>25797.1</v>
      </c>
      <c r="H1116" s="30">
        <v>13862.6</v>
      </c>
      <c r="I1116" s="30">
        <f t="shared" si="37"/>
        <v>53.73704796275551</v>
      </c>
    </row>
    <row r="1117" spans="1:9" ht="15">
      <c r="A1117" s="47" t="s">
        <v>236</v>
      </c>
      <c r="B1117" s="45"/>
      <c r="C1117" s="28" t="s">
        <v>963</v>
      </c>
      <c r="D1117" s="28" t="s">
        <v>942</v>
      </c>
      <c r="E1117" s="28" t="s">
        <v>237</v>
      </c>
      <c r="F1117" s="29"/>
      <c r="G1117" s="30">
        <f aca="true" t="shared" si="38" ref="G1117:H1119">SUM(G1118)</f>
        <v>10785.6</v>
      </c>
      <c r="H1117" s="30">
        <f t="shared" si="38"/>
        <v>0</v>
      </c>
      <c r="I1117" s="30">
        <f t="shared" si="37"/>
        <v>0</v>
      </c>
    </row>
    <row r="1118" spans="1:9" ht="32.25" customHeight="1">
      <c r="A1118" s="26" t="s">
        <v>714</v>
      </c>
      <c r="B1118" s="45"/>
      <c r="C1118" s="28" t="s">
        <v>963</v>
      </c>
      <c r="D1118" s="28" t="s">
        <v>942</v>
      </c>
      <c r="E1118" s="28" t="s">
        <v>239</v>
      </c>
      <c r="F1118" s="29"/>
      <c r="G1118" s="30">
        <f t="shared" si="38"/>
        <v>10785.6</v>
      </c>
      <c r="H1118" s="30">
        <f t="shared" si="38"/>
        <v>0</v>
      </c>
      <c r="I1118" s="30">
        <f t="shared" si="37"/>
        <v>0</v>
      </c>
    </row>
    <row r="1119" spans="1:9" ht="20.25" customHeight="1">
      <c r="A1119" s="26" t="s">
        <v>459</v>
      </c>
      <c r="B1119" s="45"/>
      <c r="C1119" s="28" t="s">
        <v>963</v>
      </c>
      <c r="D1119" s="28" t="s">
        <v>942</v>
      </c>
      <c r="E1119" s="28" t="s">
        <v>239</v>
      </c>
      <c r="F1119" s="29" t="s">
        <v>460</v>
      </c>
      <c r="G1119" s="30">
        <v>10785.6</v>
      </c>
      <c r="H1119" s="30">
        <f t="shared" si="38"/>
        <v>0</v>
      </c>
      <c r="I1119" s="30">
        <f t="shared" si="37"/>
        <v>0</v>
      </c>
    </row>
    <row r="1120" spans="1:9" s="93" customFormat="1" ht="25.5" customHeight="1" hidden="1">
      <c r="A1120" s="26" t="s">
        <v>969</v>
      </c>
      <c r="B1120" s="36"/>
      <c r="C1120" s="28" t="s">
        <v>963</v>
      </c>
      <c r="D1120" s="28" t="s">
        <v>942</v>
      </c>
      <c r="E1120" s="28" t="s">
        <v>715</v>
      </c>
      <c r="F1120" s="29" t="s">
        <v>970</v>
      </c>
      <c r="G1120" s="30"/>
      <c r="H1120" s="30"/>
      <c r="I1120" s="30" t="e">
        <f t="shared" si="37"/>
        <v>#DIV/0!</v>
      </c>
    </row>
    <row r="1121" spans="1:9" s="93" customFormat="1" ht="27.75" customHeight="1">
      <c r="A1121" s="26" t="s">
        <v>667</v>
      </c>
      <c r="B1121" s="28"/>
      <c r="C1121" s="28" t="s">
        <v>963</v>
      </c>
      <c r="D1121" s="28" t="s">
        <v>942</v>
      </c>
      <c r="E1121" s="28" t="s">
        <v>544</v>
      </c>
      <c r="F1121" s="29"/>
      <c r="G1121" s="30">
        <f>SUM(G1122)+G1124</f>
        <v>12752.9</v>
      </c>
      <c r="H1121" s="30">
        <f>SUM(H1122)+H1124</f>
        <v>8208.5</v>
      </c>
      <c r="I1121" s="30">
        <f t="shared" si="37"/>
        <v>64.36575210344314</v>
      </c>
    </row>
    <row r="1122" spans="1:9" s="93" customFormat="1" ht="28.5">
      <c r="A1122" s="31" t="s">
        <v>716</v>
      </c>
      <c r="B1122" s="28"/>
      <c r="C1122" s="28" t="s">
        <v>963</v>
      </c>
      <c r="D1122" s="28" t="s">
        <v>942</v>
      </c>
      <c r="E1122" s="28" t="s">
        <v>717</v>
      </c>
      <c r="F1122" s="29"/>
      <c r="G1122" s="30">
        <f>SUM(G1123)</f>
        <v>11955.8</v>
      </c>
      <c r="H1122" s="30">
        <f>SUM(H1123)</f>
        <v>7214.3</v>
      </c>
      <c r="I1122" s="30">
        <f t="shared" si="37"/>
        <v>60.341424245972675</v>
      </c>
    </row>
    <row r="1123" spans="1:9" s="93" customFormat="1" ht="25.5" customHeight="1">
      <c r="A1123" s="26" t="s">
        <v>969</v>
      </c>
      <c r="B1123" s="28"/>
      <c r="C1123" s="28" t="s">
        <v>963</v>
      </c>
      <c r="D1123" s="28" t="s">
        <v>942</v>
      </c>
      <c r="E1123" s="28" t="s">
        <v>717</v>
      </c>
      <c r="F1123" s="29" t="s">
        <v>970</v>
      </c>
      <c r="G1123" s="30">
        <f>10627.5+1328.3</f>
        <v>11955.8</v>
      </c>
      <c r="H1123" s="30">
        <v>7214.3</v>
      </c>
      <c r="I1123" s="30">
        <f t="shared" si="37"/>
        <v>60.341424245972675</v>
      </c>
    </row>
    <row r="1124" spans="1:9" s="64" customFormat="1" ht="46.5" customHeight="1">
      <c r="A1124" s="31" t="s">
        <v>718</v>
      </c>
      <c r="B1124" s="28"/>
      <c r="C1124" s="28" t="s">
        <v>963</v>
      </c>
      <c r="D1124" s="28" t="s">
        <v>942</v>
      </c>
      <c r="E1124" s="28" t="s">
        <v>719</v>
      </c>
      <c r="F1124" s="29"/>
      <c r="G1124" s="30">
        <f>SUM(G1125)</f>
        <v>797.1000000000001</v>
      </c>
      <c r="H1124" s="30">
        <f>SUM(H1125)</f>
        <v>994.1999999999998</v>
      </c>
      <c r="I1124" s="30">
        <f t="shared" si="37"/>
        <v>124.7271358675197</v>
      </c>
    </row>
    <row r="1125" spans="1:9" ht="15">
      <c r="A1125" s="26" t="s">
        <v>969</v>
      </c>
      <c r="B1125" s="28"/>
      <c r="C1125" s="28" t="s">
        <v>963</v>
      </c>
      <c r="D1125" s="28" t="s">
        <v>942</v>
      </c>
      <c r="E1125" s="28" t="s">
        <v>719</v>
      </c>
      <c r="F1125" s="29" t="s">
        <v>970</v>
      </c>
      <c r="G1125" s="30">
        <f>2125.4-1328.3</f>
        <v>797.1000000000001</v>
      </c>
      <c r="H1125" s="30">
        <f>2981.1-1986.9</f>
        <v>994.1999999999998</v>
      </c>
      <c r="I1125" s="30">
        <f t="shared" si="37"/>
        <v>124.7271358675197</v>
      </c>
    </row>
    <row r="1126" spans="1:9" ht="20.25" customHeight="1">
      <c r="A1126" s="26" t="s">
        <v>964</v>
      </c>
      <c r="B1126" s="32"/>
      <c r="C1126" s="28" t="s">
        <v>963</v>
      </c>
      <c r="D1126" s="28" t="s">
        <v>963</v>
      </c>
      <c r="E1126" s="28"/>
      <c r="F1126" s="29"/>
      <c r="G1126" s="30">
        <f>SUM(G1131+G1140+G1127)</f>
        <v>28798.4</v>
      </c>
      <c r="H1126" s="30">
        <f>SUM(H1131+H1140+H1127)</f>
        <v>30590.8</v>
      </c>
      <c r="I1126" s="30">
        <f t="shared" si="37"/>
        <v>106.22395688649368</v>
      </c>
    </row>
    <row r="1127" spans="1:9" ht="17.25" customHeight="1" hidden="1">
      <c r="A1127" s="26" t="s">
        <v>94</v>
      </c>
      <c r="B1127" s="27"/>
      <c r="C1127" s="28" t="s">
        <v>963</v>
      </c>
      <c r="D1127" s="28" t="s">
        <v>963</v>
      </c>
      <c r="E1127" s="28" t="s">
        <v>95</v>
      </c>
      <c r="F1127" s="29"/>
      <c r="G1127" s="30">
        <f>SUM(G1128)</f>
        <v>0</v>
      </c>
      <c r="H1127" s="30">
        <f>SUM(H1128)</f>
        <v>1335.9</v>
      </c>
      <c r="I1127" s="30" t="e">
        <f t="shared" si="37"/>
        <v>#DIV/0!</v>
      </c>
    </row>
    <row r="1128" spans="1:9" ht="15.75" customHeight="1" hidden="1">
      <c r="A1128" s="26" t="s">
        <v>96</v>
      </c>
      <c r="B1128" s="27"/>
      <c r="C1128" s="28" t="s">
        <v>963</v>
      </c>
      <c r="D1128" s="28" t="s">
        <v>963</v>
      </c>
      <c r="E1128" s="28" t="s">
        <v>97</v>
      </c>
      <c r="F1128" s="29"/>
      <c r="G1128" s="30">
        <f>SUM(G1129+G1130)</f>
        <v>0</v>
      </c>
      <c r="H1128" s="30">
        <f>SUM(H1129+H1130)</f>
        <v>1335.9</v>
      </c>
      <c r="I1128" s="30" t="e">
        <f t="shared" si="37"/>
        <v>#DIV/0!</v>
      </c>
    </row>
    <row r="1129" spans="1:9" ht="17.25" customHeight="1" hidden="1">
      <c r="A1129" s="26" t="s">
        <v>969</v>
      </c>
      <c r="B1129" s="27"/>
      <c r="C1129" s="28" t="s">
        <v>963</v>
      </c>
      <c r="D1129" s="28" t="s">
        <v>963</v>
      </c>
      <c r="E1129" s="28" t="s">
        <v>97</v>
      </c>
      <c r="F1129" s="29" t="s">
        <v>970</v>
      </c>
      <c r="G1129" s="30"/>
      <c r="H1129" s="30">
        <v>964</v>
      </c>
      <c r="I1129" s="30" t="e">
        <f t="shared" si="37"/>
        <v>#DIV/0!</v>
      </c>
    </row>
    <row r="1130" spans="1:9" ht="17.25" customHeight="1" hidden="1">
      <c r="A1130" s="26" t="s">
        <v>459</v>
      </c>
      <c r="B1130" s="27"/>
      <c r="C1130" s="28" t="s">
        <v>963</v>
      </c>
      <c r="D1130" s="28" t="s">
        <v>963</v>
      </c>
      <c r="E1130" s="28" t="s">
        <v>97</v>
      </c>
      <c r="F1130" s="29" t="s">
        <v>460</v>
      </c>
      <c r="G1130" s="30"/>
      <c r="H1130" s="30">
        <v>371.9</v>
      </c>
      <c r="I1130" s="30" t="e">
        <f t="shared" si="37"/>
        <v>#DIV/0!</v>
      </c>
    </row>
    <row r="1131" spans="1:9" ht="28.5" hidden="1">
      <c r="A1131" s="26" t="s">
        <v>365</v>
      </c>
      <c r="B1131" s="27"/>
      <c r="C1131" s="28" t="s">
        <v>963</v>
      </c>
      <c r="D1131" s="28" t="s">
        <v>963</v>
      </c>
      <c r="E1131" s="28" t="s">
        <v>366</v>
      </c>
      <c r="F1131" s="29"/>
      <c r="G1131" s="30">
        <f>SUM(G1132+G1138+G1136)</f>
        <v>0</v>
      </c>
      <c r="H1131" s="30">
        <f>SUM(H1132+H1138+H1136)</f>
        <v>1812.7999999999997</v>
      </c>
      <c r="I1131" s="30" t="e">
        <f t="shared" si="37"/>
        <v>#DIV/0!</v>
      </c>
    </row>
    <row r="1132" spans="1:9" ht="20.25" customHeight="1" hidden="1">
      <c r="A1132" s="26" t="s">
        <v>367</v>
      </c>
      <c r="B1132" s="28"/>
      <c r="C1132" s="28" t="s">
        <v>963</v>
      </c>
      <c r="D1132" s="28" t="s">
        <v>963</v>
      </c>
      <c r="E1132" s="28" t="s">
        <v>368</v>
      </c>
      <c r="F1132" s="29"/>
      <c r="G1132" s="30">
        <f>SUM(G1133+G1134)</f>
        <v>0</v>
      </c>
      <c r="H1132" s="30">
        <f>SUM(H1133+H1134)</f>
        <v>341.9</v>
      </c>
      <c r="I1132" s="30" t="e">
        <f t="shared" si="37"/>
        <v>#DIV/0!</v>
      </c>
    </row>
    <row r="1133" spans="1:9" ht="18.75" customHeight="1" hidden="1">
      <c r="A1133" s="26" t="s">
        <v>969</v>
      </c>
      <c r="B1133" s="27"/>
      <c r="C1133" s="28" t="s">
        <v>963</v>
      </c>
      <c r="D1133" s="28" t="s">
        <v>963</v>
      </c>
      <c r="E1133" s="28" t="s">
        <v>368</v>
      </c>
      <c r="F1133" s="29" t="s">
        <v>970</v>
      </c>
      <c r="G1133" s="30"/>
      <c r="H1133" s="30">
        <v>341.9</v>
      </c>
      <c r="I1133" s="30" t="e">
        <f t="shared" si="37"/>
        <v>#DIV/0!</v>
      </c>
    </row>
    <row r="1134" spans="1:9" ht="28.5" hidden="1">
      <c r="A1134" s="26" t="s">
        <v>234</v>
      </c>
      <c r="B1134" s="27"/>
      <c r="C1134" s="28" t="s">
        <v>963</v>
      </c>
      <c r="D1134" s="28" t="s">
        <v>963</v>
      </c>
      <c r="E1134" s="28" t="s">
        <v>720</v>
      </c>
      <c r="F1134" s="29"/>
      <c r="G1134" s="30">
        <f>SUM(G1135)</f>
        <v>0</v>
      </c>
      <c r="H1134" s="30">
        <f>SUM(H1135)</f>
        <v>0</v>
      </c>
      <c r="I1134" s="30" t="e">
        <f t="shared" si="37"/>
        <v>#DIV/0!</v>
      </c>
    </row>
    <row r="1135" spans="1:9" ht="15" hidden="1">
      <c r="A1135" s="26" t="s">
        <v>969</v>
      </c>
      <c r="B1135" s="27"/>
      <c r="C1135" s="28" t="s">
        <v>963</v>
      </c>
      <c r="D1135" s="28" t="s">
        <v>963</v>
      </c>
      <c r="E1135" s="28" t="s">
        <v>720</v>
      </c>
      <c r="F1135" s="29" t="s">
        <v>970</v>
      </c>
      <c r="G1135" s="30"/>
      <c r="H1135" s="30"/>
      <c r="I1135" s="30" t="e">
        <f t="shared" si="37"/>
        <v>#DIV/0!</v>
      </c>
    </row>
    <row r="1136" spans="1:9" ht="55.5" customHeight="1" hidden="1">
      <c r="A1136" s="26" t="s">
        <v>609</v>
      </c>
      <c r="B1136" s="27"/>
      <c r="C1136" s="28" t="s">
        <v>963</v>
      </c>
      <c r="D1136" s="28" t="s">
        <v>963</v>
      </c>
      <c r="E1136" s="28" t="s">
        <v>610</v>
      </c>
      <c r="F1136" s="29"/>
      <c r="G1136" s="30">
        <f>SUM(G1137)</f>
        <v>0</v>
      </c>
      <c r="H1136" s="30">
        <f>SUM(H1137)</f>
        <v>444.6</v>
      </c>
      <c r="I1136" s="30" t="e">
        <f t="shared" si="37"/>
        <v>#DIV/0!</v>
      </c>
    </row>
    <row r="1137" spans="1:9" ht="24" customHeight="1" hidden="1">
      <c r="A1137" s="26" t="s">
        <v>969</v>
      </c>
      <c r="B1137" s="27"/>
      <c r="C1137" s="28" t="s">
        <v>963</v>
      </c>
      <c r="D1137" s="28" t="s">
        <v>963</v>
      </c>
      <c r="E1137" s="28" t="s">
        <v>610</v>
      </c>
      <c r="F1137" s="29" t="s">
        <v>970</v>
      </c>
      <c r="G1137" s="30"/>
      <c r="H1137" s="30">
        <v>444.6</v>
      </c>
      <c r="I1137" s="30" t="e">
        <f aca="true" t="shared" si="39" ref="I1137:I1200">SUM(H1137/G1137*100)</f>
        <v>#DIV/0!</v>
      </c>
    </row>
    <row r="1138" spans="1:9" ht="28.5" hidden="1">
      <c r="A1138" s="26" t="s">
        <v>234</v>
      </c>
      <c r="B1138" s="27"/>
      <c r="C1138" s="28" t="s">
        <v>963</v>
      </c>
      <c r="D1138" s="28" t="s">
        <v>963</v>
      </c>
      <c r="E1138" s="28" t="s">
        <v>611</v>
      </c>
      <c r="F1138" s="29"/>
      <c r="G1138" s="30">
        <f>SUM(G1139)</f>
        <v>0</v>
      </c>
      <c r="H1138" s="30">
        <f>SUM(H1139)</f>
        <v>1026.3</v>
      </c>
      <c r="I1138" s="30" t="e">
        <f t="shared" si="39"/>
        <v>#DIV/0!</v>
      </c>
    </row>
    <row r="1139" spans="1:9" ht="18" customHeight="1" hidden="1">
      <c r="A1139" s="26" t="s">
        <v>969</v>
      </c>
      <c r="B1139" s="27"/>
      <c r="C1139" s="28" t="s">
        <v>963</v>
      </c>
      <c r="D1139" s="28" t="s">
        <v>963</v>
      </c>
      <c r="E1139" s="28" t="s">
        <v>611</v>
      </c>
      <c r="F1139" s="29" t="s">
        <v>970</v>
      </c>
      <c r="G1139" s="30"/>
      <c r="H1139" s="30">
        <v>1026.3</v>
      </c>
      <c r="I1139" s="30" t="e">
        <f t="shared" si="39"/>
        <v>#DIV/0!</v>
      </c>
    </row>
    <row r="1140" spans="1:9" ht="28.5">
      <c r="A1140" s="31" t="s">
        <v>965</v>
      </c>
      <c r="B1140" s="32"/>
      <c r="C1140" s="28" t="s">
        <v>963</v>
      </c>
      <c r="D1140" s="28" t="s">
        <v>963</v>
      </c>
      <c r="E1140" s="28" t="s">
        <v>966</v>
      </c>
      <c r="F1140" s="29"/>
      <c r="G1140" s="30">
        <f>SUM(G1141+G1148)</f>
        <v>28798.4</v>
      </c>
      <c r="H1140" s="30">
        <f>SUM(H1149+H1151+H1153)</f>
        <v>27442.1</v>
      </c>
      <c r="I1140" s="30">
        <f t="shared" si="39"/>
        <v>95.29036335351962</v>
      </c>
    </row>
    <row r="1141" spans="1:9" ht="42.75">
      <c r="A1141" s="31" t="s">
        <v>612</v>
      </c>
      <c r="B1141" s="32"/>
      <c r="C1141" s="28" t="s">
        <v>963</v>
      </c>
      <c r="D1141" s="28" t="s">
        <v>963</v>
      </c>
      <c r="E1141" s="28" t="s">
        <v>613</v>
      </c>
      <c r="F1141" s="29"/>
      <c r="G1141" s="30">
        <f>SUM(G1142+G1144+G1146)</f>
        <v>28798.4</v>
      </c>
      <c r="H1141" s="30"/>
      <c r="I1141" s="30"/>
    </row>
    <row r="1142" spans="1:9" ht="57">
      <c r="A1142" s="31" t="s">
        <v>614</v>
      </c>
      <c r="B1142" s="32"/>
      <c r="C1142" s="28" t="s">
        <v>963</v>
      </c>
      <c r="D1142" s="28" t="s">
        <v>963</v>
      </c>
      <c r="E1142" s="28" t="s">
        <v>615</v>
      </c>
      <c r="F1142" s="29"/>
      <c r="G1142" s="30">
        <f>SUM(G1143)</f>
        <v>3520</v>
      </c>
      <c r="H1142" s="30"/>
      <c r="I1142" s="30"/>
    </row>
    <row r="1143" spans="1:9" ht="15">
      <c r="A1143" s="26" t="s">
        <v>969</v>
      </c>
      <c r="B1143" s="32"/>
      <c r="C1143" s="28" t="s">
        <v>963</v>
      </c>
      <c r="D1143" s="28" t="s">
        <v>963</v>
      </c>
      <c r="E1143" s="28" t="s">
        <v>615</v>
      </c>
      <c r="F1143" s="29" t="s">
        <v>970</v>
      </c>
      <c r="G1143" s="30">
        <v>3520</v>
      </c>
      <c r="H1143" s="30"/>
      <c r="I1143" s="30"/>
    </row>
    <row r="1144" spans="1:9" ht="71.25">
      <c r="A1144" s="31" t="s">
        <v>721</v>
      </c>
      <c r="B1144" s="32"/>
      <c r="C1144" s="28" t="s">
        <v>963</v>
      </c>
      <c r="D1144" s="28" t="s">
        <v>963</v>
      </c>
      <c r="E1144" s="28" t="s">
        <v>722</v>
      </c>
      <c r="F1144" s="29"/>
      <c r="G1144" s="30">
        <f>SUM(G1145)</f>
        <v>6962.4</v>
      </c>
      <c r="H1144" s="30"/>
      <c r="I1144" s="30"/>
    </row>
    <row r="1145" spans="1:9" ht="42.75">
      <c r="A1145" s="31" t="s">
        <v>723</v>
      </c>
      <c r="B1145" s="32"/>
      <c r="C1145" s="28" t="s">
        <v>963</v>
      </c>
      <c r="D1145" s="28" t="s">
        <v>963</v>
      </c>
      <c r="E1145" s="28" t="s">
        <v>722</v>
      </c>
      <c r="F1145" s="29" t="s">
        <v>700</v>
      </c>
      <c r="G1145" s="30">
        <v>6962.4</v>
      </c>
      <c r="H1145" s="30"/>
      <c r="I1145" s="30"/>
    </row>
    <row r="1146" spans="1:9" ht="57">
      <c r="A1146" s="31" t="s">
        <v>724</v>
      </c>
      <c r="B1146" s="32"/>
      <c r="C1146" s="28" t="s">
        <v>963</v>
      </c>
      <c r="D1146" s="28" t="s">
        <v>963</v>
      </c>
      <c r="E1146" s="28" t="s">
        <v>725</v>
      </c>
      <c r="F1146" s="29"/>
      <c r="G1146" s="30">
        <f>SUM(G1147)</f>
        <v>18316</v>
      </c>
      <c r="H1146" s="30"/>
      <c r="I1146" s="30"/>
    </row>
    <row r="1147" spans="1:9" ht="15">
      <c r="A1147" s="31" t="s">
        <v>10</v>
      </c>
      <c r="B1147" s="32"/>
      <c r="C1147" s="28" t="s">
        <v>963</v>
      </c>
      <c r="D1147" s="28" t="s">
        <v>963</v>
      </c>
      <c r="E1147" s="28" t="s">
        <v>725</v>
      </c>
      <c r="F1147" s="29" t="s">
        <v>11</v>
      </c>
      <c r="G1147" s="30">
        <v>18316</v>
      </c>
      <c r="H1147" s="30"/>
      <c r="I1147" s="30"/>
    </row>
    <row r="1148" spans="1:9" ht="15" hidden="1">
      <c r="A1148" s="31" t="s">
        <v>967</v>
      </c>
      <c r="B1148" s="32"/>
      <c r="C1148" s="28" t="s">
        <v>963</v>
      </c>
      <c r="D1148" s="28" t="s">
        <v>963</v>
      </c>
      <c r="E1148" s="28" t="s">
        <v>968</v>
      </c>
      <c r="F1148" s="29"/>
      <c r="G1148" s="30">
        <f>SUM(G1149)</f>
        <v>0</v>
      </c>
      <c r="H1148" s="30">
        <f>SUM(H1149)</f>
        <v>2757.3</v>
      </c>
      <c r="I1148" s="30" t="e">
        <f t="shared" si="39"/>
        <v>#DIV/0!</v>
      </c>
    </row>
    <row r="1149" spans="1:9" ht="15" customHeight="1" hidden="1">
      <c r="A1149" s="26" t="s">
        <v>969</v>
      </c>
      <c r="B1149" s="32"/>
      <c r="C1149" s="28" t="s">
        <v>963</v>
      </c>
      <c r="D1149" s="28" t="s">
        <v>963</v>
      </c>
      <c r="E1149" s="28" t="s">
        <v>968</v>
      </c>
      <c r="F1149" s="29" t="s">
        <v>970</v>
      </c>
      <c r="G1149" s="30"/>
      <c r="H1149" s="30">
        <v>2757.3</v>
      </c>
      <c r="I1149" s="30" t="e">
        <f t="shared" si="39"/>
        <v>#DIV/0!</v>
      </c>
    </row>
    <row r="1150" spans="1:9" ht="75.75" customHeight="1" hidden="1">
      <c r="A1150" s="26" t="s">
        <v>697</v>
      </c>
      <c r="B1150" s="36"/>
      <c r="C1150" s="28" t="s">
        <v>963</v>
      </c>
      <c r="D1150" s="28" t="s">
        <v>963</v>
      </c>
      <c r="E1150" s="28" t="s">
        <v>726</v>
      </c>
      <c r="F1150" s="29"/>
      <c r="G1150" s="30">
        <f>SUM(G1151)</f>
        <v>0</v>
      </c>
      <c r="H1150" s="30">
        <f>SUM(H1151)</f>
        <v>6986.3</v>
      </c>
      <c r="I1150" s="30" t="e">
        <f t="shared" si="39"/>
        <v>#DIV/0!</v>
      </c>
    </row>
    <row r="1151" spans="1:9" ht="21" customHeight="1" hidden="1">
      <c r="A1151" s="26" t="s">
        <v>699</v>
      </c>
      <c r="B1151" s="36"/>
      <c r="C1151" s="28" t="s">
        <v>963</v>
      </c>
      <c r="D1151" s="28" t="s">
        <v>963</v>
      </c>
      <c r="E1151" s="28" t="s">
        <v>726</v>
      </c>
      <c r="F1151" s="29" t="s">
        <v>700</v>
      </c>
      <c r="G1151" s="30"/>
      <c r="H1151" s="30">
        <v>6986.3</v>
      </c>
      <c r="I1151" s="30" t="e">
        <f t="shared" si="39"/>
        <v>#DIV/0!</v>
      </c>
    </row>
    <row r="1152" spans="1:9" ht="60.75" customHeight="1" hidden="1">
      <c r="A1152" s="26" t="s">
        <v>727</v>
      </c>
      <c r="B1152" s="32"/>
      <c r="C1152" s="28" t="s">
        <v>963</v>
      </c>
      <c r="D1152" s="28" t="s">
        <v>963</v>
      </c>
      <c r="E1152" s="28" t="s">
        <v>728</v>
      </c>
      <c r="F1152" s="29"/>
      <c r="G1152" s="30">
        <f>SUM(G1153)</f>
        <v>0</v>
      </c>
      <c r="H1152" s="30">
        <f>SUM(H1153)</f>
        <v>17698.5</v>
      </c>
      <c r="I1152" s="30" t="e">
        <f t="shared" si="39"/>
        <v>#DIV/0!</v>
      </c>
    </row>
    <row r="1153" spans="1:9" ht="18" customHeight="1" hidden="1">
      <c r="A1153" s="26" t="s">
        <v>10</v>
      </c>
      <c r="B1153" s="32"/>
      <c r="C1153" s="28" t="s">
        <v>963</v>
      </c>
      <c r="D1153" s="28" t="s">
        <v>963</v>
      </c>
      <c r="E1153" s="28" t="s">
        <v>728</v>
      </c>
      <c r="F1153" s="29" t="s">
        <v>11</v>
      </c>
      <c r="G1153" s="30"/>
      <c r="H1153" s="30">
        <v>17698.5</v>
      </c>
      <c r="I1153" s="30" t="e">
        <f t="shared" si="39"/>
        <v>#DIV/0!</v>
      </c>
    </row>
    <row r="1154" spans="1:9" ht="14.25" customHeight="1" hidden="1">
      <c r="A1154" s="26" t="s">
        <v>729</v>
      </c>
      <c r="B1154" s="32"/>
      <c r="C1154" s="28" t="s">
        <v>963</v>
      </c>
      <c r="D1154" s="28" t="s">
        <v>963</v>
      </c>
      <c r="E1154" s="28" t="s">
        <v>730</v>
      </c>
      <c r="F1154" s="29" t="s">
        <v>731</v>
      </c>
      <c r="G1154" s="30"/>
      <c r="H1154" s="30"/>
      <c r="I1154" s="30" t="e">
        <f t="shared" si="39"/>
        <v>#DIV/0!</v>
      </c>
    </row>
    <row r="1155" spans="1:9" ht="15">
      <c r="A1155" s="26" t="s">
        <v>369</v>
      </c>
      <c r="B1155" s="27"/>
      <c r="C1155" s="28" t="s">
        <v>963</v>
      </c>
      <c r="D1155" s="28" t="s">
        <v>25</v>
      </c>
      <c r="E1155" s="28"/>
      <c r="F1155" s="29"/>
      <c r="G1155" s="30">
        <f>SUM(G1156+G1160+G1167+G1187)</f>
        <v>50795.9</v>
      </c>
      <c r="H1155" s="30">
        <f>SUM(H1156+H1160+H1167+H1187+H1180)</f>
        <v>39045.399999999994</v>
      </c>
      <c r="I1155" s="30">
        <f t="shared" si="39"/>
        <v>76.86722747308345</v>
      </c>
    </row>
    <row r="1156" spans="1:9" ht="15">
      <c r="A1156" s="47" t="s">
        <v>236</v>
      </c>
      <c r="B1156" s="45"/>
      <c r="C1156" s="28" t="s">
        <v>963</v>
      </c>
      <c r="D1156" s="28" t="s">
        <v>25</v>
      </c>
      <c r="E1156" s="28" t="s">
        <v>237</v>
      </c>
      <c r="F1156" s="29"/>
      <c r="G1156" s="30">
        <f aca="true" t="shared" si="40" ref="G1156:H1158">SUM(G1157)</f>
        <v>3780.3</v>
      </c>
      <c r="H1156" s="30">
        <f t="shared" si="40"/>
        <v>1869.7</v>
      </c>
      <c r="I1156" s="30">
        <f t="shared" si="39"/>
        <v>49.45903764251514</v>
      </c>
    </row>
    <row r="1157" spans="1:9" ht="15">
      <c r="A1157" s="26" t="s">
        <v>732</v>
      </c>
      <c r="B1157" s="45"/>
      <c r="C1157" s="28" t="s">
        <v>963</v>
      </c>
      <c r="D1157" s="28" t="s">
        <v>25</v>
      </c>
      <c r="E1157" s="28" t="s">
        <v>733</v>
      </c>
      <c r="F1157" s="29"/>
      <c r="G1157" s="30">
        <f t="shared" si="40"/>
        <v>3780.3</v>
      </c>
      <c r="H1157" s="30">
        <f t="shared" si="40"/>
        <v>1869.7</v>
      </c>
      <c r="I1157" s="30">
        <f t="shared" si="39"/>
        <v>49.45903764251514</v>
      </c>
    </row>
    <row r="1158" spans="1:9" ht="30.75" customHeight="1">
      <c r="A1158" s="26" t="s">
        <v>734</v>
      </c>
      <c r="B1158" s="45"/>
      <c r="C1158" s="28" t="s">
        <v>963</v>
      </c>
      <c r="D1158" s="28" t="s">
        <v>25</v>
      </c>
      <c r="E1158" s="28" t="s">
        <v>735</v>
      </c>
      <c r="F1158" s="29"/>
      <c r="G1158" s="30">
        <f t="shared" si="40"/>
        <v>3780.3</v>
      </c>
      <c r="H1158" s="30">
        <f t="shared" si="40"/>
        <v>1869.7</v>
      </c>
      <c r="I1158" s="30">
        <f t="shared" si="39"/>
        <v>49.45903764251514</v>
      </c>
    </row>
    <row r="1159" spans="1:9" ht="28.5">
      <c r="A1159" s="26" t="s">
        <v>947</v>
      </c>
      <c r="B1159" s="45"/>
      <c r="C1159" s="28" t="s">
        <v>963</v>
      </c>
      <c r="D1159" s="28" t="s">
        <v>25</v>
      </c>
      <c r="E1159" s="28" t="s">
        <v>735</v>
      </c>
      <c r="F1159" s="29" t="s">
        <v>948</v>
      </c>
      <c r="G1159" s="30">
        <v>3780.3</v>
      </c>
      <c r="H1159" s="30">
        <v>1869.7</v>
      </c>
      <c r="I1159" s="30">
        <f t="shared" si="39"/>
        <v>49.45903764251514</v>
      </c>
    </row>
    <row r="1160" spans="1:9" ht="72" customHeight="1">
      <c r="A1160" s="31" t="s">
        <v>736</v>
      </c>
      <c r="B1160" s="27"/>
      <c r="C1160" s="28" t="s">
        <v>963</v>
      </c>
      <c r="D1160" s="28" t="s">
        <v>25</v>
      </c>
      <c r="E1160" s="28" t="s">
        <v>737</v>
      </c>
      <c r="F1160" s="29"/>
      <c r="G1160" s="30">
        <f>SUM(G1161)</f>
        <v>31681.6</v>
      </c>
      <c r="H1160" s="30">
        <f>SUM(H1161)</f>
        <v>17823.6</v>
      </c>
      <c r="I1160" s="30">
        <f t="shared" si="39"/>
        <v>56.2585222968537</v>
      </c>
    </row>
    <row r="1161" spans="1:9" ht="28.5">
      <c r="A1161" s="26" t="s">
        <v>234</v>
      </c>
      <c r="B1161" s="45"/>
      <c r="C1161" s="28" t="s">
        <v>963</v>
      </c>
      <c r="D1161" s="28" t="s">
        <v>25</v>
      </c>
      <c r="E1161" s="28" t="s">
        <v>738</v>
      </c>
      <c r="F1161" s="29"/>
      <c r="G1161" s="30">
        <f>SUM(G1162+G1163+G1165)</f>
        <v>31681.6</v>
      </c>
      <c r="H1161" s="30">
        <f>SUM(H1162+H1163+H1165)</f>
        <v>17823.6</v>
      </c>
      <c r="I1161" s="30">
        <f t="shared" si="39"/>
        <v>56.2585222968537</v>
      </c>
    </row>
    <row r="1162" spans="1:9" ht="15">
      <c r="A1162" s="26" t="s">
        <v>969</v>
      </c>
      <c r="B1162" s="45"/>
      <c r="C1162" s="28" t="s">
        <v>963</v>
      </c>
      <c r="D1162" s="28" t="s">
        <v>25</v>
      </c>
      <c r="E1162" s="28" t="s">
        <v>738</v>
      </c>
      <c r="F1162" s="29" t="s">
        <v>970</v>
      </c>
      <c r="G1162" s="30">
        <f>31096+214.2+169.6+82.7</f>
        <v>31562.5</v>
      </c>
      <c r="H1162" s="30">
        <v>17823.6</v>
      </c>
      <c r="I1162" s="30">
        <f t="shared" si="39"/>
        <v>56.47081188118811</v>
      </c>
    </row>
    <row r="1163" spans="1:9" ht="28.5">
      <c r="A1163" s="26" t="s">
        <v>739</v>
      </c>
      <c r="B1163" s="45"/>
      <c r="C1163" s="28" t="s">
        <v>963</v>
      </c>
      <c r="D1163" s="28" t="s">
        <v>25</v>
      </c>
      <c r="E1163" s="28" t="s">
        <v>740</v>
      </c>
      <c r="F1163" s="29"/>
      <c r="G1163" s="30">
        <f>SUM(G1164)</f>
        <v>119.1</v>
      </c>
      <c r="H1163" s="30">
        <f>SUM(H1164)</f>
        <v>0</v>
      </c>
      <c r="I1163" s="30">
        <f t="shared" si="39"/>
        <v>0</v>
      </c>
    </row>
    <row r="1164" spans="1:9" ht="18.75" customHeight="1">
      <c r="A1164" s="26" t="s">
        <v>969</v>
      </c>
      <c r="B1164" s="45"/>
      <c r="C1164" s="28" t="s">
        <v>963</v>
      </c>
      <c r="D1164" s="28" t="s">
        <v>25</v>
      </c>
      <c r="E1164" s="28" t="s">
        <v>740</v>
      </c>
      <c r="F1164" s="29" t="s">
        <v>970</v>
      </c>
      <c r="G1164" s="30">
        <v>119.1</v>
      </c>
      <c r="H1164" s="30"/>
      <c r="I1164" s="30">
        <f t="shared" si="39"/>
        <v>0</v>
      </c>
    </row>
    <row r="1165" spans="1:9" ht="0.75" customHeight="1" hidden="1">
      <c r="A1165" s="26" t="s">
        <v>705</v>
      </c>
      <c r="B1165" s="36"/>
      <c r="C1165" s="28" t="s">
        <v>963</v>
      </c>
      <c r="D1165" s="28" t="s">
        <v>25</v>
      </c>
      <c r="E1165" s="28" t="s">
        <v>741</v>
      </c>
      <c r="F1165" s="29"/>
      <c r="G1165" s="30">
        <f>SUM(G1166)</f>
        <v>0</v>
      </c>
      <c r="H1165" s="30">
        <f>SUM(H1166)</f>
        <v>0</v>
      </c>
      <c r="I1165" s="30" t="e">
        <f t="shared" si="39"/>
        <v>#DIV/0!</v>
      </c>
    </row>
    <row r="1166" spans="1:9" ht="15.75" hidden="1">
      <c r="A1166" s="26" t="s">
        <v>969</v>
      </c>
      <c r="B1166" s="36"/>
      <c r="C1166" s="28" t="s">
        <v>963</v>
      </c>
      <c r="D1166" s="28" t="s">
        <v>25</v>
      </c>
      <c r="E1166" s="28" t="s">
        <v>741</v>
      </c>
      <c r="F1166" s="29" t="s">
        <v>970</v>
      </c>
      <c r="G1166" s="30"/>
      <c r="H1166" s="30"/>
      <c r="I1166" s="30" t="e">
        <f t="shared" si="39"/>
        <v>#DIV/0!</v>
      </c>
    </row>
    <row r="1167" spans="1:9" ht="15" customHeight="1">
      <c r="A1167" s="26" t="s">
        <v>67</v>
      </c>
      <c r="B1167" s="36"/>
      <c r="C1167" s="28" t="s">
        <v>963</v>
      </c>
      <c r="D1167" s="28" t="s">
        <v>25</v>
      </c>
      <c r="E1167" s="28" t="s">
        <v>68</v>
      </c>
      <c r="F1167" s="29"/>
      <c r="G1167" s="30">
        <f>SUM(G1170+G1174+G1178+G1172+G1176+G1168)</f>
        <v>1181.6</v>
      </c>
      <c r="H1167" s="30">
        <f>SUM(H1170+H1174+H1178+H1172+H1176)+H1168</f>
        <v>3.5</v>
      </c>
      <c r="I1167" s="30">
        <f t="shared" si="39"/>
        <v>0.2962085308056872</v>
      </c>
    </row>
    <row r="1168" spans="1:9" ht="62.25" customHeight="1" hidden="1">
      <c r="A1168" s="26" t="s">
        <v>742</v>
      </c>
      <c r="B1168" s="36"/>
      <c r="C1168" s="28" t="s">
        <v>963</v>
      </c>
      <c r="D1168" s="28" t="s">
        <v>25</v>
      </c>
      <c r="E1168" s="28" t="s">
        <v>617</v>
      </c>
      <c r="F1168" s="29"/>
      <c r="G1168" s="30">
        <f>SUM(G1169)</f>
        <v>0</v>
      </c>
      <c r="H1168" s="30">
        <f>SUM(H1169)</f>
        <v>3.5</v>
      </c>
      <c r="I1168" s="30"/>
    </row>
    <row r="1169" spans="1:9" ht="15" customHeight="1" hidden="1">
      <c r="A1169" s="26" t="s">
        <v>969</v>
      </c>
      <c r="B1169" s="36"/>
      <c r="C1169" s="28" t="s">
        <v>963</v>
      </c>
      <c r="D1169" s="28" t="s">
        <v>25</v>
      </c>
      <c r="E1169" s="28" t="s">
        <v>617</v>
      </c>
      <c r="F1169" s="29" t="s">
        <v>970</v>
      </c>
      <c r="G1169" s="30"/>
      <c r="H1169" s="30">
        <v>3.5</v>
      </c>
      <c r="I1169" s="30"/>
    </row>
    <row r="1170" spans="1:9" ht="57" hidden="1">
      <c r="A1170" s="26" t="s">
        <v>743</v>
      </c>
      <c r="B1170" s="36"/>
      <c r="C1170" s="28" t="s">
        <v>963</v>
      </c>
      <c r="D1170" s="28" t="s">
        <v>25</v>
      </c>
      <c r="E1170" s="28" t="s">
        <v>744</v>
      </c>
      <c r="F1170" s="29"/>
      <c r="G1170" s="30">
        <f>SUM(G1171)</f>
        <v>0</v>
      </c>
      <c r="H1170" s="30">
        <f>SUM(H1171)</f>
        <v>0</v>
      </c>
      <c r="I1170" s="30" t="e">
        <f t="shared" si="39"/>
        <v>#DIV/0!</v>
      </c>
    </row>
    <row r="1171" spans="1:9" ht="15.75" hidden="1">
      <c r="A1171" s="26" t="s">
        <v>413</v>
      </c>
      <c r="B1171" s="36"/>
      <c r="C1171" s="28" t="s">
        <v>963</v>
      </c>
      <c r="D1171" s="28" t="s">
        <v>25</v>
      </c>
      <c r="E1171" s="28" t="s">
        <v>744</v>
      </c>
      <c r="F1171" s="29" t="s">
        <v>539</v>
      </c>
      <c r="G1171" s="30"/>
      <c r="H1171" s="30"/>
      <c r="I1171" s="30" t="e">
        <f t="shared" si="39"/>
        <v>#DIV/0!</v>
      </c>
    </row>
    <row r="1172" spans="1:9" ht="71.25" hidden="1">
      <c r="A1172" s="26" t="s">
        <v>745</v>
      </c>
      <c r="B1172" s="36"/>
      <c r="C1172" s="28" t="s">
        <v>963</v>
      </c>
      <c r="D1172" s="28" t="s">
        <v>25</v>
      </c>
      <c r="E1172" s="28" t="s">
        <v>746</v>
      </c>
      <c r="F1172" s="29"/>
      <c r="G1172" s="30">
        <f>SUM(G1173)</f>
        <v>0</v>
      </c>
      <c r="H1172" s="30">
        <f>SUM(H1173)</f>
        <v>0</v>
      </c>
      <c r="I1172" s="30" t="e">
        <f t="shared" si="39"/>
        <v>#DIV/0!</v>
      </c>
    </row>
    <row r="1173" spans="1:9" ht="28.5" hidden="1">
      <c r="A1173" s="26" t="s">
        <v>393</v>
      </c>
      <c r="B1173" s="36"/>
      <c r="C1173" s="28" t="s">
        <v>963</v>
      </c>
      <c r="D1173" s="28" t="s">
        <v>25</v>
      </c>
      <c r="E1173" s="28" t="s">
        <v>746</v>
      </c>
      <c r="F1173" s="29" t="s">
        <v>395</v>
      </c>
      <c r="G1173" s="30"/>
      <c r="H1173" s="30"/>
      <c r="I1173" s="30" t="e">
        <f t="shared" si="39"/>
        <v>#DIV/0!</v>
      </c>
    </row>
    <row r="1174" spans="1:9" ht="57" hidden="1">
      <c r="A1174" s="26" t="s">
        <v>747</v>
      </c>
      <c r="B1174" s="36"/>
      <c r="C1174" s="28" t="s">
        <v>963</v>
      </c>
      <c r="D1174" s="28" t="s">
        <v>25</v>
      </c>
      <c r="E1174" s="28" t="s">
        <v>357</v>
      </c>
      <c r="F1174" s="29"/>
      <c r="G1174" s="30">
        <f>SUM(G1175)</f>
        <v>0</v>
      </c>
      <c r="H1174" s="30">
        <f>SUM(H1175)</f>
        <v>0</v>
      </c>
      <c r="I1174" s="30" t="e">
        <f t="shared" si="39"/>
        <v>#DIV/0!</v>
      </c>
    </row>
    <row r="1175" spans="1:9" ht="15.75" hidden="1">
      <c r="A1175" s="26" t="s">
        <v>969</v>
      </c>
      <c r="B1175" s="36"/>
      <c r="C1175" s="28" t="s">
        <v>963</v>
      </c>
      <c r="D1175" s="28" t="s">
        <v>25</v>
      </c>
      <c r="E1175" s="28" t="s">
        <v>357</v>
      </c>
      <c r="F1175" s="29" t="s">
        <v>970</v>
      </c>
      <c r="G1175" s="30"/>
      <c r="H1175" s="30"/>
      <c r="I1175" s="30" t="e">
        <f t="shared" si="39"/>
        <v>#DIV/0!</v>
      </c>
    </row>
    <row r="1176" spans="1:9" ht="42.75" hidden="1">
      <c r="A1176" s="26" t="s">
        <v>748</v>
      </c>
      <c r="B1176" s="36"/>
      <c r="C1176" s="28" t="s">
        <v>963</v>
      </c>
      <c r="D1176" s="28" t="s">
        <v>25</v>
      </c>
      <c r="E1176" s="28" t="s">
        <v>749</v>
      </c>
      <c r="F1176" s="29"/>
      <c r="G1176" s="30">
        <f>SUM(G1177)</f>
        <v>0</v>
      </c>
      <c r="H1176" s="30">
        <f>SUM(H1177)</f>
        <v>0</v>
      </c>
      <c r="I1176" s="30" t="e">
        <f t="shared" si="39"/>
        <v>#DIV/0!</v>
      </c>
    </row>
    <row r="1177" spans="1:9" ht="10.5" customHeight="1" hidden="1">
      <c r="A1177" s="26" t="s">
        <v>393</v>
      </c>
      <c r="B1177" s="36"/>
      <c r="C1177" s="28" t="s">
        <v>963</v>
      </c>
      <c r="D1177" s="28" t="s">
        <v>25</v>
      </c>
      <c r="E1177" s="28" t="s">
        <v>749</v>
      </c>
      <c r="F1177" s="29" t="s">
        <v>395</v>
      </c>
      <c r="G1177" s="30"/>
      <c r="H1177" s="30"/>
      <c r="I1177" s="30" t="e">
        <f t="shared" si="39"/>
        <v>#DIV/0!</v>
      </c>
    </row>
    <row r="1178" spans="1:9" ht="48" customHeight="1" hidden="1">
      <c r="A1178" s="26" t="s">
        <v>750</v>
      </c>
      <c r="B1178" s="36"/>
      <c r="C1178" s="28" t="s">
        <v>963</v>
      </c>
      <c r="D1178" s="28" t="s">
        <v>25</v>
      </c>
      <c r="E1178" s="28" t="s">
        <v>751</v>
      </c>
      <c r="F1178" s="29"/>
      <c r="G1178" s="30">
        <f>SUM(G1181)</f>
        <v>1181.6</v>
      </c>
      <c r="H1178" s="30">
        <f>SUM(H1179)</f>
        <v>0</v>
      </c>
      <c r="I1178" s="30">
        <f t="shared" si="39"/>
        <v>0</v>
      </c>
    </row>
    <row r="1179" spans="1:9" ht="59.25" customHeight="1" hidden="1">
      <c r="A1179" s="26" t="s">
        <v>752</v>
      </c>
      <c r="B1179" s="36"/>
      <c r="C1179" s="28" t="s">
        <v>963</v>
      </c>
      <c r="D1179" s="28" t="s">
        <v>25</v>
      </c>
      <c r="E1179" s="28" t="s">
        <v>751</v>
      </c>
      <c r="F1179" s="29" t="s">
        <v>606</v>
      </c>
      <c r="G1179" s="30"/>
      <c r="H1179" s="30"/>
      <c r="I1179" s="30" t="e">
        <f t="shared" si="39"/>
        <v>#DIV/0!</v>
      </c>
    </row>
    <row r="1180" spans="1:9" ht="15.75" hidden="1">
      <c r="A1180" s="26" t="s">
        <v>67</v>
      </c>
      <c r="B1180" s="36"/>
      <c r="C1180" s="28" t="s">
        <v>963</v>
      </c>
      <c r="D1180" s="28" t="s">
        <v>25</v>
      </c>
      <c r="E1180" s="28" t="s">
        <v>68</v>
      </c>
      <c r="F1180" s="29"/>
      <c r="G1180" s="30"/>
      <c r="H1180" s="30">
        <f>SUM(H1181)</f>
        <v>568.5</v>
      </c>
      <c r="I1180" s="30" t="e">
        <f t="shared" si="39"/>
        <v>#DIV/0!</v>
      </c>
    </row>
    <row r="1181" spans="1:9" ht="45" customHeight="1">
      <c r="A1181" s="26" t="s">
        <v>753</v>
      </c>
      <c r="B1181" s="36"/>
      <c r="C1181" s="28" t="s">
        <v>963</v>
      </c>
      <c r="D1181" s="28" t="s">
        <v>25</v>
      </c>
      <c r="E1181" s="28" t="s">
        <v>751</v>
      </c>
      <c r="F1181" s="29"/>
      <c r="G1181" s="30">
        <f>SUM(G1185+G1184)+G1182</f>
        <v>1181.6</v>
      </c>
      <c r="H1181" s="30">
        <f>SUM(H1185)</f>
        <v>568.5</v>
      </c>
      <c r="I1181" s="30">
        <f t="shared" si="39"/>
        <v>48.112728503723766</v>
      </c>
    </row>
    <row r="1182" spans="1:9" ht="21" customHeight="1">
      <c r="A1182" s="26" t="s">
        <v>969</v>
      </c>
      <c r="B1182" s="36"/>
      <c r="C1182" s="28" t="s">
        <v>963</v>
      </c>
      <c r="D1182" s="28" t="s">
        <v>25</v>
      </c>
      <c r="E1182" s="28" t="s">
        <v>751</v>
      </c>
      <c r="F1182" s="29" t="s">
        <v>970</v>
      </c>
      <c r="G1182" s="30">
        <f>554.5+491.6+75.7</f>
        <v>1121.8</v>
      </c>
      <c r="H1182" s="30"/>
      <c r="I1182" s="30"/>
    </row>
    <row r="1183" spans="1:9" ht="92.25" customHeight="1">
      <c r="A1183" s="26" t="s">
        <v>754</v>
      </c>
      <c r="B1183" s="36"/>
      <c r="C1183" s="28" t="s">
        <v>963</v>
      </c>
      <c r="D1183" s="28" t="s">
        <v>25</v>
      </c>
      <c r="E1183" s="28" t="s">
        <v>755</v>
      </c>
      <c r="F1183" s="29"/>
      <c r="G1183" s="30">
        <f>SUM(G1184)</f>
        <v>31.2</v>
      </c>
      <c r="H1183" s="30"/>
      <c r="I1183" s="30"/>
    </row>
    <row r="1184" spans="1:9" ht="15.75">
      <c r="A1184" s="26" t="s">
        <v>969</v>
      </c>
      <c r="B1184" s="36"/>
      <c r="C1184" s="28" t="s">
        <v>963</v>
      </c>
      <c r="D1184" s="28" t="s">
        <v>25</v>
      </c>
      <c r="E1184" s="28" t="s">
        <v>755</v>
      </c>
      <c r="F1184" s="29" t="s">
        <v>970</v>
      </c>
      <c r="G1184" s="30">
        <v>31.2</v>
      </c>
      <c r="H1184" s="30">
        <v>568.5</v>
      </c>
      <c r="I1184" s="30">
        <f>SUM(H1184/G1184*100)</f>
        <v>1822.1153846153848</v>
      </c>
    </row>
    <row r="1185" spans="1:9" ht="89.25" customHeight="1">
      <c r="A1185" s="89" t="s">
        <v>848</v>
      </c>
      <c r="B1185" s="36"/>
      <c r="C1185" s="28" t="s">
        <v>963</v>
      </c>
      <c r="D1185" s="28" t="s">
        <v>25</v>
      </c>
      <c r="E1185" s="28" t="s">
        <v>756</v>
      </c>
      <c r="F1185" s="29"/>
      <c r="G1185" s="30">
        <f>SUM(G1186)</f>
        <v>28.6</v>
      </c>
      <c r="H1185" s="30">
        <f>SUM(H1186)</f>
        <v>568.5</v>
      </c>
      <c r="I1185" s="30">
        <f t="shared" si="39"/>
        <v>1987.7622377622376</v>
      </c>
    </row>
    <row r="1186" spans="1:9" ht="15.75">
      <c r="A1186" s="26" t="s">
        <v>969</v>
      </c>
      <c r="B1186" s="36"/>
      <c r="C1186" s="28" t="s">
        <v>963</v>
      </c>
      <c r="D1186" s="28" t="s">
        <v>25</v>
      </c>
      <c r="E1186" s="28" t="s">
        <v>756</v>
      </c>
      <c r="F1186" s="29" t="s">
        <v>970</v>
      </c>
      <c r="G1186" s="30">
        <v>28.6</v>
      </c>
      <c r="H1186" s="30">
        <v>568.5</v>
      </c>
      <c r="I1186" s="30">
        <f t="shared" si="39"/>
        <v>1987.7622377622376</v>
      </c>
    </row>
    <row r="1187" spans="1:9" ht="21" customHeight="1">
      <c r="A1187" s="26" t="s">
        <v>20</v>
      </c>
      <c r="B1187" s="80"/>
      <c r="C1187" s="28" t="s">
        <v>963</v>
      </c>
      <c r="D1187" s="28" t="s">
        <v>25</v>
      </c>
      <c r="E1187" s="28" t="s">
        <v>21</v>
      </c>
      <c r="F1187" s="29"/>
      <c r="G1187" s="30">
        <f>SUM(G1188)</f>
        <v>14152.4</v>
      </c>
      <c r="H1187" s="30">
        <f>SUM(H1188)</f>
        <v>18780.1</v>
      </c>
      <c r="I1187" s="30">
        <f t="shared" si="39"/>
        <v>132.69904751137616</v>
      </c>
    </row>
    <row r="1188" spans="1:9" ht="18.75" customHeight="1">
      <c r="A1188" s="26" t="s">
        <v>459</v>
      </c>
      <c r="B1188" s="80"/>
      <c r="C1188" s="28" t="s">
        <v>963</v>
      </c>
      <c r="D1188" s="28" t="s">
        <v>25</v>
      </c>
      <c r="E1188" s="28" t="s">
        <v>21</v>
      </c>
      <c r="F1188" s="29" t="s">
        <v>460</v>
      </c>
      <c r="G1188" s="30">
        <f>SUM(G1190:G1194)</f>
        <v>14152.4</v>
      </c>
      <c r="H1188" s="30">
        <f>SUM(H1190:H1194)</f>
        <v>18780.1</v>
      </c>
      <c r="I1188" s="30">
        <f t="shared" si="39"/>
        <v>132.69904751137616</v>
      </c>
    </row>
    <row r="1189" spans="1:9" ht="60" customHeight="1" hidden="1">
      <c r="A1189" s="26" t="s">
        <v>112</v>
      </c>
      <c r="B1189" s="80"/>
      <c r="C1189" s="28" t="s">
        <v>757</v>
      </c>
      <c r="D1189" s="28" t="s">
        <v>25</v>
      </c>
      <c r="E1189" s="28" t="s">
        <v>113</v>
      </c>
      <c r="F1189" s="29" t="s">
        <v>460</v>
      </c>
      <c r="G1189" s="30">
        <f>2030-2030</f>
        <v>0</v>
      </c>
      <c r="H1189" s="30"/>
      <c r="I1189" s="30"/>
    </row>
    <row r="1190" spans="1:9" ht="46.5" customHeight="1">
      <c r="A1190" s="46" t="s">
        <v>758</v>
      </c>
      <c r="B1190" s="80"/>
      <c r="C1190" s="28" t="s">
        <v>963</v>
      </c>
      <c r="D1190" s="28" t="s">
        <v>25</v>
      </c>
      <c r="E1190" s="28" t="s">
        <v>402</v>
      </c>
      <c r="F1190" s="29" t="s">
        <v>460</v>
      </c>
      <c r="G1190" s="30">
        <v>22</v>
      </c>
      <c r="H1190" s="30">
        <v>179.9</v>
      </c>
      <c r="I1190" s="30">
        <f t="shared" si="39"/>
        <v>817.7272727272727</v>
      </c>
    </row>
    <row r="1191" spans="1:9" ht="17.25" customHeight="1">
      <c r="A1191" s="46" t="s">
        <v>759</v>
      </c>
      <c r="B1191" s="27"/>
      <c r="C1191" s="28" t="s">
        <v>963</v>
      </c>
      <c r="D1191" s="28" t="s">
        <v>25</v>
      </c>
      <c r="E1191" s="28" t="s">
        <v>760</v>
      </c>
      <c r="F1191" s="29" t="s">
        <v>460</v>
      </c>
      <c r="G1191" s="50">
        <f>8652.3+274+20.5</f>
        <v>8946.8</v>
      </c>
      <c r="H1191" s="50">
        <v>14959.3</v>
      </c>
      <c r="I1191" s="30">
        <f t="shared" si="39"/>
        <v>167.20279876603925</v>
      </c>
    </row>
    <row r="1192" spans="1:9" ht="73.5" customHeight="1">
      <c r="A1192" s="46" t="s">
        <v>621</v>
      </c>
      <c r="B1192" s="27"/>
      <c r="C1192" s="28" t="s">
        <v>963</v>
      </c>
      <c r="D1192" s="28" t="s">
        <v>25</v>
      </c>
      <c r="E1192" s="28" t="s">
        <v>622</v>
      </c>
      <c r="F1192" s="29" t="s">
        <v>460</v>
      </c>
      <c r="G1192" s="50">
        <v>4033.5</v>
      </c>
      <c r="H1192" s="50">
        <v>2979.3</v>
      </c>
      <c r="I1192" s="30">
        <f t="shared" si="39"/>
        <v>73.86388992190406</v>
      </c>
    </row>
    <row r="1193" spans="1:9" ht="32.25" customHeight="1" hidden="1">
      <c r="A1193" s="46" t="s">
        <v>623</v>
      </c>
      <c r="B1193" s="27"/>
      <c r="C1193" s="28" t="s">
        <v>963</v>
      </c>
      <c r="D1193" s="28" t="s">
        <v>25</v>
      </c>
      <c r="E1193" s="28" t="s">
        <v>624</v>
      </c>
      <c r="F1193" s="29" t="s">
        <v>460</v>
      </c>
      <c r="G1193" s="50"/>
      <c r="H1193" s="50">
        <v>20.5</v>
      </c>
      <c r="I1193" s="30" t="e">
        <f t="shared" si="39"/>
        <v>#DIV/0!</v>
      </c>
    </row>
    <row r="1194" spans="1:9" ht="18.75" customHeight="1">
      <c r="A1194" s="46" t="s">
        <v>761</v>
      </c>
      <c r="B1194" s="27"/>
      <c r="C1194" s="28" t="s">
        <v>963</v>
      </c>
      <c r="D1194" s="28" t="s">
        <v>25</v>
      </c>
      <c r="E1194" s="28" t="s">
        <v>762</v>
      </c>
      <c r="F1194" s="29" t="s">
        <v>460</v>
      </c>
      <c r="G1194" s="50">
        <f>1363.6-213.5</f>
        <v>1150.1</v>
      </c>
      <c r="H1194" s="50">
        <v>641.1</v>
      </c>
      <c r="I1194" s="30">
        <f t="shared" si="39"/>
        <v>55.74297887140249</v>
      </c>
    </row>
    <row r="1195" spans="1:9" ht="18" customHeight="1">
      <c r="A1195" s="44" t="s">
        <v>971</v>
      </c>
      <c r="B1195" s="27"/>
      <c r="C1195" s="67" t="s">
        <v>972</v>
      </c>
      <c r="D1195" s="67" t="s">
        <v>445</v>
      </c>
      <c r="E1195" s="28"/>
      <c r="F1195" s="29"/>
      <c r="G1195" s="50">
        <f>SUM(G1200)+G1196</f>
        <v>22655.5</v>
      </c>
      <c r="H1195" s="50">
        <f>SUM(H1200)+H1196</f>
        <v>13626.699999999999</v>
      </c>
      <c r="I1195" s="30">
        <f t="shared" si="39"/>
        <v>60.147425569949895</v>
      </c>
    </row>
    <row r="1196" spans="1:9" ht="18" customHeight="1">
      <c r="A1196" s="31" t="s">
        <v>973</v>
      </c>
      <c r="B1196" s="27"/>
      <c r="C1196" s="67" t="s">
        <v>972</v>
      </c>
      <c r="D1196" s="67" t="s">
        <v>950</v>
      </c>
      <c r="E1196" s="67" t="s">
        <v>763</v>
      </c>
      <c r="F1196" s="29"/>
      <c r="G1196" s="50">
        <f aca="true" t="shared" si="41" ref="G1196:H1198">SUM(G1197)</f>
        <v>4217.200000000001</v>
      </c>
      <c r="H1196" s="50">
        <f t="shared" si="41"/>
        <v>2256.4</v>
      </c>
      <c r="I1196" s="30">
        <f t="shared" si="39"/>
        <v>53.504695058332544</v>
      </c>
    </row>
    <row r="1197" spans="1:9" ht="18" customHeight="1">
      <c r="A1197" s="46" t="s">
        <v>974</v>
      </c>
      <c r="B1197" s="27"/>
      <c r="C1197" s="67" t="s">
        <v>972</v>
      </c>
      <c r="D1197" s="67" t="s">
        <v>950</v>
      </c>
      <c r="E1197" s="28" t="s">
        <v>975</v>
      </c>
      <c r="F1197" s="29"/>
      <c r="G1197" s="50">
        <f t="shared" si="41"/>
        <v>4217.200000000001</v>
      </c>
      <c r="H1197" s="50">
        <f t="shared" si="41"/>
        <v>2256.4</v>
      </c>
      <c r="I1197" s="30">
        <f t="shared" si="39"/>
        <v>53.504695058332544</v>
      </c>
    </row>
    <row r="1198" spans="1:9" ht="18" customHeight="1">
      <c r="A1198" s="46" t="s">
        <v>421</v>
      </c>
      <c r="B1198" s="27"/>
      <c r="C1198" s="67" t="s">
        <v>972</v>
      </c>
      <c r="D1198" s="67" t="s">
        <v>950</v>
      </c>
      <c r="E1198" s="28" t="s">
        <v>764</v>
      </c>
      <c r="F1198" s="29"/>
      <c r="G1198" s="50">
        <f t="shared" si="41"/>
        <v>4217.200000000001</v>
      </c>
      <c r="H1198" s="50">
        <f t="shared" si="41"/>
        <v>2256.4</v>
      </c>
      <c r="I1198" s="30">
        <f t="shared" si="39"/>
        <v>53.504695058332544</v>
      </c>
    </row>
    <row r="1199" spans="1:9" ht="18" customHeight="1">
      <c r="A1199" s="46" t="s">
        <v>978</v>
      </c>
      <c r="B1199" s="27"/>
      <c r="C1199" s="67" t="s">
        <v>972</v>
      </c>
      <c r="D1199" s="67" t="s">
        <v>950</v>
      </c>
      <c r="E1199" s="28" t="s">
        <v>764</v>
      </c>
      <c r="F1199" s="29" t="s">
        <v>979</v>
      </c>
      <c r="G1199" s="50">
        <f>4409.6-192.4</f>
        <v>4217.200000000001</v>
      </c>
      <c r="H1199" s="50">
        <v>2256.4</v>
      </c>
      <c r="I1199" s="30">
        <f t="shared" si="39"/>
        <v>53.504695058332544</v>
      </c>
    </row>
    <row r="1200" spans="1:9" ht="17.25" customHeight="1">
      <c r="A1200" s="31" t="s">
        <v>540</v>
      </c>
      <c r="B1200" s="27"/>
      <c r="C1200" s="67" t="s">
        <v>972</v>
      </c>
      <c r="D1200" s="67" t="s">
        <v>5</v>
      </c>
      <c r="E1200" s="67" t="s">
        <v>763</v>
      </c>
      <c r="F1200" s="29"/>
      <c r="G1200" s="50">
        <f aca="true" t="shared" si="42" ref="G1200:H1203">SUM(G1201)</f>
        <v>18438.3</v>
      </c>
      <c r="H1200" s="50">
        <f t="shared" si="42"/>
        <v>11370.3</v>
      </c>
      <c r="I1200" s="30">
        <f t="shared" si="39"/>
        <v>61.666748019069004</v>
      </c>
    </row>
    <row r="1201" spans="1:9" ht="28.5">
      <c r="A1201" s="46" t="s">
        <v>667</v>
      </c>
      <c r="B1201" s="27"/>
      <c r="C1201" s="67" t="s">
        <v>972</v>
      </c>
      <c r="D1201" s="67" t="s">
        <v>5</v>
      </c>
      <c r="E1201" s="28" t="s">
        <v>668</v>
      </c>
      <c r="F1201" s="29"/>
      <c r="G1201" s="50">
        <f t="shared" si="42"/>
        <v>18438.3</v>
      </c>
      <c r="H1201" s="50">
        <f t="shared" si="42"/>
        <v>11370.3</v>
      </c>
      <c r="I1201" s="30">
        <f aca="true" t="shared" si="43" ref="I1201:I1264">SUM(H1201/G1201*100)</f>
        <v>61.666748019069004</v>
      </c>
    </row>
    <row r="1202" spans="1:9" ht="71.25">
      <c r="A1202" s="46" t="s">
        <v>765</v>
      </c>
      <c r="B1202" s="27"/>
      <c r="C1202" s="67" t="s">
        <v>972</v>
      </c>
      <c r="D1202" s="67" t="s">
        <v>5</v>
      </c>
      <c r="E1202" s="28" t="s">
        <v>766</v>
      </c>
      <c r="F1202" s="29"/>
      <c r="G1202" s="50">
        <f t="shared" si="42"/>
        <v>18438.3</v>
      </c>
      <c r="H1202" s="50">
        <f t="shared" si="42"/>
        <v>11370.3</v>
      </c>
      <c r="I1202" s="30">
        <f t="shared" si="43"/>
        <v>61.666748019069004</v>
      </c>
    </row>
    <row r="1203" spans="1:9" ht="85.5">
      <c r="A1203" s="46" t="s">
        <v>767</v>
      </c>
      <c r="B1203" s="27"/>
      <c r="C1203" s="67" t="s">
        <v>972</v>
      </c>
      <c r="D1203" s="67" t="s">
        <v>5</v>
      </c>
      <c r="E1203" s="28" t="s">
        <v>768</v>
      </c>
      <c r="F1203" s="29"/>
      <c r="G1203" s="50">
        <f t="shared" si="42"/>
        <v>18438.3</v>
      </c>
      <c r="H1203" s="50">
        <f t="shared" si="42"/>
        <v>11370.3</v>
      </c>
      <c r="I1203" s="30">
        <f t="shared" si="43"/>
        <v>61.666748019069004</v>
      </c>
    </row>
    <row r="1204" spans="1:9" ht="15">
      <c r="A1204" s="46" t="s">
        <v>978</v>
      </c>
      <c r="B1204" s="27"/>
      <c r="C1204" s="67" t="s">
        <v>972</v>
      </c>
      <c r="D1204" s="67" t="s">
        <v>5</v>
      </c>
      <c r="E1204" s="28" t="s">
        <v>768</v>
      </c>
      <c r="F1204" s="29" t="s">
        <v>979</v>
      </c>
      <c r="G1204" s="50">
        <f>19476+0.1-1037.8</f>
        <v>18438.3</v>
      </c>
      <c r="H1204" s="50">
        <v>11370.3</v>
      </c>
      <c r="I1204" s="30">
        <f t="shared" si="43"/>
        <v>61.666748019069004</v>
      </c>
    </row>
    <row r="1205" spans="1:9" ht="15.75">
      <c r="A1205" s="35" t="s">
        <v>769</v>
      </c>
      <c r="B1205" s="36" t="s">
        <v>770</v>
      </c>
      <c r="C1205" s="28"/>
      <c r="D1205" s="28"/>
      <c r="E1205" s="28"/>
      <c r="F1205" s="29"/>
      <c r="G1205" s="37">
        <f>SUM(G1206+G1223)</f>
        <v>95042</v>
      </c>
      <c r="H1205" s="37">
        <f>SUM(H1206+H1223)</f>
        <v>53379.200000000004</v>
      </c>
      <c r="I1205" s="38">
        <f t="shared" si="43"/>
        <v>56.16380126680836</v>
      </c>
    </row>
    <row r="1206" spans="1:9" ht="15">
      <c r="A1206" s="26" t="s">
        <v>962</v>
      </c>
      <c r="B1206" s="27"/>
      <c r="C1206" s="28" t="s">
        <v>963</v>
      </c>
      <c r="D1206" s="28"/>
      <c r="E1206" s="28"/>
      <c r="F1206" s="29"/>
      <c r="G1206" s="30">
        <f>SUM(G1207)+G1213</f>
        <v>34086.200000000004</v>
      </c>
      <c r="H1206" s="30">
        <f>SUM(H1207)+H1213</f>
        <v>19272.9</v>
      </c>
      <c r="I1206" s="30">
        <f t="shared" si="43"/>
        <v>56.54165028662626</v>
      </c>
    </row>
    <row r="1207" spans="1:9" ht="15.75">
      <c r="A1207" s="26" t="s">
        <v>231</v>
      </c>
      <c r="B1207" s="36"/>
      <c r="C1207" s="28" t="s">
        <v>963</v>
      </c>
      <c r="D1207" s="28" t="s">
        <v>942</v>
      </c>
      <c r="E1207" s="28"/>
      <c r="F1207" s="29"/>
      <c r="G1207" s="30">
        <f>SUM(G1208)</f>
        <v>33986.200000000004</v>
      </c>
      <c r="H1207" s="30">
        <f>SUM(H1208)</f>
        <v>18965.5</v>
      </c>
      <c r="I1207" s="30">
        <f t="shared" si="43"/>
        <v>55.803532021820615</v>
      </c>
    </row>
    <row r="1208" spans="1:9" ht="15.75">
      <c r="A1208" s="26" t="s">
        <v>360</v>
      </c>
      <c r="B1208" s="36"/>
      <c r="C1208" s="28" t="s">
        <v>963</v>
      </c>
      <c r="D1208" s="28" t="s">
        <v>942</v>
      </c>
      <c r="E1208" s="28" t="s">
        <v>602</v>
      </c>
      <c r="F1208" s="29"/>
      <c r="G1208" s="30">
        <f>SUM(G1209)</f>
        <v>33986.200000000004</v>
      </c>
      <c r="H1208" s="30">
        <f>SUM(H1209)</f>
        <v>18965.5</v>
      </c>
      <c r="I1208" s="30">
        <f t="shared" si="43"/>
        <v>55.803532021820615</v>
      </c>
    </row>
    <row r="1209" spans="1:9" ht="28.5">
      <c r="A1209" s="26" t="s">
        <v>234</v>
      </c>
      <c r="B1209" s="36"/>
      <c r="C1209" s="28" t="s">
        <v>963</v>
      </c>
      <c r="D1209" s="28" t="s">
        <v>942</v>
      </c>
      <c r="E1209" s="28" t="s">
        <v>362</v>
      </c>
      <c r="F1209" s="29"/>
      <c r="G1209" s="30">
        <f>SUM(G1210:G1211)</f>
        <v>33986.200000000004</v>
      </c>
      <c r="H1209" s="30">
        <f>SUM(H1210:H1211)</f>
        <v>18965.5</v>
      </c>
      <c r="I1209" s="30">
        <f t="shared" si="43"/>
        <v>55.803532021820615</v>
      </c>
    </row>
    <row r="1210" spans="1:9" ht="15.75">
      <c r="A1210" s="26" t="s">
        <v>969</v>
      </c>
      <c r="B1210" s="36"/>
      <c r="C1210" s="28" t="s">
        <v>963</v>
      </c>
      <c r="D1210" s="28" t="s">
        <v>942</v>
      </c>
      <c r="E1210" s="28" t="s">
        <v>362</v>
      </c>
      <c r="F1210" s="29" t="s">
        <v>970</v>
      </c>
      <c r="G1210" s="30">
        <f>33033.8+924.1</f>
        <v>33957.9</v>
      </c>
      <c r="H1210" s="30">
        <v>17660.4</v>
      </c>
      <c r="I1210" s="30">
        <f t="shared" si="43"/>
        <v>52.00674953398179</v>
      </c>
    </row>
    <row r="1211" spans="1:9" ht="71.25">
      <c r="A1211" s="26" t="s">
        <v>771</v>
      </c>
      <c r="B1211" s="36"/>
      <c r="C1211" s="28" t="s">
        <v>963</v>
      </c>
      <c r="D1211" s="28" t="s">
        <v>942</v>
      </c>
      <c r="E1211" s="28" t="s">
        <v>772</v>
      </c>
      <c r="F1211" s="29"/>
      <c r="G1211" s="30">
        <f>SUM(G1212)</f>
        <v>28.3</v>
      </c>
      <c r="H1211" s="30">
        <f>SUM(H1212)</f>
        <v>1305.1</v>
      </c>
      <c r="I1211" s="30">
        <f t="shared" si="43"/>
        <v>4611.660777385158</v>
      </c>
    </row>
    <row r="1212" spans="1:9" ht="15" customHeight="1">
      <c r="A1212" s="26" t="s">
        <v>969</v>
      </c>
      <c r="B1212" s="36"/>
      <c r="C1212" s="28" t="s">
        <v>963</v>
      </c>
      <c r="D1212" s="28" t="s">
        <v>942</v>
      </c>
      <c r="E1212" s="28" t="s">
        <v>772</v>
      </c>
      <c r="F1212" s="29" t="s">
        <v>970</v>
      </c>
      <c r="G1212" s="30">
        <v>28.3</v>
      </c>
      <c r="H1212" s="30">
        <v>1305.1</v>
      </c>
      <c r="I1212" s="30">
        <f t="shared" si="43"/>
        <v>4611.660777385158</v>
      </c>
    </row>
    <row r="1213" spans="1:9" ht="19.5" customHeight="1">
      <c r="A1213" s="26" t="s">
        <v>964</v>
      </c>
      <c r="B1213" s="32"/>
      <c r="C1213" s="28" t="s">
        <v>963</v>
      </c>
      <c r="D1213" s="28" t="s">
        <v>963</v>
      </c>
      <c r="E1213" s="28"/>
      <c r="F1213" s="29"/>
      <c r="G1213" s="30">
        <f>SUM(G1219+G1214+G1217)</f>
        <v>100</v>
      </c>
      <c r="H1213" s="30">
        <f>SUM(H1219+H1214+H1217)</f>
        <v>307.4</v>
      </c>
      <c r="I1213" s="30">
        <f t="shared" si="43"/>
        <v>307.4</v>
      </c>
    </row>
    <row r="1214" spans="1:9" ht="28.5" customHeight="1" hidden="1">
      <c r="A1214" s="26" t="s">
        <v>365</v>
      </c>
      <c r="B1214" s="27"/>
      <c r="C1214" s="28" t="s">
        <v>963</v>
      </c>
      <c r="D1214" s="28" t="s">
        <v>963</v>
      </c>
      <c r="E1214" s="28" t="s">
        <v>366</v>
      </c>
      <c r="F1214" s="29"/>
      <c r="G1214" s="30">
        <f>SUM(G1215)</f>
        <v>0</v>
      </c>
      <c r="H1214" s="30">
        <f>SUM(H1215)</f>
        <v>0</v>
      </c>
      <c r="I1214" s="30" t="e">
        <f t="shared" si="43"/>
        <v>#DIV/0!</v>
      </c>
    </row>
    <row r="1215" spans="1:9" ht="21" customHeight="1" hidden="1">
      <c r="A1215" s="26" t="s">
        <v>367</v>
      </c>
      <c r="B1215" s="28"/>
      <c r="C1215" s="28" t="s">
        <v>963</v>
      </c>
      <c r="D1215" s="28" t="s">
        <v>963</v>
      </c>
      <c r="E1215" s="28" t="s">
        <v>368</v>
      </c>
      <c r="F1215" s="29"/>
      <c r="G1215" s="30">
        <f>SUM(G1216)</f>
        <v>0</v>
      </c>
      <c r="H1215" s="30">
        <f>SUM(H1216)</f>
        <v>0</v>
      </c>
      <c r="I1215" s="30" t="e">
        <f t="shared" si="43"/>
        <v>#DIV/0!</v>
      </c>
    </row>
    <row r="1216" spans="1:9" ht="21" customHeight="1" hidden="1">
      <c r="A1216" s="26" t="s">
        <v>969</v>
      </c>
      <c r="B1216" s="27"/>
      <c r="C1216" s="28" t="s">
        <v>963</v>
      </c>
      <c r="D1216" s="28" t="s">
        <v>963</v>
      </c>
      <c r="E1216" s="28" t="s">
        <v>368</v>
      </c>
      <c r="F1216" s="29" t="s">
        <v>970</v>
      </c>
      <c r="G1216" s="30"/>
      <c r="H1216" s="30"/>
      <c r="I1216" s="30" t="e">
        <f t="shared" si="43"/>
        <v>#DIV/0!</v>
      </c>
    </row>
    <row r="1217" spans="1:9" ht="21" customHeight="1" hidden="1">
      <c r="A1217" s="26" t="s">
        <v>96</v>
      </c>
      <c r="B1217" s="27"/>
      <c r="C1217" s="28" t="s">
        <v>963</v>
      </c>
      <c r="D1217" s="28" t="s">
        <v>963</v>
      </c>
      <c r="E1217" s="28" t="s">
        <v>97</v>
      </c>
      <c r="F1217" s="29"/>
      <c r="G1217" s="30">
        <f>SUM(G1218)</f>
        <v>0</v>
      </c>
      <c r="H1217" s="30">
        <f>SUM(H1218)</f>
        <v>108.1</v>
      </c>
      <c r="I1217" s="30" t="e">
        <f t="shared" si="43"/>
        <v>#DIV/0!</v>
      </c>
    </row>
    <row r="1218" spans="1:9" ht="21" customHeight="1" hidden="1">
      <c r="A1218" s="26" t="s">
        <v>459</v>
      </c>
      <c r="B1218" s="27"/>
      <c r="C1218" s="28" t="s">
        <v>963</v>
      </c>
      <c r="D1218" s="28" t="s">
        <v>963</v>
      </c>
      <c r="E1218" s="28" t="s">
        <v>97</v>
      </c>
      <c r="F1218" s="29" t="s">
        <v>460</v>
      </c>
      <c r="G1218" s="30"/>
      <c r="H1218" s="30">
        <v>108.1</v>
      </c>
      <c r="I1218" s="30" t="e">
        <f t="shared" si="43"/>
        <v>#DIV/0!</v>
      </c>
    </row>
    <row r="1219" spans="1:9" ht="29.25" customHeight="1">
      <c r="A1219" s="31" t="s">
        <v>965</v>
      </c>
      <c r="B1219" s="32"/>
      <c r="C1219" s="28" t="s">
        <v>963</v>
      </c>
      <c r="D1219" s="28" t="s">
        <v>963</v>
      </c>
      <c r="E1219" s="28" t="s">
        <v>966</v>
      </c>
      <c r="F1219" s="29"/>
      <c r="G1219" s="30">
        <f>SUM(G1220)</f>
        <v>100</v>
      </c>
      <c r="H1219" s="30">
        <f>SUM(H1220)</f>
        <v>199.3</v>
      </c>
      <c r="I1219" s="30">
        <f t="shared" si="43"/>
        <v>199.3</v>
      </c>
    </row>
    <row r="1220" spans="1:9" ht="48.75" customHeight="1">
      <c r="A1220" s="31" t="s">
        <v>612</v>
      </c>
      <c r="B1220" s="32"/>
      <c r="C1220" s="28" t="s">
        <v>963</v>
      </c>
      <c r="D1220" s="28" t="s">
        <v>963</v>
      </c>
      <c r="E1220" s="28" t="s">
        <v>613</v>
      </c>
      <c r="F1220" s="29"/>
      <c r="G1220" s="30">
        <f>SUM(G1222)</f>
        <v>100</v>
      </c>
      <c r="H1220" s="30">
        <f>SUM(H1222)</f>
        <v>199.3</v>
      </c>
      <c r="I1220" s="30">
        <f t="shared" si="43"/>
        <v>199.3</v>
      </c>
    </row>
    <row r="1221" spans="1:9" ht="60.75" customHeight="1">
      <c r="A1221" s="31" t="s">
        <v>614</v>
      </c>
      <c r="B1221" s="32"/>
      <c r="C1221" s="28" t="s">
        <v>963</v>
      </c>
      <c r="D1221" s="28" t="s">
        <v>963</v>
      </c>
      <c r="E1221" s="28" t="s">
        <v>615</v>
      </c>
      <c r="F1221" s="29"/>
      <c r="G1221" s="30">
        <f>SUM(G1222)</f>
        <v>100</v>
      </c>
      <c r="H1221" s="30"/>
      <c r="I1221" s="30"/>
    </row>
    <row r="1222" spans="1:9" ht="24.75" customHeight="1">
      <c r="A1222" s="26" t="s">
        <v>969</v>
      </c>
      <c r="B1222" s="32"/>
      <c r="C1222" s="28" t="s">
        <v>963</v>
      </c>
      <c r="D1222" s="28" t="s">
        <v>963</v>
      </c>
      <c r="E1222" s="28" t="s">
        <v>615</v>
      </c>
      <c r="F1222" s="29" t="s">
        <v>970</v>
      </c>
      <c r="G1222" s="30">
        <v>100</v>
      </c>
      <c r="H1222" s="30">
        <v>199.3</v>
      </c>
      <c r="I1222" s="30">
        <f t="shared" si="43"/>
        <v>199.3</v>
      </c>
    </row>
    <row r="1223" spans="1:9" ht="15">
      <c r="A1223" s="26" t="s">
        <v>773</v>
      </c>
      <c r="B1223" s="27"/>
      <c r="C1223" s="28" t="s">
        <v>7</v>
      </c>
      <c r="D1223" s="28"/>
      <c r="E1223" s="28"/>
      <c r="F1223" s="29"/>
      <c r="G1223" s="30">
        <f>SUM(G1224+G1249)</f>
        <v>60955.8</v>
      </c>
      <c r="H1223" s="30">
        <f>SUM(H1224+H1249)</f>
        <v>34106.3</v>
      </c>
      <c r="I1223" s="30">
        <f t="shared" si="43"/>
        <v>55.95250985140052</v>
      </c>
    </row>
    <row r="1224" spans="1:9" ht="15">
      <c r="A1224" s="26" t="s">
        <v>372</v>
      </c>
      <c r="B1224" s="27"/>
      <c r="C1224" s="28" t="s">
        <v>7</v>
      </c>
      <c r="D1224" s="28" t="s">
        <v>940</v>
      </c>
      <c r="E1224" s="28"/>
      <c r="F1224" s="29"/>
      <c r="G1224" s="30">
        <f>SUM(G1237+G1231+G1225+G1245)</f>
        <v>50672.5</v>
      </c>
      <c r="H1224" s="30">
        <f>SUM(H1237+H1231+H1225+H1245)</f>
        <v>27050.9</v>
      </c>
      <c r="I1224" s="30">
        <f t="shared" si="43"/>
        <v>53.383788050717854</v>
      </c>
    </row>
    <row r="1225" spans="1:9" ht="28.5">
      <c r="A1225" s="26" t="s">
        <v>287</v>
      </c>
      <c r="B1225" s="27"/>
      <c r="C1225" s="28" t="s">
        <v>7</v>
      </c>
      <c r="D1225" s="28" t="s">
        <v>940</v>
      </c>
      <c r="E1225" s="28" t="s">
        <v>288</v>
      </c>
      <c r="F1225" s="29"/>
      <c r="G1225" s="30">
        <f>SUM(G1226)</f>
        <v>26152.2</v>
      </c>
      <c r="H1225" s="30">
        <f>SUM(H1226)</f>
        <v>14679.5</v>
      </c>
      <c r="I1225" s="30">
        <f t="shared" si="43"/>
        <v>56.13103295325058</v>
      </c>
    </row>
    <row r="1226" spans="1:9" ht="28.5">
      <c r="A1226" s="26" t="s">
        <v>234</v>
      </c>
      <c r="B1226" s="36"/>
      <c r="C1226" s="28" t="s">
        <v>7</v>
      </c>
      <c r="D1226" s="28" t="s">
        <v>940</v>
      </c>
      <c r="E1226" s="28" t="s">
        <v>289</v>
      </c>
      <c r="F1226" s="29"/>
      <c r="G1226" s="30">
        <f>SUM(G1227:G1228)</f>
        <v>26152.2</v>
      </c>
      <c r="H1226" s="30">
        <f>SUM(H1227:H1229)</f>
        <v>14679.5</v>
      </c>
      <c r="I1226" s="30">
        <f t="shared" si="43"/>
        <v>56.13103295325058</v>
      </c>
    </row>
    <row r="1227" spans="1:9" ht="18.75" customHeight="1">
      <c r="A1227" s="26" t="s">
        <v>969</v>
      </c>
      <c r="B1227" s="36"/>
      <c r="C1227" s="28" t="s">
        <v>7</v>
      </c>
      <c r="D1227" s="28" t="s">
        <v>940</v>
      </c>
      <c r="E1227" s="28" t="s">
        <v>289</v>
      </c>
      <c r="F1227" s="29" t="s">
        <v>970</v>
      </c>
      <c r="G1227" s="30">
        <f>26167.4-398.9</f>
        <v>25768.5</v>
      </c>
      <c r="H1227" s="30">
        <v>14679.5</v>
      </c>
      <c r="I1227" s="30">
        <f t="shared" si="43"/>
        <v>56.96683935813105</v>
      </c>
    </row>
    <row r="1228" spans="1:9" ht="44.25" customHeight="1">
      <c r="A1228" s="26" t="s">
        <v>774</v>
      </c>
      <c r="B1228" s="36"/>
      <c r="C1228" s="28" t="s">
        <v>7</v>
      </c>
      <c r="D1228" s="28" t="s">
        <v>940</v>
      </c>
      <c r="E1228" s="28" t="s">
        <v>775</v>
      </c>
      <c r="F1228" s="29"/>
      <c r="G1228" s="30">
        <f>SUM(G1229)</f>
        <v>383.7</v>
      </c>
      <c r="H1228" s="30">
        <f>SUM(H1229)</f>
        <v>0</v>
      </c>
      <c r="I1228" s="30">
        <f>SUM(H1228/G1228*100)</f>
        <v>0</v>
      </c>
    </row>
    <row r="1229" spans="1:9" ht="15.75">
      <c r="A1229" s="26" t="s">
        <v>969</v>
      </c>
      <c r="B1229" s="36"/>
      <c r="C1229" s="28" t="s">
        <v>7</v>
      </c>
      <c r="D1229" s="28" t="s">
        <v>940</v>
      </c>
      <c r="E1229" s="28" t="s">
        <v>775</v>
      </c>
      <c r="F1229" s="29" t="s">
        <v>970</v>
      </c>
      <c r="G1229" s="30">
        <v>383.7</v>
      </c>
      <c r="H1229" s="30"/>
      <c r="I1229" s="30">
        <f>SUM(H1229/G1229*100)</f>
        <v>0</v>
      </c>
    </row>
    <row r="1230" spans="1:9" ht="18.75" customHeight="1" hidden="1">
      <c r="A1230" s="26" t="s">
        <v>969</v>
      </c>
      <c r="B1230" s="36"/>
      <c r="C1230" s="28" t="s">
        <v>7</v>
      </c>
      <c r="D1230" s="28" t="s">
        <v>940</v>
      </c>
      <c r="E1230" s="28" t="s">
        <v>776</v>
      </c>
      <c r="F1230" s="29" t="s">
        <v>970</v>
      </c>
      <c r="G1230" s="30"/>
      <c r="H1230" s="30"/>
      <c r="I1230" s="30" t="e">
        <f t="shared" si="43"/>
        <v>#DIV/0!</v>
      </c>
    </row>
    <row r="1231" spans="1:9" ht="15">
      <c r="A1231" s="26" t="s">
        <v>777</v>
      </c>
      <c r="B1231" s="27"/>
      <c r="C1231" s="28" t="s">
        <v>7</v>
      </c>
      <c r="D1231" s="28" t="s">
        <v>940</v>
      </c>
      <c r="E1231" s="28" t="s">
        <v>778</v>
      </c>
      <c r="F1231" s="29"/>
      <c r="G1231" s="30">
        <f>SUM(G1232)</f>
        <v>3457.2000000000003</v>
      </c>
      <c r="H1231" s="30">
        <f>SUM(H1232)</f>
        <v>2102.5</v>
      </c>
      <c r="I1231" s="30">
        <f t="shared" si="43"/>
        <v>60.81511049404141</v>
      </c>
    </row>
    <row r="1232" spans="1:9" ht="28.5">
      <c r="A1232" s="26" t="s">
        <v>234</v>
      </c>
      <c r="B1232" s="36"/>
      <c r="C1232" s="28" t="s">
        <v>7</v>
      </c>
      <c r="D1232" s="28" t="s">
        <v>940</v>
      </c>
      <c r="E1232" s="28" t="s">
        <v>779</v>
      </c>
      <c r="F1232" s="29"/>
      <c r="G1232" s="30">
        <f>SUM(G1233:G1235)</f>
        <v>3457.2000000000003</v>
      </c>
      <c r="H1232" s="30">
        <f>SUM(H1233:H1235)</f>
        <v>2102.5</v>
      </c>
      <c r="I1232" s="30">
        <f t="shared" si="43"/>
        <v>60.81511049404141</v>
      </c>
    </row>
    <row r="1233" spans="1:9" ht="15" customHeight="1">
      <c r="A1233" s="26" t="s">
        <v>969</v>
      </c>
      <c r="B1233" s="36"/>
      <c r="C1233" s="28" t="s">
        <v>7</v>
      </c>
      <c r="D1233" s="28" t="s">
        <v>940</v>
      </c>
      <c r="E1233" s="28" t="s">
        <v>779</v>
      </c>
      <c r="F1233" s="29" t="s">
        <v>970</v>
      </c>
      <c r="G1233" s="30">
        <f>3417.4+39.8</f>
        <v>3457.2000000000003</v>
      </c>
      <c r="H1233" s="30">
        <v>2102.5</v>
      </c>
      <c r="I1233" s="30">
        <f t="shared" si="43"/>
        <v>60.81511049404141</v>
      </c>
    </row>
    <row r="1234" spans="1:9" ht="47.25" customHeight="1" hidden="1">
      <c r="A1234" s="26" t="s">
        <v>780</v>
      </c>
      <c r="B1234" s="36"/>
      <c r="C1234" s="28" t="s">
        <v>7</v>
      </c>
      <c r="D1234" s="28" t="s">
        <v>940</v>
      </c>
      <c r="E1234" s="28" t="s">
        <v>779</v>
      </c>
      <c r="F1234" s="29" t="s">
        <v>781</v>
      </c>
      <c r="G1234" s="30"/>
      <c r="H1234" s="30"/>
      <c r="I1234" s="30" t="e">
        <f t="shared" si="43"/>
        <v>#DIV/0!</v>
      </c>
    </row>
    <row r="1235" spans="1:9" ht="0.75" customHeight="1" hidden="1">
      <c r="A1235" s="26" t="s">
        <v>705</v>
      </c>
      <c r="B1235" s="32"/>
      <c r="C1235" s="28" t="s">
        <v>7</v>
      </c>
      <c r="D1235" s="28" t="s">
        <v>940</v>
      </c>
      <c r="E1235" s="28" t="s">
        <v>782</v>
      </c>
      <c r="F1235" s="29"/>
      <c r="G1235" s="30">
        <f>SUM(G1236)</f>
        <v>0</v>
      </c>
      <c r="H1235" s="30">
        <f>SUM(H1236)</f>
        <v>0</v>
      </c>
      <c r="I1235" s="30" t="e">
        <f t="shared" si="43"/>
        <v>#DIV/0!</v>
      </c>
    </row>
    <row r="1236" spans="1:9" ht="15.75" hidden="1">
      <c r="A1236" s="26" t="s">
        <v>969</v>
      </c>
      <c r="B1236" s="36"/>
      <c r="C1236" s="28" t="s">
        <v>7</v>
      </c>
      <c r="D1236" s="28" t="s">
        <v>940</v>
      </c>
      <c r="E1236" s="28" t="s">
        <v>782</v>
      </c>
      <c r="F1236" s="29" t="s">
        <v>970</v>
      </c>
      <c r="G1236" s="30"/>
      <c r="H1236" s="30"/>
      <c r="I1236" s="30" t="e">
        <f t="shared" si="43"/>
        <v>#DIV/0!</v>
      </c>
    </row>
    <row r="1237" spans="1:9" ht="15">
      <c r="A1237" s="26" t="s">
        <v>374</v>
      </c>
      <c r="B1237" s="27"/>
      <c r="C1237" s="28" t="s">
        <v>7</v>
      </c>
      <c r="D1237" s="28" t="s">
        <v>940</v>
      </c>
      <c r="E1237" s="28" t="s">
        <v>375</v>
      </c>
      <c r="F1237" s="29"/>
      <c r="G1237" s="30">
        <f>SUM(G1238)</f>
        <v>21063.1</v>
      </c>
      <c r="H1237" s="30">
        <f>SUM(H1238)</f>
        <v>10268.9</v>
      </c>
      <c r="I1237" s="30">
        <f t="shared" si="43"/>
        <v>48.753032554562246</v>
      </c>
    </row>
    <row r="1238" spans="1:9" ht="28.5">
      <c r="A1238" s="26" t="s">
        <v>234</v>
      </c>
      <c r="B1238" s="36"/>
      <c r="C1238" s="28" t="s">
        <v>7</v>
      </c>
      <c r="D1238" s="28" t="s">
        <v>940</v>
      </c>
      <c r="E1238" s="28" t="s">
        <v>376</v>
      </c>
      <c r="F1238" s="29"/>
      <c r="G1238" s="30">
        <f>SUM(G1239+G1242+G1244)</f>
        <v>21063.1</v>
      </c>
      <c r="H1238" s="30">
        <f>SUM(H1239+H1242+H1244)</f>
        <v>10268.9</v>
      </c>
      <c r="I1238" s="30">
        <f t="shared" si="43"/>
        <v>48.753032554562246</v>
      </c>
    </row>
    <row r="1239" spans="1:9" ht="15" customHeight="1">
      <c r="A1239" s="26" t="s">
        <v>969</v>
      </c>
      <c r="B1239" s="36"/>
      <c r="C1239" s="28" t="s">
        <v>7</v>
      </c>
      <c r="D1239" s="28" t="s">
        <v>940</v>
      </c>
      <c r="E1239" s="28" t="s">
        <v>376</v>
      </c>
      <c r="F1239" s="29" t="s">
        <v>970</v>
      </c>
      <c r="G1239" s="30">
        <f>18839.7-61.4</f>
        <v>18778.3</v>
      </c>
      <c r="H1239" s="30">
        <v>8963.8</v>
      </c>
      <c r="I1239" s="30">
        <f t="shared" si="43"/>
        <v>47.73488547951625</v>
      </c>
    </row>
    <row r="1240" spans="1:9" ht="45.75" customHeight="1" hidden="1">
      <c r="A1240" s="26" t="s">
        <v>780</v>
      </c>
      <c r="B1240" s="36"/>
      <c r="C1240" s="28" t="s">
        <v>7</v>
      </c>
      <c r="D1240" s="28" t="s">
        <v>940</v>
      </c>
      <c r="E1240" s="28" t="s">
        <v>376</v>
      </c>
      <c r="F1240" s="29" t="s">
        <v>781</v>
      </c>
      <c r="G1240" s="30"/>
      <c r="H1240" s="30"/>
      <c r="I1240" s="30" t="e">
        <f t="shared" si="43"/>
        <v>#DIV/0!</v>
      </c>
    </row>
    <row r="1241" spans="1:9" ht="54.75" customHeight="1" hidden="1">
      <c r="A1241" s="26" t="s">
        <v>705</v>
      </c>
      <c r="B1241" s="32"/>
      <c r="C1241" s="28" t="s">
        <v>7</v>
      </c>
      <c r="D1241" s="28" t="s">
        <v>940</v>
      </c>
      <c r="E1241" s="28" t="s">
        <v>783</v>
      </c>
      <c r="F1241" s="29"/>
      <c r="G1241" s="30">
        <f>SUM(G1242)</f>
        <v>0</v>
      </c>
      <c r="H1241" s="30">
        <f>SUM(H1242)</f>
        <v>0</v>
      </c>
      <c r="I1241" s="30" t="e">
        <f t="shared" si="43"/>
        <v>#DIV/0!</v>
      </c>
    </row>
    <row r="1242" spans="1:9" ht="15.75" hidden="1">
      <c r="A1242" s="26" t="s">
        <v>969</v>
      </c>
      <c r="B1242" s="36"/>
      <c r="C1242" s="28" t="s">
        <v>7</v>
      </c>
      <c r="D1242" s="28" t="s">
        <v>940</v>
      </c>
      <c r="E1242" s="28" t="s">
        <v>783</v>
      </c>
      <c r="F1242" s="29" t="s">
        <v>970</v>
      </c>
      <c r="G1242" s="30"/>
      <c r="H1242" s="30"/>
      <c r="I1242" s="30" t="e">
        <f t="shared" si="43"/>
        <v>#DIV/0!</v>
      </c>
    </row>
    <row r="1243" spans="1:9" ht="71.25">
      <c r="A1243" s="26" t="s">
        <v>771</v>
      </c>
      <c r="B1243" s="36"/>
      <c r="C1243" s="28" t="s">
        <v>7</v>
      </c>
      <c r="D1243" s="28" t="s">
        <v>940</v>
      </c>
      <c r="E1243" s="28" t="s">
        <v>784</v>
      </c>
      <c r="F1243" s="29"/>
      <c r="G1243" s="30">
        <f>SUM(G1244)</f>
        <v>2284.8</v>
      </c>
      <c r="H1243" s="30">
        <f>SUM(H1244)</f>
        <v>1305.1</v>
      </c>
      <c r="I1243" s="30">
        <f t="shared" si="43"/>
        <v>57.12097338935573</v>
      </c>
    </row>
    <row r="1244" spans="1:9" ht="15" customHeight="1">
      <c r="A1244" s="26" t="s">
        <v>969</v>
      </c>
      <c r="B1244" s="36"/>
      <c r="C1244" s="28" t="s">
        <v>7</v>
      </c>
      <c r="D1244" s="28" t="s">
        <v>940</v>
      </c>
      <c r="E1244" s="28" t="s">
        <v>784</v>
      </c>
      <c r="F1244" s="29" t="s">
        <v>970</v>
      </c>
      <c r="G1244" s="30">
        <v>2284.8</v>
      </c>
      <c r="H1244" s="30">
        <v>1305.1</v>
      </c>
      <c r="I1244" s="30">
        <f t="shared" si="43"/>
        <v>57.12097338935573</v>
      </c>
    </row>
    <row r="1245" spans="1:9" ht="28.5" customHeight="1" hidden="1">
      <c r="A1245" s="26" t="s">
        <v>785</v>
      </c>
      <c r="B1245" s="36"/>
      <c r="C1245" s="28" t="s">
        <v>7</v>
      </c>
      <c r="D1245" s="28" t="s">
        <v>940</v>
      </c>
      <c r="E1245" s="28" t="s">
        <v>786</v>
      </c>
      <c r="F1245" s="29"/>
      <c r="G1245" s="30">
        <f>SUM(G1248+G1246)</f>
        <v>0</v>
      </c>
      <c r="H1245" s="30">
        <f>SUM(H1248+H1246)</f>
        <v>0</v>
      </c>
      <c r="I1245" s="30" t="e">
        <f t="shared" si="43"/>
        <v>#DIV/0!</v>
      </c>
    </row>
    <row r="1246" spans="1:9" ht="24.75" customHeight="1" hidden="1">
      <c r="A1246" s="26" t="s">
        <v>969</v>
      </c>
      <c r="B1246" s="36"/>
      <c r="C1246" s="28" t="s">
        <v>7</v>
      </c>
      <c r="D1246" s="28" t="s">
        <v>940</v>
      </c>
      <c r="E1246" s="28" t="s">
        <v>786</v>
      </c>
      <c r="F1246" s="29" t="s">
        <v>970</v>
      </c>
      <c r="G1246" s="30"/>
      <c r="H1246" s="30"/>
      <c r="I1246" s="30" t="e">
        <f t="shared" si="43"/>
        <v>#DIV/0!</v>
      </c>
    </row>
    <row r="1247" spans="1:9" ht="42" customHeight="1" hidden="1">
      <c r="A1247" s="26" t="s">
        <v>774</v>
      </c>
      <c r="B1247" s="36"/>
      <c r="C1247" s="28" t="s">
        <v>7</v>
      </c>
      <c r="D1247" s="28" t="s">
        <v>940</v>
      </c>
      <c r="E1247" s="28" t="s">
        <v>775</v>
      </c>
      <c r="F1247" s="29"/>
      <c r="G1247" s="30">
        <f>SUM(G1248)</f>
        <v>0</v>
      </c>
      <c r="H1247" s="30">
        <f>SUM(H1248)</f>
        <v>0</v>
      </c>
      <c r="I1247" s="30" t="e">
        <f t="shared" si="43"/>
        <v>#DIV/0!</v>
      </c>
    </row>
    <row r="1248" spans="1:9" ht="15.75" hidden="1">
      <c r="A1248" s="26" t="s">
        <v>969</v>
      </c>
      <c r="B1248" s="36"/>
      <c r="C1248" s="28" t="s">
        <v>7</v>
      </c>
      <c r="D1248" s="28" t="s">
        <v>940</v>
      </c>
      <c r="E1248" s="28" t="s">
        <v>775</v>
      </c>
      <c r="F1248" s="29" t="s">
        <v>970</v>
      </c>
      <c r="G1248" s="30"/>
      <c r="H1248" s="30"/>
      <c r="I1248" s="30" t="e">
        <f t="shared" si="43"/>
        <v>#DIV/0!</v>
      </c>
    </row>
    <row r="1249" spans="1:9" ht="22.5" customHeight="1">
      <c r="A1249" s="31" t="s">
        <v>787</v>
      </c>
      <c r="B1249" s="84"/>
      <c r="C1249" s="67" t="s">
        <v>7</v>
      </c>
      <c r="D1249" s="67" t="s">
        <v>5</v>
      </c>
      <c r="E1249" s="67"/>
      <c r="F1249" s="34"/>
      <c r="G1249" s="30">
        <f>SUM(G1253+G1256+G1251)</f>
        <v>10283.3</v>
      </c>
      <c r="H1249" s="30">
        <f>SUM(H1253+H1256+H1251)</f>
        <v>7055.4</v>
      </c>
      <c r="I1249" s="30">
        <f t="shared" si="43"/>
        <v>68.61027102194821</v>
      </c>
    </row>
    <row r="1250" spans="1:9" ht="15.75" hidden="1">
      <c r="A1250" s="26" t="s">
        <v>94</v>
      </c>
      <c r="B1250" s="84"/>
      <c r="C1250" s="28" t="s">
        <v>7</v>
      </c>
      <c r="D1250" s="67" t="s">
        <v>5</v>
      </c>
      <c r="E1250" s="28" t="s">
        <v>95</v>
      </c>
      <c r="F1250" s="34"/>
      <c r="G1250" s="30">
        <f>SUM(G1251)</f>
        <v>0</v>
      </c>
      <c r="H1250" s="30">
        <f>SUM(H1251)</f>
        <v>900</v>
      </c>
      <c r="I1250" s="30" t="e">
        <f t="shared" si="43"/>
        <v>#DIV/0!</v>
      </c>
    </row>
    <row r="1251" spans="1:9" ht="15.75" hidden="1">
      <c r="A1251" s="26" t="s">
        <v>96</v>
      </c>
      <c r="B1251" s="84"/>
      <c r="C1251" s="28" t="s">
        <v>7</v>
      </c>
      <c r="D1251" s="67" t="s">
        <v>5</v>
      </c>
      <c r="E1251" s="28" t="s">
        <v>97</v>
      </c>
      <c r="F1251" s="34"/>
      <c r="G1251" s="30">
        <f>SUM(G1252)</f>
        <v>0</v>
      </c>
      <c r="H1251" s="30">
        <f>SUM(H1252)</f>
        <v>900</v>
      </c>
      <c r="I1251" s="30" t="e">
        <f t="shared" si="43"/>
        <v>#DIV/0!</v>
      </c>
    </row>
    <row r="1252" spans="1:9" ht="42.75" hidden="1">
      <c r="A1252" s="26" t="s">
        <v>788</v>
      </c>
      <c r="B1252" s="84"/>
      <c r="C1252" s="28" t="s">
        <v>7</v>
      </c>
      <c r="D1252" s="67" t="s">
        <v>5</v>
      </c>
      <c r="E1252" s="28" t="s">
        <v>97</v>
      </c>
      <c r="F1252" s="34" t="s">
        <v>789</v>
      </c>
      <c r="G1252" s="30"/>
      <c r="H1252" s="30">
        <v>900</v>
      </c>
      <c r="I1252" s="30" t="e">
        <f t="shared" si="43"/>
        <v>#DIV/0!</v>
      </c>
    </row>
    <row r="1253" spans="1:9" ht="71.25" customHeight="1">
      <c r="A1253" s="31" t="s">
        <v>736</v>
      </c>
      <c r="B1253" s="36"/>
      <c r="C1253" s="28" t="s">
        <v>7</v>
      </c>
      <c r="D1253" s="67" t="s">
        <v>5</v>
      </c>
      <c r="E1253" s="28" t="s">
        <v>737</v>
      </c>
      <c r="F1253" s="29"/>
      <c r="G1253" s="30">
        <f>SUM(G1254)</f>
        <v>5162.3</v>
      </c>
      <c r="H1253" s="30">
        <f>SUM(H1254)</f>
        <v>3733.8</v>
      </c>
      <c r="I1253" s="30">
        <f t="shared" si="43"/>
        <v>72.32822579082966</v>
      </c>
    </row>
    <row r="1254" spans="1:9" ht="28.5">
      <c r="A1254" s="26" t="s">
        <v>234</v>
      </c>
      <c r="B1254" s="36"/>
      <c r="C1254" s="28" t="s">
        <v>7</v>
      </c>
      <c r="D1254" s="67" t="s">
        <v>5</v>
      </c>
      <c r="E1254" s="28" t="s">
        <v>738</v>
      </c>
      <c r="F1254" s="29"/>
      <c r="G1254" s="30">
        <f>SUM(G1255)</f>
        <v>5162.3</v>
      </c>
      <c r="H1254" s="30">
        <f>SUM(H1255)</f>
        <v>3733.8</v>
      </c>
      <c r="I1254" s="30">
        <f t="shared" si="43"/>
        <v>72.32822579082966</v>
      </c>
    </row>
    <row r="1255" spans="1:9" ht="15.75">
      <c r="A1255" s="26" t="s">
        <v>969</v>
      </c>
      <c r="B1255" s="36"/>
      <c r="C1255" s="28" t="s">
        <v>7</v>
      </c>
      <c r="D1255" s="67" t="s">
        <v>5</v>
      </c>
      <c r="E1255" s="28" t="s">
        <v>738</v>
      </c>
      <c r="F1255" s="29" t="s">
        <v>970</v>
      </c>
      <c r="G1255" s="30">
        <f>5224.7-62.4</f>
        <v>5162.3</v>
      </c>
      <c r="H1255" s="30">
        <v>3733.8</v>
      </c>
      <c r="I1255" s="30">
        <f t="shared" si="43"/>
        <v>72.32822579082966</v>
      </c>
    </row>
    <row r="1256" spans="1:9" ht="15.75">
      <c r="A1256" s="26" t="s">
        <v>20</v>
      </c>
      <c r="B1256" s="84"/>
      <c r="C1256" s="67" t="s">
        <v>7</v>
      </c>
      <c r="D1256" s="67" t="s">
        <v>5</v>
      </c>
      <c r="E1256" s="67" t="s">
        <v>21</v>
      </c>
      <c r="F1256" s="34"/>
      <c r="G1256" s="30">
        <f>SUM(G1257)</f>
        <v>5121</v>
      </c>
      <c r="H1256" s="30">
        <f>SUM(H1257)</f>
        <v>2421.6</v>
      </c>
      <c r="I1256" s="30">
        <f t="shared" si="43"/>
        <v>47.28763913298184</v>
      </c>
    </row>
    <row r="1257" spans="1:9" ht="41.25" customHeight="1">
      <c r="A1257" s="26" t="s">
        <v>788</v>
      </c>
      <c r="B1257" s="84"/>
      <c r="C1257" s="67" t="s">
        <v>7</v>
      </c>
      <c r="D1257" s="67" t="s">
        <v>5</v>
      </c>
      <c r="E1257" s="67" t="s">
        <v>21</v>
      </c>
      <c r="F1257" s="34" t="s">
        <v>789</v>
      </c>
      <c r="G1257" s="30">
        <f>SUM(G1258:G1262)</f>
        <v>5121</v>
      </c>
      <c r="H1257" s="30">
        <f>SUM(H1258:H1262)</f>
        <v>2421.6</v>
      </c>
      <c r="I1257" s="30">
        <f t="shared" si="43"/>
        <v>47.28763913298184</v>
      </c>
    </row>
    <row r="1258" spans="1:9" ht="54" customHeight="1">
      <c r="A1258" s="46" t="s">
        <v>790</v>
      </c>
      <c r="B1258" s="84"/>
      <c r="C1258" s="67" t="s">
        <v>7</v>
      </c>
      <c r="D1258" s="67" t="s">
        <v>5</v>
      </c>
      <c r="E1258" s="67" t="s">
        <v>402</v>
      </c>
      <c r="F1258" s="34" t="s">
        <v>789</v>
      </c>
      <c r="G1258" s="30">
        <v>21</v>
      </c>
      <c r="H1258" s="30"/>
      <c r="I1258" s="30">
        <f t="shared" si="43"/>
        <v>0</v>
      </c>
    </row>
    <row r="1259" spans="1:9" ht="30" customHeight="1" hidden="1">
      <c r="A1259" s="44" t="s">
        <v>791</v>
      </c>
      <c r="B1259" s="84"/>
      <c r="C1259" s="67" t="s">
        <v>7</v>
      </c>
      <c r="D1259" s="67" t="s">
        <v>5</v>
      </c>
      <c r="E1259" s="67" t="s">
        <v>792</v>
      </c>
      <c r="F1259" s="34" t="s">
        <v>789</v>
      </c>
      <c r="G1259" s="50"/>
      <c r="H1259" s="50"/>
      <c r="I1259" s="30" t="e">
        <f t="shared" si="43"/>
        <v>#DIV/0!</v>
      </c>
    </row>
    <row r="1260" spans="1:9" ht="28.5" customHeight="1" hidden="1">
      <c r="A1260" s="44" t="s">
        <v>112</v>
      </c>
      <c r="B1260" s="84"/>
      <c r="C1260" s="67" t="s">
        <v>7</v>
      </c>
      <c r="D1260" s="67" t="s">
        <v>5</v>
      </c>
      <c r="E1260" s="67" t="s">
        <v>113</v>
      </c>
      <c r="F1260" s="34" t="s">
        <v>789</v>
      </c>
      <c r="G1260" s="50">
        <f>305-305</f>
        <v>0</v>
      </c>
      <c r="H1260" s="50"/>
      <c r="I1260" s="30"/>
    </row>
    <row r="1261" spans="1:9" ht="28.5">
      <c r="A1261" s="44" t="s">
        <v>793</v>
      </c>
      <c r="B1261" s="84"/>
      <c r="C1261" s="67" t="s">
        <v>7</v>
      </c>
      <c r="D1261" s="67" t="s">
        <v>5</v>
      </c>
      <c r="E1261" s="67" t="s">
        <v>794</v>
      </c>
      <c r="F1261" s="34" t="s">
        <v>789</v>
      </c>
      <c r="G1261" s="50">
        <v>2000</v>
      </c>
      <c r="H1261" s="50"/>
      <c r="I1261" s="30">
        <f t="shared" si="43"/>
        <v>0</v>
      </c>
    </row>
    <row r="1262" spans="1:9" ht="28.5">
      <c r="A1262" s="44" t="s">
        <v>795</v>
      </c>
      <c r="B1262" s="84"/>
      <c r="C1262" s="67" t="s">
        <v>7</v>
      </c>
      <c r="D1262" s="67" t="s">
        <v>5</v>
      </c>
      <c r="E1262" s="67" t="s">
        <v>796</v>
      </c>
      <c r="F1262" s="34" t="s">
        <v>789</v>
      </c>
      <c r="G1262" s="50">
        <v>3100</v>
      </c>
      <c r="H1262" s="50">
        <v>2421.6</v>
      </c>
      <c r="I1262" s="30">
        <f t="shared" si="43"/>
        <v>78.11612903225806</v>
      </c>
    </row>
    <row r="1263" spans="1:9" ht="15" customHeight="1">
      <c r="A1263" s="35" t="s">
        <v>797</v>
      </c>
      <c r="B1263" s="36" t="s">
        <v>798</v>
      </c>
      <c r="C1263" s="28"/>
      <c r="D1263" s="28"/>
      <c r="E1263" s="28"/>
      <c r="F1263" s="29"/>
      <c r="G1263" s="37">
        <f>SUM(G1264+G1272)</f>
        <v>423738.99999999994</v>
      </c>
      <c r="H1263" s="37">
        <f>SUM(H1264+H1272)</f>
        <v>135647</v>
      </c>
      <c r="I1263" s="38">
        <f t="shared" si="43"/>
        <v>32.011922433384704</v>
      </c>
    </row>
    <row r="1264" spans="1:9" ht="15.75" hidden="1">
      <c r="A1264" s="26" t="s">
        <v>962</v>
      </c>
      <c r="B1264" s="36"/>
      <c r="C1264" s="28" t="s">
        <v>963</v>
      </c>
      <c r="D1264" s="28"/>
      <c r="E1264" s="28"/>
      <c r="F1264" s="29"/>
      <c r="G1264" s="30">
        <f>SUM(G1265)+G1269</f>
        <v>0</v>
      </c>
      <c r="H1264" s="30">
        <f>SUM(H1265)+H1269</f>
        <v>0</v>
      </c>
      <c r="I1264" s="30" t="e">
        <f t="shared" si="43"/>
        <v>#DIV/0!</v>
      </c>
    </row>
    <row r="1265" spans="1:9" ht="15" hidden="1">
      <c r="A1265" s="26" t="s">
        <v>964</v>
      </c>
      <c r="B1265" s="32"/>
      <c r="C1265" s="28" t="s">
        <v>963</v>
      </c>
      <c r="D1265" s="28" t="s">
        <v>963</v>
      </c>
      <c r="E1265" s="28"/>
      <c r="F1265" s="29"/>
      <c r="G1265" s="30">
        <f aca="true" t="shared" si="44" ref="G1265:H1267">SUM(G1266)</f>
        <v>0</v>
      </c>
      <c r="H1265" s="30">
        <f t="shared" si="44"/>
        <v>0</v>
      </c>
      <c r="I1265" s="30" t="e">
        <f aca="true" t="shared" si="45" ref="I1265:I1328">SUM(H1265/G1265*100)</f>
        <v>#DIV/0!</v>
      </c>
    </row>
    <row r="1266" spans="1:9" ht="28.5" hidden="1">
      <c r="A1266" s="31" t="s">
        <v>965</v>
      </c>
      <c r="B1266" s="32"/>
      <c r="C1266" s="28" t="s">
        <v>963</v>
      </c>
      <c r="D1266" s="28" t="s">
        <v>963</v>
      </c>
      <c r="E1266" s="28" t="s">
        <v>966</v>
      </c>
      <c r="F1266" s="29"/>
      <c r="G1266" s="30">
        <f t="shared" si="44"/>
        <v>0</v>
      </c>
      <c r="H1266" s="30">
        <f t="shared" si="44"/>
        <v>0</v>
      </c>
      <c r="I1266" s="30" t="e">
        <f t="shared" si="45"/>
        <v>#DIV/0!</v>
      </c>
    </row>
    <row r="1267" spans="1:9" ht="15" hidden="1">
      <c r="A1267" s="31" t="s">
        <v>967</v>
      </c>
      <c r="B1267" s="32"/>
      <c r="C1267" s="28" t="s">
        <v>963</v>
      </c>
      <c r="D1267" s="28" t="s">
        <v>963</v>
      </c>
      <c r="E1267" s="28" t="s">
        <v>968</v>
      </c>
      <c r="F1267" s="29"/>
      <c r="G1267" s="30">
        <f t="shared" si="44"/>
        <v>0</v>
      </c>
      <c r="H1267" s="30">
        <f t="shared" si="44"/>
        <v>0</v>
      </c>
      <c r="I1267" s="30" t="e">
        <f t="shared" si="45"/>
        <v>#DIV/0!</v>
      </c>
    </row>
    <row r="1268" spans="1:9" ht="14.25" customHeight="1" hidden="1">
      <c r="A1268" s="26" t="s">
        <v>969</v>
      </c>
      <c r="B1268" s="32"/>
      <c r="C1268" s="28" t="s">
        <v>963</v>
      </c>
      <c r="D1268" s="28" t="s">
        <v>963</v>
      </c>
      <c r="E1268" s="28" t="s">
        <v>968</v>
      </c>
      <c r="F1268" s="29" t="s">
        <v>970</v>
      </c>
      <c r="G1268" s="30"/>
      <c r="H1268" s="30"/>
      <c r="I1268" s="30" t="e">
        <f t="shared" si="45"/>
        <v>#DIV/0!</v>
      </c>
    </row>
    <row r="1269" spans="1:9" ht="18" customHeight="1" hidden="1">
      <c r="A1269" s="26" t="s">
        <v>369</v>
      </c>
      <c r="B1269" s="32"/>
      <c r="C1269" s="28" t="s">
        <v>963</v>
      </c>
      <c r="D1269" s="28" t="s">
        <v>25</v>
      </c>
      <c r="E1269" s="28"/>
      <c r="F1269" s="29"/>
      <c r="G1269" s="30">
        <f>SUM(G1270)</f>
        <v>0</v>
      </c>
      <c r="H1269" s="30">
        <f>SUM(H1270)</f>
        <v>0</v>
      </c>
      <c r="I1269" s="30" t="e">
        <f t="shared" si="45"/>
        <v>#DIV/0!</v>
      </c>
    </row>
    <row r="1270" spans="1:9" ht="13.5" customHeight="1" hidden="1">
      <c r="A1270" s="26" t="s">
        <v>20</v>
      </c>
      <c r="B1270" s="32"/>
      <c r="C1270" s="28" t="s">
        <v>963</v>
      </c>
      <c r="D1270" s="28" t="s">
        <v>25</v>
      </c>
      <c r="E1270" s="28" t="s">
        <v>21</v>
      </c>
      <c r="F1270" s="29"/>
      <c r="G1270" s="30">
        <f>SUM(G1271)</f>
        <v>0</v>
      </c>
      <c r="H1270" s="30">
        <f>SUM(H1271)</f>
        <v>0</v>
      </c>
      <c r="I1270" s="30" t="e">
        <f t="shared" si="45"/>
        <v>#DIV/0!</v>
      </c>
    </row>
    <row r="1271" spans="1:9" ht="13.5" customHeight="1" hidden="1">
      <c r="A1271" s="26" t="s">
        <v>799</v>
      </c>
      <c r="B1271" s="32"/>
      <c r="C1271" s="28" t="s">
        <v>963</v>
      </c>
      <c r="D1271" s="28" t="s">
        <v>25</v>
      </c>
      <c r="E1271" s="28" t="s">
        <v>21</v>
      </c>
      <c r="F1271" s="29" t="s">
        <v>800</v>
      </c>
      <c r="G1271" s="30"/>
      <c r="H1271" s="30"/>
      <c r="I1271" s="30" t="e">
        <f t="shared" si="45"/>
        <v>#DIV/0!</v>
      </c>
    </row>
    <row r="1272" spans="1:9" ht="15">
      <c r="A1272" s="26" t="s">
        <v>379</v>
      </c>
      <c r="B1272" s="27"/>
      <c r="C1272" s="28" t="s">
        <v>25</v>
      </c>
      <c r="D1272" s="28"/>
      <c r="E1272" s="28"/>
      <c r="F1272" s="29"/>
      <c r="G1272" s="30">
        <f>SUM(G1273+G1284+G1308+G1320+G1303)</f>
        <v>423738.99999999994</v>
      </c>
      <c r="H1272" s="30">
        <f>SUM(H1273+H1284+H1308+H1320+H1303)</f>
        <v>135647</v>
      </c>
      <c r="I1272" s="30">
        <f t="shared" si="45"/>
        <v>32.011922433384704</v>
      </c>
    </row>
    <row r="1273" spans="1:9" ht="13.5" customHeight="1">
      <c r="A1273" s="26" t="s">
        <v>380</v>
      </c>
      <c r="B1273" s="27"/>
      <c r="C1273" s="28" t="s">
        <v>25</v>
      </c>
      <c r="D1273" s="28" t="s">
        <v>940</v>
      </c>
      <c r="E1273" s="28"/>
      <c r="F1273" s="29"/>
      <c r="G1273" s="30">
        <f>SUM(G1274+G1277)</f>
        <v>74867.4</v>
      </c>
      <c r="H1273" s="30">
        <f>SUM(H1274+H1277)</f>
        <v>46235.5</v>
      </c>
      <c r="I1273" s="30">
        <f t="shared" si="45"/>
        <v>61.75651885867548</v>
      </c>
    </row>
    <row r="1274" spans="1:9" ht="17.25" customHeight="1">
      <c r="A1274" s="26" t="s">
        <v>94</v>
      </c>
      <c r="B1274" s="27"/>
      <c r="C1274" s="28" t="s">
        <v>25</v>
      </c>
      <c r="D1274" s="28" t="s">
        <v>940</v>
      </c>
      <c r="E1274" s="28" t="s">
        <v>95</v>
      </c>
      <c r="F1274" s="29"/>
      <c r="G1274" s="30">
        <f>SUM(G1275)</f>
        <v>3020</v>
      </c>
      <c r="H1274" s="30">
        <f>SUM(H1275)</f>
        <v>146.8</v>
      </c>
      <c r="I1274" s="30">
        <f t="shared" si="45"/>
        <v>4.860927152317881</v>
      </c>
    </row>
    <row r="1275" spans="1:9" ht="15.75" customHeight="1">
      <c r="A1275" s="26" t="s">
        <v>96</v>
      </c>
      <c r="B1275" s="27"/>
      <c r="C1275" s="28" t="s">
        <v>25</v>
      </c>
      <c r="D1275" s="28" t="s">
        <v>940</v>
      </c>
      <c r="E1275" s="28" t="s">
        <v>97</v>
      </c>
      <c r="F1275" s="29"/>
      <c r="G1275" s="30">
        <f>SUM(G1276)</f>
        <v>3020</v>
      </c>
      <c r="H1275" s="30">
        <f>SUM(H1276)</f>
        <v>146.8</v>
      </c>
      <c r="I1275" s="30">
        <f t="shared" si="45"/>
        <v>4.860927152317881</v>
      </c>
    </row>
    <row r="1276" spans="1:9" ht="17.25" customHeight="1">
      <c r="A1276" s="26" t="s">
        <v>969</v>
      </c>
      <c r="B1276" s="27"/>
      <c r="C1276" s="28" t="s">
        <v>25</v>
      </c>
      <c r="D1276" s="28" t="s">
        <v>940</v>
      </c>
      <c r="E1276" s="28" t="s">
        <v>97</v>
      </c>
      <c r="F1276" s="29" t="s">
        <v>970</v>
      </c>
      <c r="G1276" s="30">
        <f>3043-23</f>
        <v>3020</v>
      </c>
      <c r="H1276" s="30">
        <v>146.8</v>
      </c>
      <c r="I1276" s="30">
        <f t="shared" si="45"/>
        <v>4.860927152317881</v>
      </c>
    </row>
    <row r="1277" spans="1:9" ht="15">
      <c r="A1277" s="26" t="s">
        <v>385</v>
      </c>
      <c r="B1277" s="27"/>
      <c r="C1277" s="28" t="s">
        <v>25</v>
      </c>
      <c r="D1277" s="28" t="s">
        <v>940</v>
      </c>
      <c r="E1277" s="28" t="s">
        <v>382</v>
      </c>
      <c r="F1277" s="29"/>
      <c r="G1277" s="30">
        <f>SUM(G1278)</f>
        <v>71847.4</v>
      </c>
      <c r="H1277" s="30">
        <f>SUM(H1278)</f>
        <v>46088.7</v>
      </c>
      <c r="I1277" s="30">
        <f t="shared" si="45"/>
        <v>64.14804154360492</v>
      </c>
    </row>
    <row r="1278" spans="1:9" ht="28.5">
      <c r="A1278" s="26" t="s">
        <v>234</v>
      </c>
      <c r="B1278" s="27"/>
      <c r="C1278" s="28" t="s">
        <v>25</v>
      </c>
      <c r="D1278" s="28" t="s">
        <v>940</v>
      </c>
      <c r="E1278" s="28" t="s">
        <v>383</v>
      </c>
      <c r="F1278" s="29"/>
      <c r="G1278" s="30">
        <f>SUM(G1279:G1282)</f>
        <v>71847.4</v>
      </c>
      <c r="H1278" s="30">
        <f>SUM(H1279:H1282)</f>
        <v>46088.7</v>
      </c>
      <c r="I1278" s="30">
        <f t="shared" si="45"/>
        <v>64.14804154360492</v>
      </c>
    </row>
    <row r="1279" spans="1:9" ht="15">
      <c r="A1279" s="26" t="s">
        <v>969</v>
      </c>
      <c r="B1279" s="27"/>
      <c r="C1279" s="28" t="s">
        <v>403</v>
      </c>
      <c r="D1279" s="28" t="s">
        <v>940</v>
      </c>
      <c r="E1279" s="28" t="s">
        <v>383</v>
      </c>
      <c r="F1279" s="29" t="s">
        <v>970</v>
      </c>
      <c r="G1279" s="30">
        <f>71810.7+36.7</f>
        <v>71847.4</v>
      </c>
      <c r="H1279" s="30">
        <v>46088.7</v>
      </c>
      <c r="I1279" s="30">
        <f t="shared" si="45"/>
        <v>64.14804154360492</v>
      </c>
    </row>
    <row r="1280" spans="1:9" ht="57" hidden="1">
      <c r="A1280" s="26" t="s">
        <v>801</v>
      </c>
      <c r="B1280" s="27"/>
      <c r="C1280" s="28" t="s">
        <v>403</v>
      </c>
      <c r="D1280" s="28" t="s">
        <v>940</v>
      </c>
      <c r="E1280" s="28" t="s">
        <v>383</v>
      </c>
      <c r="F1280" s="29" t="s">
        <v>802</v>
      </c>
      <c r="G1280" s="30"/>
      <c r="H1280" s="30"/>
      <c r="I1280" s="30" t="e">
        <f t="shared" si="45"/>
        <v>#DIV/0!</v>
      </c>
    </row>
    <row r="1281" spans="1:9" ht="46.5" customHeight="1" hidden="1">
      <c r="A1281" s="26" t="s">
        <v>690</v>
      </c>
      <c r="B1281" s="27"/>
      <c r="C1281" s="28" t="s">
        <v>403</v>
      </c>
      <c r="D1281" s="28" t="s">
        <v>940</v>
      </c>
      <c r="E1281" s="28" t="s">
        <v>383</v>
      </c>
      <c r="F1281" s="29" t="s">
        <v>691</v>
      </c>
      <c r="G1281" s="30"/>
      <c r="H1281" s="30"/>
      <c r="I1281" s="30" t="e">
        <f t="shared" si="45"/>
        <v>#DIV/0!</v>
      </c>
    </row>
    <row r="1282" spans="1:9" ht="60.75" customHeight="1" hidden="1">
      <c r="A1282" s="26" t="s">
        <v>705</v>
      </c>
      <c r="B1282" s="27"/>
      <c r="C1282" s="28" t="s">
        <v>403</v>
      </c>
      <c r="D1282" s="28" t="s">
        <v>940</v>
      </c>
      <c r="E1282" s="28" t="s">
        <v>803</v>
      </c>
      <c r="F1282" s="29"/>
      <c r="G1282" s="30">
        <f>SUM(G1283)</f>
        <v>0</v>
      </c>
      <c r="H1282" s="30">
        <f>SUM(H1283)</f>
        <v>0</v>
      </c>
      <c r="I1282" s="30" t="e">
        <f t="shared" si="45"/>
        <v>#DIV/0!</v>
      </c>
    </row>
    <row r="1283" spans="1:9" ht="15" hidden="1">
      <c r="A1283" s="26" t="s">
        <v>969</v>
      </c>
      <c r="B1283" s="27"/>
      <c r="C1283" s="28" t="s">
        <v>403</v>
      </c>
      <c r="D1283" s="28" t="s">
        <v>940</v>
      </c>
      <c r="E1283" s="28" t="s">
        <v>803</v>
      </c>
      <c r="F1283" s="29" t="s">
        <v>970</v>
      </c>
      <c r="G1283" s="30"/>
      <c r="H1283" s="30"/>
      <c r="I1283" s="30" t="e">
        <f t="shared" si="45"/>
        <v>#DIV/0!</v>
      </c>
    </row>
    <row r="1284" spans="1:9" ht="15">
      <c r="A1284" s="26" t="s">
        <v>384</v>
      </c>
      <c r="B1284" s="27"/>
      <c r="C1284" s="28" t="s">
        <v>25</v>
      </c>
      <c r="D1284" s="28" t="s">
        <v>942</v>
      </c>
      <c r="E1284" s="28"/>
      <c r="F1284" s="29"/>
      <c r="G1284" s="30">
        <f>SUM(G1285+G1292+G1296+G1300)</f>
        <v>51038.399999999994</v>
      </c>
      <c r="H1284" s="30">
        <f>SUM(H1285+H1292+H1296+H1300)</f>
        <v>31424.600000000002</v>
      </c>
      <c r="I1284" s="30">
        <f t="shared" si="45"/>
        <v>61.57050377754789</v>
      </c>
    </row>
    <row r="1285" spans="1:9" ht="15">
      <c r="A1285" s="26" t="s">
        <v>385</v>
      </c>
      <c r="B1285" s="27"/>
      <c r="C1285" s="28" t="s">
        <v>25</v>
      </c>
      <c r="D1285" s="28" t="s">
        <v>942</v>
      </c>
      <c r="E1285" s="28" t="s">
        <v>382</v>
      </c>
      <c r="F1285" s="29"/>
      <c r="G1285" s="30">
        <f>SUM(G1286)</f>
        <v>38568.7</v>
      </c>
      <c r="H1285" s="30">
        <f>SUM(H1286)</f>
        <v>21799.8</v>
      </c>
      <c r="I1285" s="30">
        <f t="shared" si="45"/>
        <v>56.521998408035536</v>
      </c>
    </row>
    <row r="1286" spans="1:9" ht="28.5">
      <c r="A1286" s="26" t="s">
        <v>234</v>
      </c>
      <c r="B1286" s="27"/>
      <c r="C1286" s="28" t="s">
        <v>25</v>
      </c>
      <c r="D1286" s="28" t="s">
        <v>942</v>
      </c>
      <c r="E1286" s="28" t="s">
        <v>383</v>
      </c>
      <c r="F1286" s="29"/>
      <c r="G1286" s="30">
        <f>SUM(G1287:G1290)</f>
        <v>38568.7</v>
      </c>
      <c r="H1286" s="30">
        <f>SUM(H1287:H1290)</f>
        <v>21799.8</v>
      </c>
      <c r="I1286" s="30">
        <f t="shared" si="45"/>
        <v>56.521998408035536</v>
      </c>
    </row>
    <row r="1287" spans="1:9" ht="18" customHeight="1">
      <c r="A1287" s="26" t="s">
        <v>969</v>
      </c>
      <c r="B1287" s="27"/>
      <c r="C1287" s="28" t="s">
        <v>25</v>
      </c>
      <c r="D1287" s="28" t="s">
        <v>942</v>
      </c>
      <c r="E1287" s="28" t="s">
        <v>383</v>
      </c>
      <c r="F1287" s="29" t="s">
        <v>970</v>
      </c>
      <c r="G1287" s="30">
        <f>38591.5-72.8+50</f>
        <v>38568.7</v>
      </c>
      <c r="H1287" s="30">
        <v>21799.8</v>
      </c>
      <c r="I1287" s="30">
        <f t="shared" si="45"/>
        <v>56.521998408035536</v>
      </c>
    </row>
    <row r="1288" spans="1:9" ht="56.25" customHeight="1" hidden="1">
      <c r="A1288" s="26" t="s">
        <v>801</v>
      </c>
      <c r="B1288" s="27"/>
      <c r="C1288" s="28" t="s">
        <v>25</v>
      </c>
      <c r="D1288" s="28" t="s">
        <v>942</v>
      </c>
      <c r="E1288" s="28" t="s">
        <v>383</v>
      </c>
      <c r="F1288" s="29" t="s">
        <v>802</v>
      </c>
      <c r="G1288" s="30"/>
      <c r="H1288" s="30"/>
      <c r="I1288" s="30" t="e">
        <f t="shared" si="45"/>
        <v>#DIV/0!</v>
      </c>
    </row>
    <row r="1289" spans="1:9" ht="18.75" customHeight="1" hidden="1">
      <c r="A1289" s="26" t="s">
        <v>690</v>
      </c>
      <c r="B1289" s="27"/>
      <c r="C1289" s="28" t="s">
        <v>25</v>
      </c>
      <c r="D1289" s="28" t="s">
        <v>942</v>
      </c>
      <c r="E1289" s="28" t="s">
        <v>383</v>
      </c>
      <c r="F1289" s="29" t="s">
        <v>691</v>
      </c>
      <c r="G1289" s="30"/>
      <c r="H1289" s="30"/>
      <c r="I1289" s="30" t="e">
        <f t="shared" si="45"/>
        <v>#DIV/0!</v>
      </c>
    </row>
    <row r="1290" spans="1:9" ht="57.75" customHeight="1" hidden="1">
      <c r="A1290" s="26" t="s">
        <v>705</v>
      </c>
      <c r="B1290" s="27"/>
      <c r="C1290" s="28" t="s">
        <v>25</v>
      </c>
      <c r="D1290" s="28" t="s">
        <v>942</v>
      </c>
      <c r="E1290" s="28" t="s">
        <v>803</v>
      </c>
      <c r="F1290" s="29"/>
      <c r="G1290" s="30">
        <f>SUM(G1291)</f>
        <v>0</v>
      </c>
      <c r="H1290" s="30">
        <f>SUM(H1291)</f>
        <v>0</v>
      </c>
      <c r="I1290" s="30" t="e">
        <f t="shared" si="45"/>
        <v>#DIV/0!</v>
      </c>
    </row>
    <row r="1291" spans="1:9" ht="15" hidden="1">
      <c r="A1291" s="26" t="s">
        <v>969</v>
      </c>
      <c r="B1291" s="27"/>
      <c r="C1291" s="28" t="s">
        <v>25</v>
      </c>
      <c r="D1291" s="28" t="s">
        <v>942</v>
      </c>
      <c r="E1291" s="28" t="s">
        <v>803</v>
      </c>
      <c r="F1291" s="29" t="s">
        <v>970</v>
      </c>
      <c r="G1291" s="30"/>
      <c r="H1291" s="30"/>
      <c r="I1291" s="30" t="e">
        <f t="shared" si="45"/>
        <v>#DIV/0!</v>
      </c>
    </row>
    <row r="1292" spans="1:9" ht="22.5" customHeight="1">
      <c r="A1292" s="26" t="s">
        <v>804</v>
      </c>
      <c r="B1292" s="27"/>
      <c r="C1292" s="28" t="s">
        <v>25</v>
      </c>
      <c r="D1292" s="28" t="s">
        <v>942</v>
      </c>
      <c r="E1292" s="28" t="s">
        <v>805</v>
      </c>
      <c r="F1292" s="29"/>
      <c r="G1292" s="30">
        <f>SUM(G1293)</f>
        <v>9400.800000000001</v>
      </c>
      <c r="H1292" s="30">
        <f>SUM(H1293)</f>
        <v>7467.6</v>
      </c>
      <c r="I1292" s="30">
        <f t="shared" si="45"/>
        <v>79.43579269849373</v>
      </c>
    </row>
    <row r="1293" spans="1:9" ht="28.5">
      <c r="A1293" s="26" t="s">
        <v>234</v>
      </c>
      <c r="B1293" s="27"/>
      <c r="C1293" s="28" t="s">
        <v>25</v>
      </c>
      <c r="D1293" s="28" t="s">
        <v>942</v>
      </c>
      <c r="E1293" s="28" t="s">
        <v>806</v>
      </c>
      <c r="F1293" s="29"/>
      <c r="G1293" s="30">
        <f>SUM(G1294:G1295)</f>
        <v>9400.800000000001</v>
      </c>
      <c r="H1293" s="30">
        <f>SUM(H1294:H1295)</f>
        <v>7467.6</v>
      </c>
      <c r="I1293" s="30">
        <f t="shared" si="45"/>
        <v>79.43579269849373</v>
      </c>
    </row>
    <row r="1294" spans="1:9" ht="16.5" customHeight="1">
      <c r="A1294" s="26" t="s">
        <v>969</v>
      </c>
      <c r="B1294" s="27"/>
      <c r="C1294" s="28" t="s">
        <v>25</v>
      </c>
      <c r="D1294" s="28" t="s">
        <v>942</v>
      </c>
      <c r="E1294" s="28" t="s">
        <v>806</v>
      </c>
      <c r="F1294" s="29" t="s">
        <v>970</v>
      </c>
      <c r="G1294" s="30">
        <f>9397.2+3.6</f>
        <v>9400.800000000001</v>
      </c>
      <c r="H1294" s="30">
        <v>7467.6</v>
      </c>
      <c r="I1294" s="30">
        <f t="shared" si="45"/>
        <v>79.43579269849373</v>
      </c>
    </row>
    <row r="1295" spans="1:9" ht="0.75" customHeight="1" hidden="1">
      <c r="A1295" s="26" t="s">
        <v>705</v>
      </c>
      <c r="B1295" s="27"/>
      <c r="C1295" s="28" t="s">
        <v>25</v>
      </c>
      <c r="D1295" s="28" t="s">
        <v>942</v>
      </c>
      <c r="E1295" s="28" t="s">
        <v>806</v>
      </c>
      <c r="F1295" s="29" t="s">
        <v>807</v>
      </c>
      <c r="G1295" s="30"/>
      <c r="H1295" s="30"/>
      <c r="I1295" s="30" t="e">
        <f t="shared" si="45"/>
        <v>#DIV/0!</v>
      </c>
    </row>
    <row r="1296" spans="1:9" ht="15">
      <c r="A1296" s="26" t="s">
        <v>808</v>
      </c>
      <c r="B1296" s="27"/>
      <c r="C1296" s="28" t="s">
        <v>25</v>
      </c>
      <c r="D1296" s="28" t="s">
        <v>942</v>
      </c>
      <c r="E1296" s="28" t="s">
        <v>809</v>
      </c>
      <c r="F1296" s="29"/>
      <c r="G1296" s="30">
        <f>SUM(G1297)</f>
        <v>2486.7</v>
      </c>
      <c r="H1296" s="30">
        <f>SUM(H1297)</f>
        <v>1817.2</v>
      </c>
      <c r="I1296" s="30">
        <f t="shared" si="45"/>
        <v>73.07676840793019</v>
      </c>
    </row>
    <row r="1297" spans="1:9" ht="28.5">
      <c r="A1297" s="26" t="s">
        <v>234</v>
      </c>
      <c r="B1297" s="27"/>
      <c r="C1297" s="28" t="s">
        <v>25</v>
      </c>
      <c r="D1297" s="28" t="s">
        <v>942</v>
      </c>
      <c r="E1297" s="28" t="s">
        <v>810</v>
      </c>
      <c r="F1297" s="29"/>
      <c r="G1297" s="30">
        <f>SUM(G1298:G1299)</f>
        <v>2486.7</v>
      </c>
      <c r="H1297" s="30">
        <f>SUM(H1298:H1299)</f>
        <v>1817.2</v>
      </c>
      <c r="I1297" s="30">
        <f t="shared" si="45"/>
        <v>73.07676840793019</v>
      </c>
    </row>
    <row r="1298" spans="1:9" ht="14.25" customHeight="1">
      <c r="A1298" s="26" t="s">
        <v>969</v>
      </c>
      <c r="B1298" s="27"/>
      <c r="C1298" s="28" t="s">
        <v>25</v>
      </c>
      <c r="D1298" s="28" t="s">
        <v>942</v>
      </c>
      <c r="E1298" s="28" t="s">
        <v>810</v>
      </c>
      <c r="F1298" s="29" t="s">
        <v>970</v>
      </c>
      <c r="G1298" s="30">
        <f>2722.2-235.5</f>
        <v>2486.7</v>
      </c>
      <c r="H1298" s="30">
        <v>1817.2</v>
      </c>
      <c r="I1298" s="30">
        <f t="shared" si="45"/>
        <v>73.07676840793019</v>
      </c>
    </row>
    <row r="1299" spans="1:9" ht="58.5" customHeight="1" hidden="1">
      <c r="A1299" s="26" t="s">
        <v>705</v>
      </c>
      <c r="B1299" s="27"/>
      <c r="C1299" s="28" t="s">
        <v>25</v>
      </c>
      <c r="D1299" s="28" t="s">
        <v>942</v>
      </c>
      <c r="E1299" s="28" t="s">
        <v>810</v>
      </c>
      <c r="F1299" s="29" t="s">
        <v>807</v>
      </c>
      <c r="G1299" s="30"/>
      <c r="H1299" s="30"/>
      <c r="I1299" s="30" t="e">
        <f t="shared" si="45"/>
        <v>#DIV/0!</v>
      </c>
    </row>
    <row r="1300" spans="1:9" ht="28.5">
      <c r="A1300" s="46" t="s">
        <v>667</v>
      </c>
      <c r="B1300" s="27"/>
      <c r="C1300" s="28" t="s">
        <v>25</v>
      </c>
      <c r="D1300" s="28" t="s">
        <v>942</v>
      </c>
      <c r="E1300" s="28" t="s">
        <v>668</v>
      </c>
      <c r="F1300" s="29"/>
      <c r="G1300" s="30">
        <f>SUM(G1301)</f>
        <v>582.2</v>
      </c>
      <c r="H1300" s="30">
        <f>SUM(H1301)</f>
        <v>340</v>
      </c>
      <c r="I1300" s="30">
        <f t="shared" si="45"/>
        <v>58.399175541051186</v>
      </c>
    </row>
    <row r="1301" spans="1:9" ht="57">
      <c r="A1301" s="31" t="s">
        <v>811</v>
      </c>
      <c r="B1301" s="27"/>
      <c r="C1301" s="28" t="s">
        <v>25</v>
      </c>
      <c r="D1301" s="28" t="s">
        <v>942</v>
      </c>
      <c r="E1301" s="28" t="s">
        <v>812</v>
      </c>
      <c r="F1301" s="29"/>
      <c r="G1301" s="30">
        <f>SUM(G1302)</f>
        <v>582.2</v>
      </c>
      <c r="H1301" s="30">
        <f>SUM(H1302)</f>
        <v>340</v>
      </c>
      <c r="I1301" s="30">
        <f t="shared" si="45"/>
        <v>58.399175541051186</v>
      </c>
    </row>
    <row r="1302" spans="1:9" ht="15">
      <c r="A1302" s="26" t="s">
        <v>969</v>
      </c>
      <c r="B1302" s="27"/>
      <c r="C1302" s="28" t="s">
        <v>25</v>
      </c>
      <c r="D1302" s="28" t="s">
        <v>942</v>
      </c>
      <c r="E1302" s="28" t="s">
        <v>812</v>
      </c>
      <c r="F1302" s="29" t="s">
        <v>970</v>
      </c>
      <c r="G1302" s="30">
        <v>582.2</v>
      </c>
      <c r="H1302" s="30">
        <v>340</v>
      </c>
      <c r="I1302" s="30">
        <f t="shared" si="45"/>
        <v>58.399175541051186</v>
      </c>
    </row>
    <row r="1303" spans="1:9" ht="28.5">
      <c r="A1303" s="97" t="s">
        <v>813</v>
      </c>
      <c r="B1303" s="45"/>
      <c r="C1303" s="28" t="s">
        <v>25</v>
      </c>
      <c r="D1303" s="28" t="s">
        <v>950</v>
      </c>
      <c r="E1303" s="28"/>
      <c r="F1303" s="29"/>
      <c r="G1303" s="30">
        <f>SUM(G1304)</f>
        <v>3550.2999999999997</v>
      </c>
      <c r="H1303" s="30">
        <f>SUM(H1304)</f>
        <v>9494.7</v>
      </c>
      <c r="I1303" s="30">
        <f t="shared" si="45"/>
        <v>267.4337379939724</v>
      </c>
    </row>
    <row r="1304" spans="1:9" ht="28.5">
      <c r="A1304" s="97" t="s">
        <v>814</v>
      </c>
      <c r="B1304" s="45"/>
      <c r="C1304" s="28" t="s">
        <v>25</v>
      </c>
      <c r="D1304" s="28" t="s">
        <v>950</v>
      </c>
      <c r="E1304" s="28" t="s">
        <v>382</v>
      </c>
      <c r="F1304" s="29"/>
      <c r="G1304" s="30">
        <f>SUM(G1305)</f>
        <v>3550.2999999999997</v>
      </c>
      <c r="H1304" s="30">
        <f>SUM(H1305)</f>
        <v>9494.7</v>
      </c>
      <c r="I1304" s="30">
        <f t="shared" si="45"/>
        <v>267.4337379939724</v>
      </c>
    </row>
    <row r="1305" spans="1:9" ht="28.5">
      <c r="A1305" s="31" t="s">
        <v>234</v>
      </c>
      <c r="B1305" s="45"/>
      <c r="C1305" s="28" t="s">
        <v>25</v>
      </c>
      <c r="D1305" s="28" t="s">
        <v>950</v>
      </c>
      <c r="E1305" s="28" t="s">
        <v>383</v>
      </c>
      <c r="F1305" s="29"/>
      <c r="G1305" s="30">
        <f>SUM(G1306:G1307)</f>
        <v>3550.2999999999997</v>
      </c>
      <c r="H1305" s="30">
        <f>SUM(H1306:H1307)</f>
        <v>9494.7</v>
      </c>
      <c r="I1305" s="30">
        <f t="shared" si="45"/>
        <v>267.4337379939724</v>
      </c>
    </row>
    <row r="1306" spans="1:9" ht="15">
      <c r="A1306" s="31" t="s">
        <v>969</v>
      </c>
      <c r="B1306" s="45"/>
      <c r="C1306" s="28" t="s">
        <v>25</v>
      </c>
      <c r="D1306" s="28" t="s">
        <v>950</v>
      </c>
      <c r="E1306" s="28" t="s">
        <v>383</v>
      </c>
      <c r="F1306" s="29" t="s">
        <v>970</v>
      </c>
      <c r="G1306" s="30">
        <f>3559.1-8.8</f>
        <v>3550.2999999999997</v>
      </c>
      <c r="H1306" s="30">
        <v>9494.7</v>
      </c>
      <c r="I1306" s="30">
        <f t="shared" si="45"/>
        <v>267.4337379939724</v>
      </c>
    </row>
    <row r="1307" spans="1:9" ht="58.5" customHeight="1" hidden="1">
      <c r="A1307" s="26" t="s">
        <v>705</v>
      </c>
      <c r="B1307" s="27"/>
      <c r="C1307" s="28" t="s">
        <v>25</v>
      </c>
      <c r="D1307" s="28" t="s">
        <v>950</v>
      </c>
      <c r="E1307" s="28" t="s">
        <v>806</v>
      </c>
      <c r="F1307" s="29" t="s">
        <v>807</v>
      </c>
      <c r="G1307" s="30"/>
      <c r="H1307" s="30"/>
      <c r="I1307" s="30" t="e">
        <f t="shared" si="45"/>
        <v>#DIV/0!</v>
      </c>
    </row>
    <row r="1308" spans="1:9" ht="15">
      <c r="A1308" s="26" t="s">
        <v>386</v>
      </c>
      <c r="B1308" s="27"/>
      <c r="C1308" s="28" t="s">
        <v>25</v>
      </c>
      <c r="D1308" s="28" t="s">
        <v>5</v>
      </c>
      <c r="E1308" s="28"/>
      <c r="F1308" s="29"/>
      <c r="G1308" s="30">
        <f>SUM(G1311+G1315+G1309)</f>
        <v>67336.1</v>
      </c>
      <c r="H1308" s="30">
        <f>SUM(H1311+H1315+H1309)</f>
        <v>40136</v>
      </c>
      <c r="I1308" s="30">
        <f t="shared" si="45"/>
        <v>59.60547165636263</v>
      </c>
    </row>
    <row r="1309" spans="1:9" ht="15" hidden="1">
      <c r="A1309" s="26" t="s">
        <v>96</v>
      </c>
      <c r="B1309" s="27"/>
      <c r="C1309" s="28" t="s">
        <v>25</v>
      </c>
      <c r="D1309" s="28" t="s">
        <v>5</v>
      </c>
      <c r="E1309" s="28" t="s">
        <v>97</v>
      </c>
      <c r="F1309" s="29"/>
      <c r="G1309" s="30">
        <f>SUM(G1310)</f>
        <v>0</v>
      </c>
      <c r="H1309" s="30">
        <f>SUM(H1310)</f>
        <v>60</v>
      </c>
      <c r="I1309" s="30" t="e">
        <f t="shared" si="45"/>
        <v>#DIV/0!</v>
      </c>
    </row>
    <row r="1310" spans="1:9" ht="15" hidden="1">
      <c r="A1310" s="26" t="s">
        <v>969</v>
      </c>
      <c r="B1310" s="27"/>
      <c r="C1310" s="28" t="s">
        <v>25</v>
      </c>
      <c r="D1310" s="28" t="s">
        <v>5</v>
      </c>
      <c r="E1310" s="28" t="s">
        <v>97</v>
      </c>
      <c r="F1310" s="29" t="s">
        <v>970</v>
      </c>
      <c r="G1310" s="30"/>
      <c r="H1310" s="30">
        <v>60</v>
      </c>
      <c r="I1310" s="30" t="e">
        <f t="shared" si="45"/>
        <v>#DIV/0!</v>
      </c>
    </row>
    <row r="1311" spans="1:9" ht="15">
      <c r="A1311" s="26" t="s">
        <v>387</v>
      </c>
      <c r="B1311" s="27"/>
      <c r="C1311" s="28" t="s">
        <v>25</v>
      </c>
      <c r="D1311" s="28" t="s">
        <v>5</v>
      </c>
      <c r="E1311" s="28" t="s">
        <v>388</v>
      </c>
      <c r="F1311" s="29"/>
      <c r="G1311" s="30">
        <f>SUM(G1312)</f>
        <v>58436.4</v>
      </c>
      <c r="H1311" s="30">
        <f>SUM(H1312)</f>
        <v>34637.7</v>
      </c>
      <c r="I1311" s="30">
        <f t="shared" si="45"/>
        <v>59.27418526808632</v>
      </c>
    </row>
    <row r="1312" spans="1:9" ht="28.5">
      <c r="A1312" s="26" t="s">
        <v>234</v>
      </c>
      <c r="B1312" s="27"/>
      <c r="C1312" s="28" t="s">
        <v>25</v>
      </c>
      <c r="D1312" s="28" t="s">
        <v>5</v>
      </c>
      <c r="E1312" s="28" t="s">
        <v>389</v>
      </c>
      <c r="F1312" s="29"/>
      <c r="G1312" s="30">
        <f>SUM(G1313:G1314)</f>
        <v>58436.4</v>
      </c>
      <c r="H1312" s="30">
        <f>SUM(H1313:H1314)</f>
        <v>34637.7</v>
      </c>
      <c r="I1312" s="30">
        <f t="shared" si="45"/>
        <v>59.27418526808632</v>
      </c>
    </row>
    <row r="1313" spans="1:9" ht="14.25" customHeight="1">
      <c r="A1313" s="26" t="s">
        <v>969</v>
      </c>
      <c r="B1313" s="27"/>
      <c r="C1313" s="28" t="s">
        <v>25</v>
      </c>
      <c r="D1313" s="28" t="s">
        <v>5</v>
      </c>
      <c r="E1313" s="28" t="s">
        <v>389</v>
      </c>
      <c r="F1313" s="29" t="s">
        <v>970</v>
      </c>
      <c r="G1313" s="30">
        <f>58506.4-70</f>
        <v>58436.4</v>
      </c>
      <c r="H1313" s="30">
        <v>34637.7</v>
      </c>
      <c r="I1313" s="30">
        <f t="shared" si="45"/>
        <v>59.27418526808632</v>
      </c>
    </row>
    <row r="1314" spans="1:9" ht="62.25" customHeight="1" hidden="1">
      <c r="A1314" s="26" t="s">
        <v>705</v>
      </c>
      <c r="B1314" s="27"/>
      <c r="C1314" s="28" t="s">
        <v>25</v>
      </c>
      <c r="D1314" s="28" t="s">
        <v>5</v>
      </c>
      <c r="E1314" s="28" t="s">
        <v>389</v>
      </c>
      <c r="F1314" s="29" t="s">
        <v>807</v>
      </c>
      <c r="G1314" s="30"/>
      <c r="H1314" s="30"/>
      <c r="I1314" s="30" t="e">
        <f t="shared" si="45"/>
        <v>#DIV/0!</v>
      </c>
    </row>
    <row r="1315" spans="1:9" ht="28.5">
      <c r="A1315" s="46" t="s">
        <v>667</v>
      </c>
      <c r="B1315" s="27"/>
      <c r="C1315" s="28" t="s">
        <v>25</v>
      </c>
      <c r="D1315" s="28" t="s">
        <v>5</v>
      </c>
      <c r="E1315" s="28" t="s">
        <v>668</v>
      </c>
      <c r="F1315" s="29"/>
      <c r="G1315" s="30">
        <f>SUM(G1316)</f>
        <v>8899.7</v>
      </c>
      <c r="H1315" s="30">
        <f>SUM(H1316)</f>
        <v>5438.3</v>
      </c>
      <c r="I1315" s="30">
        <f t="shared" si="45"/>
        <v>61.10655415351079</v>
      </c>
    </row>
    <row r="1316" spans="1:9" ht="57">
      <c r="A1316" s="31" t="s">
        <v>811</v>
      </c>
      <c r="B1316" s="27"/>
      <c r="C1316" s="28" t="s">
        <v>25</v>
      </c>
      <c r="D1316" s="28" t="s">
        <v>5</v>
      </c>
      <c r="E1316" s="28" t="s">
        <v>812</v>
      </c>
      <c r="F1316" s="29"/>
      <c r="G1316" s="30">
        <f>SUM(G1317)</f>
        <v>8899.7</v>
      </c>
      <c r="H1316" s="30">
        <f>SUM(H1317)</f>
        <v>5438.3</v>
      </c>
      <c r="I1316" s="30">
        <f t="shared" si="45"/>
        <v>61.10655415351079</v>
      </c>
    </row>
    <row r="1317" spans="1:9" ht="15">
      <c r="A1317" s="26" t="s">
        <v>969</v>
      </c>
      <c r="B1317" s="27"/>
      <c r="C1317" s="28" t="s">
        <v>25</v>
      </c>
      <c r="D1317" s="28" t="s">
        <v>5</v>
      </c>
      <c r="E1317" s="28" t="s">
        <v>812</v>
      </c>
      <c r="F1317" s="29" t="s">
        <v>970</v>
      </c>
      <c r="G1317" s="30">
        <v>8899.7</v>
      </c>
      <c r="H1317" s="30">
        <v>5438.3</v>
      </c>
      <c r="I1317" s="30">
        <f t="shared" si="45"/>
        <v>61.10655415351079</v>
      </c>
    </row>
    <row r="1318" spans="1:9" ht="15" hidden="1">
      <c r="A1318" s="31" t="s">
        <v>67</v>
      </c>
      <c r="B1318" s="27"/>
      <c r="C1318" s="28" t="s">
        <v>25</v>
      </c>
      <c r="D1318" s="28" t="s">
        <v>940</v>
      </c>
      <c r="E1318" s="28" t="s">
        <v>815</v>
      </c>
      <c r="F1318" s="29"/>
      <c r="G1318" s="30">
        <f>SUM(G1319)</f>
        <v>0</v>
      </c>
      <c r="H1318" s="30">
        <f>SUM(H1319)</f>
        <v>0</v>
      </c>
      <c r="I1318" s="30" t="e">
        <f t="shared" si="45"/>
        <v>#DIV/0!</v>
      </c>
    </row>
    <row r="1319" spans="1:9" ht="28.5" hidden="1">
      <c r="A1319" s="26" t="s">
        <v>393</v>
      </c>
      <c r="B1319" s="27"/>
      <c r="C1319" s="28" t="s">
        <v>25</v>
      </c>
      <c r="D1319" s="28" t="s">
        <v>940</v>
      </c>
      <c r="E1319" s="28" t="s">
        <v>815</v>
      </c>
      <c r="F1319" s="29" t="s">
        <v>816</v>
      </c>
      <c r="G1319" s="30"/>
      <c r="H1319" s="30"/>
      <c r="I1319" s="30" t="e">
        <f t="shared" si="45"/>
        <v>#DIV/0!</v>
      </c>
    </row>
    <row r="1320" spans="1:9" ht="15">
      <c r="A1320" s="60" t="s">
        <v>398</v>
      </c>
      <c r="B1320" s="27"/>
      <c r="C1320" s="28" t="s">
        <v>25</v>
      </c>
      <c r="D1320" s="28" t="s">
        <v>25</v>
      </c>
      <c r="E1320" s="28"/>
      <c r="F1320" s="29"/>
      <c r="G1320" s="30">
        <f>SUM(G1323+G1327+G1332+G1333)+G1321</f>
        <v>226946.8</v>
      </c>
      <c r="H1320" s="30">
        <f>SUM(H1323+H1327+H1332+H1333)</f>
        <v>8356.2</v>
      </c>
      <c r="I1320" s="30">
        <f t="shared" si="45"/>
        <v>3.682008294454912</v>
      </c>
    </row>
    <row r="1321" spans="1:9" ht="57">
      <c r="A1321" s="60" t="s">
        <v>817</v>
      </c>
      <c r="B1321" s="27"/>
      <c r="C1321" s="28" t="s">
        <v>25</v>
      </c>
      <c r="D1321" s="28" t="s">
        <v>25</v>
      </c>
      <c r="E1321" s="28" t="s">
        <v>818</v>
      </c>
      <c r="F1321" s="29"/>
      <c r="G1321" s="30">
        <f>SUM(G1322)</f>
        <v>191475</v>
      </c>
      <c r="H1321" s="30"/>
      <c r="I1321" s="30"/>
    </row>
    <row r="1322" spans="1:9" ht="15">
      <c r="A1322" s="60" t="s">
        <v>819</v>
      </c>
      <c r="B1322" s="27"/>
      <c r="C1322" s="28" t="s">
        <v>25</v>
      </c>
      <c r="D1322" s="28" t="s">
        <v>25</v>
      </c>
      <c r="E1322" s="28" t="s">
        <v>818</v>
      </c>
      <c r="F1322" s="29" t="s">
        <v>820</v>
      </c>
      <c r="G1322" s="30">
        <v>191475</v>
      </c>
      <c r="H1322" s="30"/>
      <c r="I1322" s="30"/>
    </row>
    <row r="1323" spans="1:9" ht="28.5">
      <c r="A1323" s="60" t="s">
        <v>821</v>
      </c>
      <c r="B1323" s="27"/>
      <c r="C1323" s="28" t="s">
        <v>25</v>
      </c>
      <c r="D1323" s="28" t="s">
        <v>25</v>
      </c>
      <c r="E1323" s="28" t="s">
        <v>822</v>
      </c>
      <c r="F1323" s="29"/>
      <c r="G1323" s="30">
        <f>SUM(G1324)</f>
        <v>11304.7</v>
      </c>
      <c r="H1323" s="30">
        <f>SUM(H1324)</f>
        <v>6864.8</v>
      </c>
      <c r="I1323" s="30">
        <f t="shared" si="45"/>
        <v>60.725185100002655</v>
      </c>
    </row>
    <row r="1324" spans="1:9" ht="28.5">
      <c r="A1324" s="26" t="s">
        <v>234</v>
      </c>
      <c r="B1324" s="27"/>
      <c r="C1324" s="28" t="s">
        <v>25</v>
      </c>
      <c r="D1324" s="28" t="s">
        <v>25</v>
      </c>
      <c r="E1324" s="28" t="s">
        <v>823</v>
      </c>
      <c r="F1324" s="29"/>
      <c r="G1324" s="30">
        <f>SUM(G1325:G1326)</f>
        <v>11304.7</v>
      </c>
      <c r="H1324" s="30">
        <f>SUM(H1325:H1326)</f>
        <v>6864.8</v>
      </c>
      <c r="I1324" s="30">
        <f t="shared" si="45"/>
        <v>60.725185100002655</v>
      </c>
    </row>
    <row r="1325" spans="1:9" ht="16.5" customHeight="1">
      <c r="A1325" s="26" t="s">
        <v>969</v>
      </c>
      <c r="B1325" s="27"/>
      <c r="C1325" s="28" t="s">
        <v>25</v>
      </c>
      <c r="D1325" s="28" t="s">
        <v>25</v>
      </c>
      <c r="E1325" s="28" t="s">
        <v>823</v>
      </c>
      <c r="F1325" s="29" t="s">
        <v>970</v>
      </c>
      <c r="G1325" s="30">
        <f>11290.2+14.5</f>
        <v>11304.7</v>
      </c>
      <c r="H1325" s="30">
        <v>6864.8</v>
      </c>
      <c r="I1325" s="30">
        <f t="shared" si="45"/>
        <v>60.725185100002655</v>
      </c>
    </row>
    <row r="1326" spans="1:9" ht="71.25" hidden="1">
      <c r="A1326" s="26" t="s">
        <v>705</v>
      </c>
      <c r="B1326" s="27"/>
      <c r="C1326" s="28" t="s">
        <v>25</v>
      </c>
      <c r="D1326" s="28" t="s">
        <v>25</v>
      </c>
      <c r="E1326" s="28" t="s">
        <v>823</v>
      </c>
      <c r="F1326" s="29" t="s">
        <v>807</v>
      </c>
      <c r="G1326" s="30"/>
      <c r="H1326" s="30"/>
      <c r="I1326" s="30" t="e">
        <f t="shared" si="45"/>
        <v>#DIV/0!</v>
      </c>
    </row>
    <row r="1327" spans="1:9" ht="15" hidden="1">
      <c r="A1327" s="26" t="s">
        <v>67</v>
      </c>
      <c r="B1327" s="27"/>
      <c r="C1327" s="28" t="s">
        <v>25</v>
      </c>
      <c r="D1327" s="28" t="s">
        <v>25</v>
      </c>
      <c r="E1327" s="28" t="s">
        <v>68</v>
      </c>
      <c r="F1327" s="29"/>
      <c r="G1327" s="30">
        <f>SUM(G1328+G1330)</f>
        <v>0</v>
      </c>
      <c r="H1327" s="30">
        <f>SUM(H1328+H1330)</f>
        <v>0</v>
      </c>
      <c r="I1327" s="30" t="e">
        <f t="shared" si="45"/>
        <v>#DIV/0!</v>
      </c>
    </row>
    <row r="1328" spans="1:9" ht="42.75" hidden="1">
      <c r="A1328" s="26" t="s">
        <v>748</v>
      </c>
      <c r="B1328" s="36"/>
      <c r="C1328" s="28" t="s">
        <v>25</v>
      </c>
      <c r="D1328" s="28" t="s">
        <v>25</v>
      </c>
      <c r="E1328" s="28" t="s">
        <v>749</v>
      </c>
      <c r="F1328" s="29"/>
      <c r="G1328" s="30">
        <f>SUM(G1329)</f>
        <v>0</v>
      </c>
      <c r="H1328" s="30">
        <f>SUM(H1329)</f>
        <v>0</v>
      </c>
      <c r="I1328" s="30" t="e">
        <f t="shared" si="45"/>
        <v>#DIV/0!</v>
      </c>
    </row>
    <row r="1329" spans="1:9" ht="28.5" hidden="1">
      <c r="A1329" s="26" t="s">
        <v>393</v>
      </c>
      <c r="B1329" s="36"/>
      <c r="C1329" s="28" t="s">
        <v>25</v>
      </c>
      <c r="D1329" s="28" t="s">
        <v>25</v>
      </c>
      <c r="E1329" s="28" t="s">
        <v>749</v>
      </c>
      <c r="F1329" s="29" t="s">
        <v>395</v>
      </c>
      <c r="G1329" s="30"/>
      <c r="H1329" s="30"/>
      <c r="I1329" s="30" t="e">
        <f aca="true" t="shared" si="46" ref="I1329:I1344">SUM(H1329/G1329*100)</f>
        <v>#DIV/0!</v>
      </c>
    </row>
    <row r="1330" spans="1:9" ht="42.75" hidden="1">
      <c r="A1330" s="26" t="s">
        <v>824</v>
      </c>
      <c r="B1330" s="27"/>
      <c r="C1330" s="28" t="s">
        <v>25</v>
      </c>
      <c r="D1330" s="28" t="s">
        <v>25</v>
      </c>
      <c r="E1330" s="28" t="s">
        <v>825</v>
      </c>
      <c r="F1330" s="29"/>
      <c r="G1330" s="30">
        <f>SUM(G1331)</f>
        <v>0</v>
      </c>
      <c r="H1330" s="30">
        <f>SUM(H1331)</f>
        <v>0</v>
      </c>
      <c r="I1330" s="30" t="e">
        <f t="shared" si="46"/>
        <v>#DIV/0!</v>
      </c>
    </row>
    <row r="1331" spans="1:9" ht="28.5" hidden="1">
      <c r="A1331" s="26" t="s">
        <v>393</v>
      </c>
      <c r="B1331" s="27"/>
      <c r="C1331" s="28" t="s">
        <v>25</v>
      </c>
      <c r="D1331" s="28" t="s">
        <v>25</v>
      </c>
      <c r="E1331" s="28" t="s">
        <v>825</v>
      </c>
      <c r="F1331" s="29" t="s">
        <v>395</v>
      </c>
      <c r="G1331" s="30"/>
      <c r="H1331" s="30"/>
      <c r="I1331" s="30" t="e">
        <f t="shared" si="46"/>
        <v>#DIV/0!</v>
      </c>
    </row>
    <row r="1332" spans="1:9" ht="16.5" customHeight="1" hidden="1">
      <c r="A1332" s="26" t="s">
        <v>20</v>
      </c>
      <c r="B1332" s="27"/>
      <c r="C1332" s="28" t="s">
        <v>25</v>
      </c>
      <c r="D1332" s="28" t="s">
        <v>25</v>
      </c>
      <c r="E1332" s="28" t="s">
        <v>21</v>
      </c>
      <c r="F1332" s="29"/>
      <c r="G1332" s="30"/>
      <c r="H1332" s="30">
        <f>SUM(H1335)</f>
        <v>0</v>
      </c>
      <c r="I1332" s="30" t="e">
        <f t="shared" si="46"/>
        <v>#DIV/0!</v>
      </c>
    </row>
    <row r="1333" spans="1:9" ht="15">
      <c r="A1333" s="26" t="s">
        <v>20</v>
      </c>
      <c r="B1333" s="27"/>
      <c r="C1333" s="28" t="s">
        <v>25</v>
      </c>
      <c r="D1333" s="28" t="s">
        <v>25</v>
      </c>
      <c r="E1333" s="28" t="s">
        <v>21</v>
      </c>
      <c r="F1333" s="29"/>
      <c r="G1333" s="30">
        <f>SUM(G1334)</f>
        <v>24167.1</v>
      </c>
      <c r="H1333" s="30">
        <f>SUM(H1334)</f>
        <v>1491.4</v>
      </c>
      <c r="I1333" s="30">
        <f t="shared" si="46"/>
        <v>6.171199688833166</v>
      </c>
    </row>
    <row r="1334" spans="1:9" ht="19.5" customHeight="1">
      <c r="A1334" s="26" t="s">
        <v>819</v>
      </c>
      <c r="B1334" s="27"/>
      <c r="C1334" s="28" t="s">
        <v>25</v>
      </c>
      <c r="D1334" s="28" t="s">
        <v>25</v>
      </c>
      <c r="E1334" s="28" t="s">
        <v>21</v>
      </c>
      <c r="F1334" s="29" t="s">
        <v>395</v>
      </c>
      <c r="G1334" s="30">
        <f>SUM(G1336:G1343)+G1335</f>
        <v>24167.1</v>
      </c>
      <c r="H1334" s="30">
        <f>SUM(H1336:H1343)</f>
        <v>1491.4</v>
      </c>
      <c r="I1334" s="30">
        <f t="shared" si="46"/>
        <v>6.171199688833166</v>
      </c>
    </row>
    <row r="1335" spans="1:9" ht="42.75">
      <c r="A1335" s="26" t="s">
        <v>826</v>
      </c>
      <c r="B1335" s="33"/>
      <c r="C1335" s="28" t="s">
        <v>25</v>
      </c>
      <c r="D1335" s="28" t="s">
        <v>25</v>
      </c>
      <c r="E1335" s="28" t="s">
        <v>827</v>
      </c>
      <c r="F1335" s="29" t="s">
        <v>395</v>
      </c>
      <c r="G1335" s="30">
        <f>12203.3+9434</f>
        <v>21637.3</v>
      </c>
      <c r="H1335" s="30"/>
      <c r="I1335" s="30">
        <f t="shared" si="46"/>
        <v>0</v>
      </c>
    </row>
    <row r="1336" spans="1:9" ht="27.75" customHeight="1" hidden="1">
      <c r="A1336" s="26" t="s">
        <v>399</v>
      </c>
      <c r="B1336" s="33"/>
      <c r="C1336" s="28" t="s">
        <v>25</v>
      </c>
      <c r="D1336" s="28" t="s">
        <v>25</v>
      </c>
      <c r="E1336" s="28" t="s">
        <v>400</v>
      </c>
      <c r="F1336" s="29" t="s">
        <v>395</v>
      </c>
      <c r="G1336" s="50"/>
      <c r="H1336" s="50"/>
      <c r="I1336" s="30" t="e">
        <f t="shared" si="46"/>
        <v>#DIV/0!</v>
      </c>
    </row>
    <row r="1337" spans="1:9" ht="59.25" customHeight="1" hidden="1">
      <c r="A1337" s="26" t="s">
        <v>112</v>
      </c>
      <c r="B1337" s="33"/>
      <c r="C1337" s="28" t="s">
        <v>25</v>
      </c>
      <c r="D1337" s="28" t="s">
        <v>25</v>
      </c>
      <c r="E1337" s="28" t="s">
        <v>113</v>
      </c>
      <c r="F1337" s="29" t="s">
        <v>395</v>
      </c>
      <c r="G1337" s="50"/>
      <c r="H1337" s="50"/>
      <c r="I1337" s="30"/>
    </row>
    <row r="1338" spans="1:9" ht="42.75">
      <c r="A1338" s="44" t="s">
        <v>828</v>
      </c>
      <c r="B1338" s="70"/>
      <c r="C1338" s="67" t="s">
        <v>25</v>
      </c>
      <c r="D1338" s="28" t="s">
        <v>25</v>
      </c>
      <c r="E1338" s="67" t="s">
        <v>829</v>
      </c>
      <c r="F1338" s="34" t="s">
        <v>395</v>
      </c>
      <c r="G1338" s="50">
        <f>2200+14.3</f>
        <v>2214.3</v>
      </c>
      <c r="H1338" s="50">
        <v>1424.2</v>
      </c>
      <c r="I1338" s="30">
        <f t="shared" si="46"/>
        <v>64.31829472067922</v>
      </c>
    </row>
    <row r="1339" spans="1:9" ht="42.75">
      <c r="A1339" s="44" t="s">
        <v>830</v>
      </c>
      <c r="B1339" s="70"/>
      <c r="C1339" s="67" t="s">
        <v>25</v>
      </c>
      <c r="D1339" s="28" t="s">
        <v>25</v>
      </c>
      <c r="E1339" s="67" t="s">
        <v>831</v>
      </c>
      <c r="F1339" s="34" t="s">
        <v>395</v>
      </c>
      <c r="G1339" s="50">
        <f>300-0.5</f>
        <v>299.5</v>
      </c>
      <c r="H1339" s="50">
        <v>67.2</v>
      </c>
      <c r="I1339" s="30">
        <f t="shared" si="46"/>
        <v>22.437395659432386</v>
      </c>
    </row>
    <row r="1340" spans="1:9" ht="28.5" hidden="1">
      <c r="A1340" s="44" t="s">
        <v>832</v>
      </c>
      <c r="B1340" s="70"/>
      <c r="C1340" s="67" t="s">
        <v>25</v>
      </c>
      <c r="D1340" s="67" t="s">
        <v>972</v>
      </c>
      <c r="E1340" s="67" t="s">
        <v>833</v>
      </c>
      <c r="F1340" s="34" t="s">
        <v>395</v>
      </c>
      <c r="G1340" s="50"/>
      <c r="H1340" s="50"/>
      <c r="I1340" s="30" t="e">
        <f t="shared" si="46"/>
        <v>#DIV/0!</v>
      </c>
    </row>
    <row r="1341" spans="1:9" ht="0.75" customHeight="1" hidden="1">
      <c r="A1341" s="44" t="s">
        <v>834</v>
      </c>
      <c r="B1341" s="70"/>
      <c r="C1341" s="67" t="s">
        <v>25</v>
      </c>
      <c r="D1341" s="67" t="s">
        <v>972</v>
      </c>
      <c r="E1341" s="67" t="s">
        <v>835</v>
      </c>
      <c r="F1341" s="34" t="s">
        <v>395</v>
      </c>
      <c r="G1341" s="50"/>
      <c r="H1341" s="50"/>
      <c r="I1341" s="30" t="e">
        <f t="shared" si="46"/>
        <v>#DIV/0!</v>
      </c>
    </row>
    <row r="1342" spans="1:9" ht="57" customHeight="1">
      <c r="A1342" s="46" t="s">
        <v>790</v>
      </c>
      <c r="B1342" s="70"/>
      <c r="C1342" s="67" t="s">
        <v>25</v>
      </c>
      <c r="D1342" s="28" t="s">
        <v>25</v>
      </c>
      <c r="E1342" s="67" t="s">
        <v>402</v>
      </c>
      <c r="F1342" s="34" t="s">
        <v>395</v>
      </c>
      <c r="G1342" s="50">
        <f>21-5</f>
        <v>16</v>
      </c>
      <c r="H1342" s="50"/>
      <c r="I1342" s="30">
        <f t="shared" si="46"/>
        <v>0</v>
      </c>
    </row>
    <row r="1343" spans="1:9" ht="0.75" customHeight="1" thickBot="1">
      <c r="A1343" s="98" t="s">
        <v>836</v>
      </c>
      <c r="B1343" s="99"/>
      <c r="C1343" s="100" t="s">
        <v>25</v>
      </c>
      <c r="D1343" s="100" t="s">
        <v>972</v>
      </c>
      <c r="E1343" s="100" t="s">
        <v>837</v>
      </c>
      <c r="F1343" s="101" t="s">
        <v>395</v>
      </c>
      <c r="G1343" s="102"/>
      <c r="H1343" s="102"/>
      <c r="I1343" s="103" t="e">
        <f t="shared" si="46"/>
        <v>#DIV/0!</v>
      </c>
    </row>
    <row r="1344" spans="1:9" ht="25.5" customHeight="1" thickBot="1">
      <c r="A1344" s="104" t="s">
        <v>838</v>
      </c>
      <c r="B1344" s="105"/>
      <c r="C1344" s="106"/>
      <c r="D1344" s="106"/>
      <c r="E1344" s="106"/>
      <c r="F1344" s="107"/>
      <c r="G1344" s="108">
        <f>SUM(G11+G37+G229+G651+G682+G845+G1009+G1039+G1205+G1263+G945+G45)</f>
        <v>3505597.0000000005</v>
      </c>
      <c r="H1344" s="108" t="e">
        <f>SUM(H11+H37+H229+H651+H682+H845+H1009+H1039+H1205+H1263)</f>
        <v>#REF!</v>
      </c>
      <c r="I1344" s="109" t="e">
        <f t="shared" si="46"/>
        <v>#REF!</v>
      </c>
    </row>
    <row r="1345" spans="1:9" ht="26.25" hidden="1" thickBot="1">
      <c r="A1345" s="110" t="s">
        <v>839</v>
      </c>
      <c r="B1345" s="111"/>
      <c r="C1345" s="112"/>
      <c r="D1345" s="111"/>
      <c r="E1345" s="111"/>
      <c r="F1345" s="113"/>
      <c r="G1345" s="114">
        <f>-76000-174.5-350</f>
        <v>-76524.5</v>
      </c>
      <c r="H1345" s="114">
        <f>-76000-174.5-350</f>
        <v>-76524.5</v>
      </c>
      <c r="I1345" s="114">
        <f>-76000-174.5-350</f>
        <v>-76524.5</v>
      </c>
    </row>
  </sheetData>
  <mergeCells count="1">
    <mergeCell ref="G5:H5"/>
  </mergeCells>
  <printOptions/>
  <pageMargins left="1.1811023622047245" right="0.15748031496062992" top="0.15748031496062992" bottom="0.03937007874015748" header="0.5118110236220472" footer="0.2362204724409449"/>
  <pageSetup fitToHeight="16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">
      <selection activeCell="C5" sqref="C5:D5"/>
    </sheetView>
  </sheetViews>
  <sheetFormatPr defaultColWidth="9.00390625" defaultRowHeight="12.75"/>
  <cols>
    <col min="1" max="1" width="27.375" style="225" customWidth="1"/>
    <col min="2" max="2" width="43.125" style="225" customWidth="1"/>
    <col min="3" max="3" width="16.25390625" style="243" customWidth="1"/>
    <col min="4" max="16384" width="9.125" style="225" customWidth="1"/>
  </cols>
  <sheetData>
    <row r="1" ht="14.25" customHeight="1">
      <c r="C1" s="226" t="s">
        <v>480</v>
      </c>
    </row>
    <row r="2" ht="14.25" customHeight="1">
      <c r="C2" s="226" t="s">
        <v>141</v>
      </c>
    </row>
    <row r="3" ht="14.25" customHeight="1">
      <c r="C3" s="226" t="s">
        <v>142</v>
      </c>
    </row>
    <row r="4" ht="14.25" customHeight="1">
      <c r="C4" s="227" t="s">
        <v>920</v>
      </c>
    </row>
    <row r="5" spans="3:4" ht="14.25" customHeight="1">
      <c r="C5" s="244" t="s">
        <v>481</v>
      </c>
      <c r="D5" s="244"/>
    </row>
    <row r="6" spans="1:3" ht="15.75">
      <c r="A6" s="245"/>
      <c r="B6" s="245"/>
      <c r="C6" s="245"/>
    </row>
    <row r="7" spans="1:3" ht="71.25" customHeight="1">
      <c r="A7" s="246" t="s">
        <v>143</v>
      </c>
      <c r="B7" s="246"/>
      <c r="C7" s="246"/>
    </row>
    <row r="8" spans="1:3" ht="26.25" customHeight="1">
      <c r="A8" s="247" t="s">
        <v>144</v>
      </c>
      <c r="B8" s="248" t="s">
        <v>145</v>
      </c>
      <c r="C8" s="248" t="s">
        <v>146</v>
      </c>
    </row>
    <row r="9" spans="1:3" ht="26.25" customHeight="1">
      <c r="A9" s="247"/>
      <c r="B9" s="249"/>
      <c r="C9" s="249"/>
    </row>
    <row r="10" spans="1:3" s="231" customFormat="1" ht="46.5" customHeight="1">
      <c r="A10" s="228" t="s">
        <v>147</v>
      </c>
      <c r="B10" s="229" t="s">
        <v>148</v>
      </c>
      <c r="C10" s="230">
        <f>SUM(C11+C16+C19+C29)</f>
        <v>93148.4</v>
      </c>
    </row>
    <row r="11" spans="1:3" s="235" customFormat="1" ht="40.5" customHeight="1">
      <c r="A11" s="232" t="s">
        <v>149</v>
      </c>
      <c r="B11" s="233" t="s">
        <v>150</v>
      </c>
      <c r="C11" s="234">
        <v>67599.8</v>
      </c>
    </row>
    <row r="12" spans="1:3" ht="45">
      <c r="A12" s="232" t="s">
        <v>151</v>
      </c>
      <c r="B12" s="233" t="s">
        <v>152</v>
      </c>
      <c r="C12" s="234">
        <v>67648</v>
      </c>
    </row>
    <row r="13" spans="1:3" ht="60" hidden="1">
      <c r="A13" s="232" t="s">
        <v>153</v>
      </c>
      <c r="B13" s="233" t="s">
        <v>154</v>
      </c>
      <c r="C13" s="234">
        <f>SUM(C14)</f>
        <v>0</v>
      </c>
    </row>
    <row r="14" spans="1:3" ht="60" hidden="1">
      <c r="A14" s="232" t="s">
        <v>155</v>
      </c>
      <c r="B14" s="233" t="s">
        <v>156</v>
      </c>
      <c r="C14" s="234">
        <f>SUM(C15)</f>
        <v>0</v>
      </c>
    </row>
    <row r="15" spans="1:3" ht="60" hidden="1">
      <c r="A15" s="232" t="s">
        <v>157</v>
      </c>
      <c r="B15" s="233" t="s">
        <v>156</v>
      </c>
      <c r="C15" s="234"/>
    </row>
    <row r="16" spans="1:3" s="235" customFormat="1" ht="45" customHeight="1">
      <c r="A16" s="236" t="s">
        <v>158</v>
      </c>
      <c r="B16" s="237" t="s">
        <v>159</v>
      </c>
      <c r="C16" s="234">
        <f>C17-C18</f>
        <v>-25000</v>
      </c>
    </row>
    <row r="17" spans="1:3" ht="69" customHeight="1">
      <c r="A17" s="236" t="s">
        <v>160</v>
      </c>
      <c r="B17" s="238" t="s">
        <v>161</v>
      </c>
      <c r="C17" s="234">
        <v>25000</v>
      </c>
    </row>
    <row r="18" spans="1:3" s="235" customFormat="1" ht="82.5" customHeight="1">
      <c r="A18" s="236" t="s">
        <v>162</v>
      </c>
      <c r="B18" s="237" t="s">
        <v>163</v>
      </c>
      <c r="C18" s="234">
        <f>50000</f>
        <v>50000</v>
      </c>
    </row>
    <row r="19" spans="1:3" s="231" customFormat="1" ht="35.25" customHeight="1">
      <c r="A19" s="239" t="s">
        <v>164</v>
      </c>
      <c r="B19" s="240" t="s">
        <v>165</v>
      </c>
      <c r="C19" s="230">
        <f>SUM(C25+C20)</f>
        <v>50548.6</v>
      </c>
    </row>
    <row r="20" spans="1:3" s="241" customFormat="1" ht="26.25" customHeight="1" hidden="1">
      <c r="A20" s="236" t="s">
        <v>166</v>
      </c>
      <c r="B20" s="237" t="s">
        <v>167</v>
      </c>
      <c r="C20" s="234">
        <f>SUM(C21)</f>
        <v>0</v>
      </c>
    </row>
    <row r="21" spans="1:3" s="241" customFormat="1" ht="30" hidden="1">
      <c r="A21" s="236" t="s">
        <v>168</v>
      </c>
      <c r="B21" s="237" t="s">
        <v>169</v>
      </c>
      <c r="C21" s="234">
        <f>SUM(C22)</f>
        <v>0</v>
      </c>
    </row>
    <row r="22" spans="1:3" s="241" customFormat="1" ht="30" hidden="1">
      <c r="A22" s="236" t="s">
        <v>170</v>
      </c>
      <c r="B22" s="237" t="s">
        <v>171</v>
      </c>
      <c r="C22" s="234">
        <f>SUM(C23)</f>
        <v>0</v>
      </c>
    </row>
    <row r="23" spans="1:3" s="241" customFormat="1" ht="30" hidden="1">
      <c r="A23" s="236" t="s">
        <v>172</v>
      </c>
      <c r="B23" s="237" t="s">
        <v>171</v>
      </c>
      <c r="C23" s="234">
        <f>SUM(C24)</f>
        <v>0</v>
      </c>
    </row>
    <row r="24" spans="1:3" s="241" customFormat="1" ht="30" hidden="1">
      <c r="A24" s="236" t="s">
        <v>173</v>
      </c>
      <c r="B24" s="237" t="s">
        <v>174</v>
      </c>
      <c r="C24" s="234">
        <v>0</v>
      </c>
    </row>
    <row r="25" spans="1:3" ht="30">
      <c r="A25" s="236" t="s">
        <v>175</v>
      </c>
      <c r="B25" s="237" t="s">
        <v>176</v>
      </c>
      <c r="C25" s="234">
        <f>SUM(C26)</f>
        <v>50548.6</v>
      </c>
    </row>
    <row r="26" spans="1:3" ht="30">
      <c r="A26" s="236" t="s">
        <v>177</v>
      </c>
      <c r="B26" s="237" t="s">
        <v>178</v>
      </c>
      <c r="C26" s="234">
        <f>SUM(C27)</f>
        <v>50548.6</v>
      </c>
    </row>
    <row r="27" spans="1:3" ht="30">
      <c r="A27" s="236" t="s">
        <v>179</v>
      </c>
      <c r="B27" s="237" t="s">
        <v>180</v>
      </c>
      <c r="C27" s="234">
        <f>SUM(C28)</f>
        <v>50548.6</v>
      </c>
    </row>
    <row r="28" spans="1:3" ht="45">
      <c r="A28" s="236" t="s">
        <v>181</v>
      </c>
      <c r="B28" s="237" t="s">
        <v>182</v>
      </c>
      <c r="C28" s="234">
        <f>50617.5-68.9</f>
        <v>50548.6</v>
      </c>
    </row>
    <row r="29" spans="1:3" s="231" customFormat="1" ht="47.25">
      <c r="A29" s="239" t="s">
        <v>183</v>
      </c>
      <c r="B29" s="240" t="s">
        <v>184</v>
      </c>
      <c r="C29" s="230">
        <f>SUM(C30+C32)</f>
        <v>0</v>
      </c>
    </row>
    <row r="30" spans="1:3" ht="49.5" customHeight="1">
      <c r="A30" s="236" t="s">
        <v>185</v>
      </c>
      <c r="B30" s="237" t="s">
        <v>186</v>
      </c>
      <c r="C30" s="234">
        <f>SUM(C31)</f>
        <v>-10000</v>
      </c>
    </row>
    <row r="31" spans="1:3" ht="133.5" customHeight="1">
      <c r="A31" s="236" t="s">
        <v>187</v>
      </c>
      <c r="B31" s="242" t="s">
        <v>192</v>
      </c>
      <c r="C31" s="234">
        <v>-10000</v>
      </c>
    </row>
    <row r="32" spans="1:3" ht="45">
      <c r="A32" s="236" t="s">
        <v>188</v>
      </c>
      <c r="B32" s="237" t="s">
        <v>189</v>
      </c>
      <c r="C32" s="234">
        <f>SUM(C33)</f>
        <v>10000</v>
      </c>
    </row>
    <row r="33" spans="1:3" ht="45">
      <c r="A33" s="236" t="s">
        <v>190</v>
      </c>
      <c r="B33" s="237" t="s">
        <v>191</v>
      </c>
      <c r="C33" s="234">
        <v>10000</v>
      </c>
    </row>
    <row r="35" ht="42.75" customHeight="1">
      <c r="A35" s="235"/>
    </row>
    <row r="36" ht="42.75" customHeight="1">
      <c r="A36" s="235"/>
    </row>
    <row r="37" ht="13.5" customHeight="1"/>
  </sheetData>
  <mergeCells count="6">
    <mergeCell ref="C5:D5"/>
    <mergeCell ref="A6:C6"/>
    <mergeCell ref="A7:C7"/>
    <mergeCell ref="A8:A9"/>
    <mergeCell ref="B8:B9"/>
    <mergeCell ref="C8:C9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B5" sqref="B5:C5"/>
    </sheetView>
  </sheetViews>
  <sheetFormatPr defaultColWidth="9.00390625" defaultRowHeight="12.75"/>
  <cols>
    <col min="1" max="1" width="53.375" style="199" customWidth="1"/>
    <col min="2" max="2" width="17.375" style="199" customWidth="1"/>
    <col min="3" max="3" width="14.375" style="199" hidden="1" customWidth="1"/>
    <col min="4" max="4" width="7.375" style="199" customWidth="1"/>
    <col min="5" max="16384" width="9.125" style="199" customWidth="1"/>
  </cols>
  <sheetData>
    <row r="1" spans="2:7" ht="11.25" customHeight="1">
      <c r="B1" s="4" t="s">
        <v>478</v>
      </c>
      <c r="C1" s="5"/>
      <c r="G1" s="200"/>
    </row>
    <row r="2" spans="2:7" ht="12.75">
      <c r="B2" s="201" t="s">
        <v>918</v>
      </c>
      <c r="C2" s="5"/>
      <c r="G2" s="200"/>
    </row>
    <row r="3" spans="2:7" ht="12.75">
      <c r="B3" s="201" t="s">
        <v>919</v>
      </c>
      <c r="C3" s="5"/>
      <c r="G3" s="200"/>
    </row>
    <row r="4" spans="2:7" ht="12.75">
      <c r="B4" s="201" t="s">
        <v>920</v>
      </c>
      <c r="C4" s="5"/>
      <c r="G4" s="200"/>
    </row>
    <row r="5" spans="2:7" ht="15.75" customHeight="1">
      <c r="B5" s="244" t="s">
        <v>479</v>
      </c>
      <c r="C5" s="244"/>
      <c r="D5" s="202"/>
      <c r="G5" s="200"/>
    </row>
    <row r="6" ht="12.75">
      <c r="B6" s="200"/>
    </row>
    <row r="9" s="200" customFormat="1" ht="15">
      <c r="A9" s="203" t="s">
        <v>131</v>
      </c>
    </row>
    <row r="10" spans="1:3" s="200" customFormat="1" ht="15">
      <c r="A10" s="203" t="s">
        <v>132</v>
      </c>
      <c r="C10" s="203"/>
    </row>
    <row r="11" ht="15.75">
      <c r="A11" s="204"/>
    </row>
    <row r="12" s="203" customFormat="1" ht="15"/>
    <row r="13" s="203" customFormat="1" ht="15">
      <c r="A13" s="203" t="s">
        <v>133</v>
      </c>
    </row>
    <row r="14" s="203" customFormat="1" ht="15"/>
    <row r="15" s="203" customFormat="1" ht="15.75" thickBot="1">
      <c r="B15" s="203" t="s">
        <v>134</v>
      </c>
    </row>
    <row r="16" spans="1:3" s="203" customFormat="1" ht="44.25" customHeight="1" thickBot="1">
      <c r="A16" s="205" t="s">
        <v>853</v>
      </c>
      <c r="B16" s="206" t="s">
        <v>135</v>
      </c>
      <c r="C16" s="207" t="s">
        <v>927</v>
      </c>
    </row>
    <row r="17" spans="1:3" s="203" customFormat="1" ht="45.75" customHeight="1" thickBot="1">
      <c r="A17" s="208" t="s">
        <v>136</v>
      </c>
      <c r="B17" s="209">
        <f>SUM(B18-B19)</f>
        <v>67599.8</v>
      </c>
      <c r="C17" s="210"/>
    </row>
    <row r="18" spans="1:3" s="203" customFormat="1" ht="18" customHeight="1" thickBot="1">
      <c r="A18" s="211" t="s">
        <v>137</v>
      </c>
      <c r="B18" s="212">
        <v>67599.8</v>
      </c>
      <c r="C18" s="210"/>
    </row>
    <row r="19" spans="1:3" s="203" customFormat="1" ht="21.75" customHeight="1" thickBot="1">
      <c r="A19" s="213" t="s">
        <v>138</v>
      </c>
      <c r="B19" s="212"/>
      <c r="C19" s="210"/>
    </row>
    <row r="20" spans="1:3" s="203" customFormat="1" ht="45.75" thickBot="1">
      <c r="A20" s="208" t="s">
        <v>139</v>
      </c>
      <c r="B20" s="209">
        <f>SUM(B21-B22)</f>
        <v>-25000</v>
      </c>
      <c r="C20" s="214">
        <f>SUM(C21-C22)</f>
        <v>-70000</v>
      </c>
    </row>
    <row r="21" spans="1:3" s="203" customFormat="1" ht="24" customHeight="1">
      <c r="A21" s="211" t="s">
        <v>137</v>
      </c>
      <c r="B21" s="212">
        <v>25000</v>
      </c>
      <c r="C21" s="215"/>
    </row>
    <row r="22" spans="1:3" s="203" customFormat="1" ht="25.5" customHeight="1" thickBot="1">
      <c r="A22" s="216" t="s">
        <v>138</v>
      </c>
      <c r="B22" s="217">
        <f>50000</f>
        <v>50000</v>
      </c>
      <c r="C22" s="218">
        <v>70000</v>
      </c>
    </row>
    <row r="23" spans="1:3" s="203" customFormat="1" ht="21" customHeight="1" thickBot="1">
      <c r="A23" s="219" t="s">
        <v>140</v>
      </c>
      <c r="B23" s="220">
        <f>SUM(B24-B25)</f>
        <v>42599.8</v>
      </c>
      <c r="C23" s="214" t="e">
        <f>SUM(C24-C25)</f>
        <v>#REF!</v>
      </c>
    </row>
    <row r="24" spans="1:3" s="203" customFormat="1" ht="24" customHeight="1">
      <c r="A24" s="221" t="s">
        <v>137</v>
      </c>
      <c r="B24" s="209">
        <f>SUM(B21+B18)</f>
        <v>92599.8</v>
      </c>
      <c r="C24" s="222" t="e">
        <f>SUM(C21+#REF!)</f>
        <v>#REF!</v>
      </c>
    </row>
    <row r="25" spans="1:3" s="203" customFormat="1" ht="21.75" customHeight="1" thickBot="1">
      <c r="A25" s="213" t="s">
        <v>138</v>
      </c>
      <c r="B25" s="223">
        <f>SUM(B22)</f>
        <v>50000</v>
      </c>
      <c r="C25" s="224">
        <f>SUM(C22)</f>
        <v>70000</v>
      </c>
    </row>
  </sheetData>
  <mergeCells count="1">
    <mergeCell ref="B5:C5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k66-4</dc:creator>
  <cp:keywords/>
  <dc:description/>
  <cp:lastModifiedBy>user</cp:lastModifiedBy>
  <cp:lastPrinted>2011-12-26T10:46:05Z</cp:lastPrinted>
  <dcterms:created xsi:type="dcterms:W3CDTF">2011-12-19T03:47:32Z</dcterms:created>
  <dcterms:modified xsi:type="dcterms:W3CDTF">2011-12-26T10:46:14Z</dcterms:modified>
  <cp:category/>
  <cp:version/>
  <cp:contentType/>
  <cp:contentStatus/>
</cp:coreProperties>
</file>