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ЭтаКнига" defaultThemeVersion="124226"/>
  <bookViews>
    <workbookView xWindow="480" yWindow="120" windowWidth="27795" windowHeight="12585"/>
  </bookViews>
  <sheets>
    <sheet name="перемещ " sheetId="2" r:id="rId1"/>
  </sheets>
  <definedNames>
    <definedName name="_xlnm.Print_Titles" localSheetId="0">'перемещ '!$4:$4</definedName>
    <definedName name="_xlnm.Print_Area" localSheetId="0">'перемещ '!$A$1:$G$4</definedName>
  </definedNames>
  <calcPr calcId="144525"/>
</workbook>
</file>

<file path=xl/calcChain.xml><?xml version="1.0" encoding="utf-8"?>
<calcChain xmlns="http://schemas.openxmlformats.org/spreadsheetml/2006/main">
  <c r="F105" i="2"/>
  <c r="F104"/>
  <c r="D98" l="1"/>
  <c r="D7" l="1"/>
  <c r="F12"/>
  <c r="D20" l="1"/>
  <c r="D117" l="1"/>
  <c r="F26" l="1"/>
  <c r="F14" l="1"/>
  <c r="F55"/>
  <c r="F54"/>
  <c r="F49" l="1"/>
  <c r="D47"/>
  <c r="D29" l="1"/>
  <c r="F23" l="1"/>
  <c r="D22"/>
  <c r="D71" l="1"/>
  <c r="D97" l="1"/>
  <c r="D91"/>
  <c r="E91" s="1"/>
  <c r="D79"/>
  <c r="E79" s="1"/>
  <c r="E71"/>
  <c r="E7"/>
  <c r="E129"/>
  <c r="D128"/>
  <c r="C128"/>
  <c r="E117"/>
  <c r="E116"/>
  <c r="F115"/>
  <c r="F109" s="1"/>
  <c r="E110"/>
  <c r="D109"/>
  <c r="C109"/>
  <c r="E108"/>
  <c r="E106"/>
  <c r="E103"/>
  <c r="E102"/>
  <c r="F99"/>
  <c r="C97"/>
  <c r="F96"/>
  <c r="F90" s="1"/>
  <c r="E96"/>
  <c r="D90"/>
  <c r="C90"/>
  <c r="E89"/>
  <c r="E88"/>
  <c r="E87"/>
  <c r="F86"/>
  <c r="E84"/>
  <c r="C70"/>
  <c r="E69"/>
  <c r="F63"/>
  <c r="F61" s="1"/>
  <c r="E62"/>
  <c r="D61"/>
  <c r="C61"/>
  <c r="F52"/>
  <c r="F51"/>
  <c r="F50"/>
  <c r="F48"/>
  <c r="E47"/>
  <c r="E46" s="1"/>
  <c r="D46"/>
  <c r="C46"/>
  <c r="F45"/>
  <c r="E45"/>
  <c r="F38"/>
  <c r="F37"/>
  <c r="F34"/>
  <c r="F33"/>
  <c r="F32"/>
  <c r="F30"/>
  <c r="E29"/>
  <c r="D28"/>
  <c r="C28"/>
  <c r="F21"/>
  <c r="E22"/>
  <c r="D21"/>
  <c r="C21"/>
  <c r="E20"/>
  <c r="E17"/>
  <c r="E15"/>
  <c r="C6"/>
  <c r="E61" l="1"/>
  <c r="E98"/>
  <c r="F6"/>
  <c r="H61"/>
  <c r="E109"/>
  <c r="H109" s="1"/>
  <c r="D70"/>
  <c r="E97"/>
  <c r="E90"/>
  <c r="H90" s="1"/>
  <c r="F97"/>
  <c r="F70"/>
  <c r="E70"/>
  <c r="E128"/>
  <c r="F46"/>
  <c r="H46" s="1"/>
  <c r="E6"/>
  <c r="E21"/>
  <c r="H21" s="1"/>
  <c r="F28"/>
  <c r="C130"/>
  <c r="E28"/>
  <c r="D6"/>
  <c r="H6" l="1"/>
  <c r="D130"/>
  <c r="H70"/>
  <c r="H97"/>
  <c r="F130"/>
  <c r="E130"/>
  <c r="H28"/>
  <c r="H130" l="1"/>
</calcChain>
</file>

<file path=xl/sharedStrings.xml><?xml version="1.0" encoding="utf-8"?>
<sst xmlns="http://schemas.openxmlformats.org/spreadsheetml/2006/main" count="164" uniqueCount="155">
  <si>
    <t>тыс. рублей</t>
  </si>
  <si>
    <t>Приложение 5 к реестру</t>
  </si>
  <si>
    <t xml:space="preserve"> Раз дел</t>
  </si>
  <si>
    <t>Наименование разделов/ ГРБС</t>
  </si>
  <si>
    <t xml:space="preserve">Уточненный бюджет на 2026 год  </t>
  </si>
  <si>
    <t>Ассигнования на 2026 год</t>
  </si>
  <si>
    <t>Отклонение</t>
  </si>
  <si>
    <t>проверка (скрыть)</t>
  </si>
  <si>
    <t>Пояснение</t>
  </si>
  <si>
    <t>1</t>
  </si>
  <si>
    <t>Информация об изменении ассигнований бюджета Миасского городского округа Челябинской области в 2026 году (после принятия решения Собранием депутатов города Миасса от 10.03.2026г. № 1 по 10.08.2026г.) и планируемые к изменению ассигнования в проекте решения</t>
  </si>
  <si>
    <t>0100</t>
  </si>
  <si>
    <t>Общегосударственные вопросы, в том числе</t>
  </si>
  <si>
    <t>Администрация города Миасса</t>
  </si>
  <si>
    <t>Уменьшение (перемещение) ассигнований в сумме 5197,1 тыс. рублей, в том числе:</t>
  </si>
  <si>
    <t>в сумме 60,9 тыс. рублей  с экономии расходов по охране объектов на раздел 0500</t>
  </si>
  <si>
    <t>в сумме 731,9 тыс. рублей на обустройство козырька, крыльца, установку пандуса, облицовку здания участкового пункта полиции с раздела 1000</t>
  </si>
  <si>
    <t>Собрание депутатов города Миасса</t>
  </si>
  <si>
    <t>Финансовое управление Администрации города Миасса</t>
  </si>
  <si>
    <t>Уменьшение (перемещение) ассигнований в сумме 2715,0 тыс. рублей  с экономии средств, образовавшейся при осуществлении закупок  в зарезервированные средства на раздел 0100</t>
  </si>
  <si>
    <t>в т.ч.</t>
  </si>
  <si>
    <t>резервный фонд Администрации города Миасса, зарезервированные на выполнение обязательств по исполнению судебных решений по искам, удовлетворяемых за счет бюджета Округа и иных незапланированных расходов бюджета Округа</t>
  </si>
  <si>
    <t>0300</t>
  </si>
  <si>
    <t>Национальная безопасность и правоохранительная деятельность, в том числе</t>
  </si>
  <si>
    <r>
      <t xml:space="preserve">Администрация города Миасса </t>
    </r>
    <r>
      <rPr>
        <i/>
        <sz val="11"/>
        <rFont val="Times New Roman"/>
        <family val="1"/>
        <charset val="204"/>
      </rPr>
      <t>(в том числе Управление ГО и ЧС, отдел ЗАГС)</t>
    </r>
  </si>
  <si>
    <t>Увеличение (перемещение) ассигнований в сумме 1000,0 тыс. рублей на предотвращение чрезвычайной ситуации (паводок) из резервного фонда с раздела 0100</t>
  </si>
  <si>
    <t>Уменьшение (перемещение) ассигнований в сумме 1252,5 тыс. рублей, в том числе:</t>
  </si>
  <si>
    <t>в сумме 39,9 тыс. рублей  между разделами, в соответствии с  бюджетной классификацией,  расходов по повышению квалификации на раздел 0700</t>
  </si>
  <si>
    <t>0400</t>
  </si>
  <si>
    <t>Национальная экономика, в том числе</t>
  </si>
  <si>
    <r>
      <t>Администрация города Миасса</t>
    </r>
    <r>
      <rPr>
        <i/>
        <sz val="11"/>
        <rFont val="Times New Roman"/>
        <family val="1"/>
        <charset val="204"/>
      </rPr>
      <t xml:space="preserve"> (в том числе  МКУ "Комитет по строительству", Управление ЖКХ, энергетики и транспорта (транспорт))</t>
    </r>
  </si>
  <si>
    <t>в сумме 1427,2 тыс. рублей  с расходов на строительство дороги по ул. Колесова на разделы 0800, 1100</t>
  </si>
  <si>
    <t>в сумме 3485,3 тыс. рублей с экономии средств, образовавшейся при осуществлении закупок в зарезервированные средства на раздел 0100</t>
  </si>
  <si>
    <t>в сумме 3147,7 тыс. рублей с капитального ремонта дорог на раздел 0500</t>
  </si>
  <si>
    <t>в сумме 8490,3 тыс. рублей по наказам избирателей между разделами с раздела 0500</t>
  </si>
  <si>
    <t>в сумме 1633,1 тыс. рублей по инициативному бюджетированию между разделами с раздела 0500</t>
  </si>
  <si>
    <t>в сумме 36,0 тыс. рублей на актуализацию техзадания по объекту "Автобусный парк МУП "УПП МГО" с раздела 0500</t>
  </si>
  <si>
    <t>в сумме 1862,1 тыс. рублей на содержание автомобильной дороги по ул.Богдана Хмельницкого  с зарезервированных средств с раздела 0100</t>
  </si>
  <si>
    <t xml:space="preserve">Управление культуры Администрации города Миасса </t>
  </si>
  <si>
    <t>Увеличение (перемещение) ассигнований в сумме 84032,6 тыс. рублей  расходов по обустройству туристского центра города  между ГРБС раздел 0400</t>
  </si>
  <si>
    <t>0500</t>
  </si>
  <si>
    <t>Жилищно-коммунальное хозяйство, в том числе</t>
  </si>
  <si>
    <r>
      <t>Администрация города Миасса</t>
    </r>
    <r>
      <rPr>
        <i/>
        <sz val="11"/>
        <rFont val="Times New Roman"/>
        <family val="1"/>
        <charset val="204"/>
      </rPr>
      <t xml:space="preserve"> (в том числе  МКУ "Комитет по строительству", Управление ЖКХ, энергетики и транспорта)</t>
    </r>
  </si>
  <si>
    <t>в сумме 18444,8 тыс. рублей по наказам избирателей между разделами, ГРБС на раздел 0400,0700,0800,1100</t>
  </si>
  <si>
    <t>в сумме 1633,1 тыс. рублей  по инициативному бюджетированию между разделами на раздел 0400</t>
  </si>
  <si>
    <t>в сумме 108,0 тыс. рублей с проектно-изыскательских работ по объекту  "Строительство котельной в районе Миассмебель г. Миасса Челябинской области" на разделы 0400,0700,1100</t>
  </si>
  <si>
    <t>в сумме 554,7 тыс. рублей на стройконтроль по благоустройству сквера "Образование", пешеходной зоны по ул. Гвардейская от ул. 8 Июля до пр. Автозаводцев с зарезервированные средства  с раздела 0100</t>
  </si>
  <si>
    <t>в сумме 18369,8 тыс. рублей на проектирование установки узлов учета на тепловых сетях, строительства и реконструкции тепловых сетей, актуализацию схемы теплоснабжения, подготовку проектно-сметной документации на проведение капитальных ремонтов, вывоз отходов и остатков зеленого хозяйства после субботников из зарезервированных средств с раздела 0100</t>
  </si>
  <si>
    <t>в сумме 60,9 тыс. рублей на ремонт насоса фонтана с раздела 0100</t>
  </si>
  <si>
    <t>в сумме 3147,7 тыс. рублей на капитальный ремонт тепловых сетей                                                             с. Смородинка с раздела 0400</t>
  </si>
  <si>
    <t xml:space="preserve">в сумме 3842,8 тыс. рублей на содержание объектов газоснабжения, стройконтроль по благоустройству пешеходной зоны от ул. Романенко до ул. Уральская с зарезервированных средств с раздела 0100 </t>
  </si>
  <si>
    <t>0600</t>
  </si>
  <si>
    <t>Охрана  окружающей  среды, в том числе</t>
  </si>
  <si>
    <r>
      <t xml:space="preserve">Администрация города Миасса </t>
    </r>
    <r>
      <rPr>
        <i/>
        <sz val="11"/>
        <rFont val="Times New Roman"/>
        <family val="1"/>
        <charset val="204"/>
      </rPr>
      <t>(в том числе МКУ "УЭП")</t>
    </r>
  </si>
  <si>
    <t>Уменьшение (перемещение) ассигнований в сумме 1519,6 тыс. рублей, в том числе:</t>
  </si>
  <si>
    <t>в сумме 1065,6 тыс. рублей с экономии средств, образовавшейся при осуществлении закупок товаров (работ, услуг) в зарезервированные средства на раздел 0100</t>
  </si>
  <si>
    <t>Увеличение (перемещение) ассигнований в сумме 732,7 тыс. рублей, в том числе:</t>
  </si>
  <si>
    <t>в сумме 350,0 тыс. рублей на ликвидацию возгорания несанкционированной свалки из зарезервированных средств с раздела 0100</t>
  </si>
  <si>
    <t>в сумме 266,0 тыс. рублей  на оплату исполнительного листа из зарезервированных средств с раздела 0100</t>
  </si>
  <si>
    <t xml:space="preserve">в сумме 116,7 тыс. рублей на оплату земельного налога из зарезервированных средств с раздела 0100 </t>
  </si>
  <si>
    <t>0700</t>
  </si>
  <si>
    <t>Образование, в том числе</t>
  </si>
  <si>
    <t>Управление образования Администрации города Миасса</t>
  </si>
  <si>
    <t>Уменьшение (перемещение) ассигнований в сумме 37712,8 тыс. рублей, в том числе:</t>
  </si>
  <si>
    <t>в сумме 448,7 тыс. рублей  с экономии средств, образовавшейся при осуществлении закупок в зарезервированные средства на раздел 0100</t>
  </si>
  <si>
    <t>в сумме 14,8 тыс. рублей с расходов по обеспечению питанием детей-инвалидов на раздел 1000</t>
  </si>
  <si>
    <t>Увеличение (перемещение) ассигнований в сумме 144982,7 тыс. рублей, в том числе:</t>
  </si>
  <si>
    <t>в сумме 5900,0 тыс. рублей на установку оборудования систем  передачи извещений о пожаре из зарезервированных средств с раздела 0100</t>
  </si>
  <si>
    <t>в сумме 6602,2 тыс. рублей по наказам избирателей между ГРБС с раздела 0500</t>
  </si>
  <si>
    <r>
      <t xml:space="preserve">Управление культуры Администрации города Миасса </t>
    </r>
    <r>
      <rPr>
        <i/>
        <sz val="11"/>
        <rFont val="Times New Roman"/>
        <family val="1"/>
        <charset val="204"/>
      </rPr>
      <t>(муз.школы)</t>
    </r>
  </si>
  <si>
    <t>в сумме 400,0 тыс. рублей на установку оборудования систем  передачи извещений о пожаре из зарезервированных средств с раздела 0100</t>
  </si>
  <si>
    <t>в сумме 480,0 тыс. рублей по наказам избирателей между ГРБС с раздела 0500</t>
  </si>
  <si>
    <t>Увеличение (перемещение) ассигнований в сумме 758,4 тыс. рублей, в том числе:</t>
  </si>
  <si>
    <t>в сумме 39,9 тыс. рублей  между разделами, в соответствии с  бюджетной классификацией,  расходов по повышению квалификации с раздела 0300</t>
  </si>
  <si>
    <t>Управление ФКиС Администрации города Миасса</t>
  </si>
  <si>
    <t>УСЗН Администрации города Миасса</t>
  </si>
  <si>
    <t>0800</t>
  </si>
  <si>
    <t>Культура, кинематография, в том числе</t>
  </si>
  <si>
    <t>Управление культуры Администрации города Миасса</t>
  </si>
  <si>
    <t>Увеличение (перемещение) ассигнований в сумме 10044,2 тыс. рублей в том числе:</t>
  </si>
  <si>
    <t>в сумме 2072,3 тыс. рублей по наказам избирателей между ГРБС с раздела 0500</t>
  </si>
  <si>
    <r>
      <t xml:space="preserve">Администрация города Миасса </t>
    </r>
    <r>
      <rPr>
        <i/>
        <sz val="12"/>
        <rFont val="Times New Roman"/>
        <family val="1"/>
        <charset val="204"/>
      </rPr>
      <t>(в том числе  МКУ "Комитет по строительству")</t>
    </r>
  </si>
  <si>
    <t>Увеличение (перемещение) ассигнований в сумме 893,3 тыс. рублей на ремонт памятника войнам, погибшим в годы Великой Отечественной войны (Мемориал славы «Скорбящая мать»),  на реконструкцию памятника на братской могиле, где похоронены 70 человек жертв  колчаковской расправы в городе Миассе (оказание услуг по ведению научно-методического руководства) с раздела 0400</t>
  </si>
  <si>
    <t>1000</t>
  </si>
  <si>
    <t>Социальная политика, в том числе</t>
  </si>
  <si>
    <r>
      <t>УСЗН Администрации города Миасса (</t>
    </r>
    <r>
      <rPr>
        <i/>
        <sz val="11"/>
        <rFont val="Times New Roman"/>
        <family val="1"/>
        <charset val="204"/>
      </rPr>
      <t>в том числе содержание аппарата, пособия, пенсии, компенсации и т.д.)</t>
    </r>
  </si>
  <si>
    <t>Уменьшение (перемещение) ассигнований в сумме 424,7 тыс. рублей, в том числе:</t>
  </si>
  <si>
    <t>в сумме 301,8 тыс. рублей  с экономии средств, образовавшейся при осуществлении закупок  в зарезервированные средства на раздел 0100</t>
  </si>
  <si>
    <t>Увеличение (перемещение) ассигнований в сумме 14,8 тыс. рублей для выплаты денежной компенсации на обеспечение питанием детей-инвалидов, находящихся на домашнем обучении с раздела 0700</t>
  </si>
  <si>
    <t>Уменьшение (перемещение) ассигнований в сумме 3991,9 тыс. рублей, в том числе:</t>
  </si>
  <si>
    <r>
      <t xml:space="preserve">Финансовое управление Администрации города Миасса </t>
    </r>
    <r>
      <rPr>
        <i/>
        <sz val="11"/>
        <rFont val="Times New Roman"/>
        <family val="1"/>
        <charset val="204"/>
      </rPr>
      <t>(резерв на з/плату)</t>
    </r>
  </si>
  <si>
    <t>Увеличение (перемещение) ассигнований в сумме 454,0 тыс. рублей в зарезервированные средства с раздела  0600</t>
  </si>
  <si>
    <t>1100</t>
  </si>
  <si>
    <t>Физическая культура и спорт, в том числе</t>
  </si>
  <si>
    <r>
      <t xml:space="preserve">Администрация города Миасса </t>
    </r>
    <r>
      <rPr>
        <i/>
        <sz val="11"/>
        <rFont val="Times New Roman"/>
        <family val="1"/>
        <charset val="204"/>
      </rPr>
      <t xml:space="preserve">(в том числе МКУ "Комитет по строительству") </t>
    </r>
  </si>
  <si>
    <t>Увеличение (перемещение) ассигнований в сумме 569,9 тыс. рублей, в том числе:</t>
  </si>
  <si>
    <t>в сумме 533,9 тыс. рублей на госэкспертизу проектно-сметной документации на строительство модульного бассейна в Северной части города Миасса с раздела 0400</t>
  </si>
  <si>
    <t>в сумме 36,0 тыс. рублей на актуализацию техзадания по объекту "Физкультурно-оздоровительный комплекс на стадионе в Южной части г. Миасса" с раздела 0500</t>
  </si>
  <si>
    <t>Уменьшение (перемещение) ассигнований в сумме 2197,2 тыс. рублей, в том числе:</t>
  </si>
  <si>
    <t>в сумме 220,0 тыс. рублей  с экономии средств, образовавшейся при осуществлении закупок  в зарезервированные средства на раздел 0100</t>
  </si>
  <si>
    <t>в сумме 1977,2 тыс. рублей со строительно-монтажных работ по объекту "Центр спортивных единоборств" между ГРБС раздел 1100</t>
  </si>
  <si>
    <t>Уменьшение (перемещение) ассигнований в сумме 1777,1 тыс. рублей, в том числе:</t>
  </si>
  <si>
    <t>в сумме 532,0 тыс. рублей с экономии средств, образовавшейся при осуществлении закупок в зарезервированные средства на раздел 0100</t>
  </si>
  <si>
    <t>в сумме 127,0 тыс. рублей на ремонт сетей теплоснабжения с зарезервированных средств с раздела 0100</t>
  </si>
  <si>
    <t>в сумме 1294,7 тыс. рублей на проведение ремонта сетей теплоснабжения  МБУ ДО "СШОР "Старт" между ГРБС раздел 1100</t>
  </si>
  <si>
    <t>в сумме 350,0 тыс. рублей на установку оборудования систем  передачи извещений о пожаре из зарезервированных средств с раздела 0100</t>
  </si>
  <si>
    <t>в сумме 800,0 тыс. рублей по наказам избирателей между ГРБС с раздела 0500</t>
  </si>
  <si>
    <t>1300</t>
  </si>
  <si>
    <t>Обслуживание государственного (муниципального) долга, в том числе</t>
  </si>
  <si>
    <t>ВСЕГО</t>
  </si>
  <si>
    <t>Увеличение (перемещение) ассигнований в сумме 6884,4 тыс. рублей на оказание услуг по обеспечению безопасности эксплуатации гидро-технических сооружений, реализацию первоочередных мероприятий из зарезервированных средств с раздела 0100</t>
  </si>
  <si>
    <t>в сумме 3250,0 тыс. рублей на содержание и уборку дорог с зарезервированных средств с раздела 0100</t>
  </si>
  <si>
    <t>в сумме 7681,4 тыс. рублей на выполнение работ по строительству объекта «Ливневая канализация от ул. Добролюбова до ул. Циолковского г. Миасс Челябинской области» с зарезервированных средств с раздела 0100</t>
  </si>
  <si>
    <t>в сумме 500,0 тыс. рублей на предоставление субсидий АНО "АИР" с зарезервированных средств с раздела 0100</t>
  </si>
  <si>
    <t>в сумме 4445,8 тыс. рублей  с экономии средств, образовавшейся при осуществлении закупок товаров (работ, услуг) в зарезервированные средства на раздел 0100</t>
  </si>
  <si>
    <t>Уменьшение (перемещение) ассигнований в сумме 44734,9 тыс. рублей, в том числе:</t>
  </si>
  <si>
    <t>Увеличение (перемещение) ассигнований в сумме 28666,8 тыс. рублей, в том числе:</t>
  </si>
  <si>
    <t>Увеличение (перемещение) ассигнований в сумме 44856,3 тыс. рублей, в том числе:</t>
  </si>
  <si>
    <t>Уменьшение (перемещение) ассигнований в сумме 96142,8 тыс. рублей, в том числе:</t>
  </si>
  <si>
    <t>в сумме 10000,0 тыс. рублей на обслуживание уличного освещения с зарезервированных средства  с раздела 0100</t>
  </si>
  <si>
    <t>Увеличение (перемещение) ассигнований в сумме 4499,8 тыс. рублей, в том числе:</t>
  </si>
  <si>
    <t>в сумме 5136,2 тыс. рублей  в зарезервированные средства на раздел 0100 в рамках мероприятий по оптимизации расходов</t>
  </si>
  <si>
    <t>в сумме 12064,0 тыс. рублей на ФОТ  с зарезервированных средств с раздела 1000</t>
  </si>
  <si>
    <t>Уменьшение (перемещение) ассигнований в сумме 248,9 тыс. рублей  в зарезервированные средства на раздел 0100  в рамках мероприятий по оптимизации расходов</t>
  </si>
  <si>
    <t>Увеличение ассигнований в сумме 1148,7 тыс. рублей на ФОТ с зарезервированных средств раздела 1000</t>
  </si>
  <si>
    <t>Увеличение ассигнований в сумме 1865,7 тыс. рублей на ФОТ с зарезервированных средств раздела 1000</t>
  </si>
  <si>
    <t xml:space="preserve">в сумме 84032,6 тыс. рублей  с расходов по обустройству туристского центра города  между ГРБС раздел 0400 </t>
  </si>
  <si>
    <t>в сумме 3250,0 тыс. рублей  в зарезервированные средства на раздел 0100 в рамках мероприятий по оптимизации расходов</t>
  </si>
  <si>
    <t>в сумме 800,0 тыс. рублей  с расходов на поддержку и развитие среднего и малого предпринимательства, архитектуры  на раздел 0100 в рамках мероприятий по оптимизации расходов</t>
  </si>
  <si>
    <t>в сумме 20103,2 тыс. рублей  в зарезервированные средства  на раздел 0100 в рамках мероприятий по оптимизации расходов</t>
  </si>
  <si>
    <t>в сумме 37249,3 тыс. рублей  в зарезервированные средства на раздел 0100 в рамках мероприятий по оптимизации расходов</t>
  </si>
  <si>
    <t>в сумме 132480,5 тыс. рублей на ФОТ с зарезервированных средств с раздела 1000</t>
  </si>
  <si>
    <t>Уменьшение (перемещение) ассигнований в сумме 1024,8 тыс. рублей  в зарезервированные средства на раздел 0100 в рамках мероприятий по оптимизации расходов</t>
  </si>
  <si>
    <t>в сумме 3619,8 тыс. рублей на ФОТ с зарезервированных средств с раздела 1000</t>
  </si>
  <si>
    <t>Уменьшение (перемещение) ассигнований в сумме 2119,8 тыс. рублей  в зарезервированные средства на раздел 0100 в рамках мероприятий по оптимизации расходов</t>
  </si>
  <si>
    <t>в сумме 454,0 тыс. рублей  в зарезервированные средства на раздел 1000 в рамках мероприятий по оптимизации расходов</t>
  </si>
  <si>
    <t>в сумме 7971,9 тыс. рублей на ФОТ с зарезервированных средств с раздела 1000</t>
  </si>
  <si>
    <t>в сумме 122,9 тыс. рублей  в зарезервированные средства на раздел 0100 в рамках мероприятий по оптимизации расходов</t>
  </si>
  <si>
    <t>Уменьшение (перемещение) ассигнований зарезервированных средств в сумме 159892,3 тыс. рублей на ФОТ на разделы 0100,0700,0800</t>
  </si>
  <si>
    <t>в сумме 1245,1 тыс. рублей  в зарезервированные средства на раздел 0100 в рамках мероприятий по оптимизации расходов</t>
  </si>
  <si>
    <t>в сумме 537,2 тыс. рублей на текущее содержание подведомственных учреждений с зарезервированных средств с раздела 0100</t>
  </si>
  <si>
    <t>в сумме 741,7 тыс. рублей на ФОТ с зарезервированных средств с раздела 1000</t>
  </si>
  <si>
    <t>в сумме 1212,6 тыс. рублей  с экономии средств, образовавшейся при осуществлении закупок  в зарезервированные средства на раздел 0100</t>
  </si>
  <si>
    <t>в сумме 8880,4 тыс.рублей на расходы по благоустройству (подборка, погрузка, вывоз шин и иных отходов,устройство пескоуловителя по адресу: ул. Романенко, д. №13, 19; ремонт газораспределительного пункта в районе дома 53, пр. Макеева)  с зарезервированных средств с раздела 0100</t>
  </si>
  <si>
    <t>Увеличение (перемещение) ассигнований в сумме 4424,4  тыс. рублей, в том числе:</t>
  </si>
  <si>
    <t>в сумме 573,8 тыс. рублей на текущий ремонт кровли МБУ ДО «СШОР №4» с зарезервированных средств с раздела 0100</t>
  </si>
  <si>
    <t>в сумме 718,5 тыс. рублей на предэкспертизу и  дополнительные работы по проектированию объекта  "Строительство общеобразовательной школы №8 г. Миасса" по замечаниям госэкспертизы с разделов 0500,11000</t>
  </si>
  <si>
    <t>Изменение (перемещение) ассигнований в сумме 4189,9 тыс. рублей зарезервированных средств по разделам 0100, 0300, 0400, 0500, 0600, 0700, 0800, 1000, 1100</t>
  </si>
  <si>
    <t>Увеличение (перемещение) ассигнований в сумме 18932,8 тыс. рублей, в том числе:</t>
  </si>
  <si>
    <t>Увеличение (перемещение) ассигнований в сумме 2000,0 тыс. рублей на выплату материальной помощи гражданам, попавшим в трудную жизненную ситуацию (паводок) из зарезервированных средств с раздела 0100</t>
  </si>
  <si>
    <t>в сумме 1141,9 тыс. рублей с расходов на оплату имущественного взноса, на обеспечение жильем молодых семей (731,9 тыс. рублей приведение в соответствие доли софинансирования с выделенными областными средствами) на раздел 0100</t>
  </si>
  <si>
    <t>в сумме 5213,9 тыс.рублей на услуги (работа) по регулярным перевозкам пассажиров автобусом с зарезервированных средств с раздела 0100</t>
  </si>
  <si>
    <t xml:space="preserve">в сумме 2850,0 тыс. рублей с экономии расходов в рамках мероприятий по оптимизации расходов с приобретение жилья  при наличии тяжелых форм хронического заболевания в зарезервированные средства на раздел 0100 </t>
  </si>
  <si>
    <t>в сумме 2796 тыс. рублей на приобретение ГСМ,  ремонт автомобиля, охрану, судебную экспертизу с разделов 0400, 1000</t>
  </si>
  <si>
    <t>в сумме 3340,2 тыс. рублей на оплату штрафов, исполнительных листов, оплату услуг СМИ, приобретение ГСМ из зарезервированных средств с раздела 0100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</si>
</sst>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23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i/>
      <sz val="13"/>
      <name val="Times New Roman"/>
      <family val="1"/>
      <charset val="204"/>
    </font>
    <font>
      <sz val="13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.5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color theme="1"/>
      <name val="Times New Roman"/>
      <family val="2"/>
      <charset val="204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0.5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rgb="FFFFFF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0" fontId="8" fillId="0" borderId="0"/>
    <xf numFmtId="0" fontId="9" fillId="0" borderId="0"/>
    <xf numFmtId="0" fontId="10" fillId="0" borderId="0"/>
    <xf numFmtId="0" fontId="8" fillId="0" borderId="0"/>
    <xf numFmtId="0" fontId="10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2" fillId="0" borderId="0"/>
    <xf numFmtId="0" fontId="2" fillId="0" borderId="0" applyFont="0" applyFill="0" applyBorder="0" applyAlignment="0" applyProtection="0"/>
  </cellStyleXfs>
  <cellXfs count="99">
    <xf numFmtId="0" fontId="0" fillId="0" borderId="0" xfId="0"/>
    <xf numFmtId="0" fontId="5" fillId="2" borderId="0" xfId="0" applyFont="1" applyFill="1"/>
    <xf numFmtId="49" fontId="6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justify" vertical="center"/>
    </xf>
    <xf numFmtId="164" fontId="5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center"/>
    </xf>
    <xf numFmtId="49" fontId="5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64" fontId="13" fillId="2" borderId="1" xfId="0" applyNumberFormat="1" applyFont="1" applyFill="1" applyBorder="1" applyAlignment="1">
      <alignment horizontal="center" vertical="center" wrapText="1"/>
    </xf>
    <xf numFmtId="164" fontId="14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0" fontId="6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center" vertical="center"/>
    </xf>
    <xf numFmtId="0" fontId="14" fillId="2" borderId="1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justify" vertical="center" wrapText="1"/>
    </xf>
    <xf numFmtId="164" fontId="7" fillId="0" borderId="0" xfId="0" applyNumberFormat="1" applyFont="1" applyFill="1" applyAlignment="1">
      <alignment horizontal="right" vertical="center"/>
    </xf>
    <xf numFmtId="0" fontId="13" fillId="0" borderId="1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right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justify" vertical="center" wrapText="1"/>
    </xf>
    <xf numFmtId="164" fontId="15" fillId="2" borderId="1" xfId="0" applyNumberFormat="1" applyFont="1" applyFill="1" applyBorder="1" applyAlignment="1">
      <alignment horizontal="center" vertical="center"/>
    </xf>
    <xf numFmtId="164" fontId="13" fillId="2" borderId="1" xfId="0" applyNumberFormat="1" applyFont="1" applyFill="1" applyBorder="1" applyAlignment="1">
      <alignment horizontal="justify" vertical="center" wrapText="1"/>
    </xf>
    <xf numFmtId="164" fontId="5" fillId="2" borderId="0" xfId="0" applyNumberFormat="1" applyFont="1" applyFill="1"/>
    <xf numFmtId="164" fontId="15" fillId="2" borderId="3" xfId="0" applyNumberFormat="1" applyFont="1" applyFill="1" applyBorder="1" applyAlignment="1">
      <alignment horizontal="center" vertical="center"/>
    </xf>
    <xf numFmtId="164" fontId="13" fillId="2" borderId="2" xfId="0" applyNumberFormat="1" applyFont="1" applyFill="1" applyBorder="1" applyAlignment="1">
      <alignment horizontal="justify" vertical="center" wrapText="1"/>
    </xf>
    <xf numFmtId="164" fontId="13" fillId="2" borderId="3" xfId="0" applyNumberFormat="1" applyFont="1" applyFill="1" applyBorder="1" applyAlignment="1">
      <alignment horizontal="center" vertical="center"/>
    </xf>
    <xf numFmtId="164" fontId="14" fillId="2" borderId="1" xfId="0" applyNumberFormat="1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justify" vertical="center" wrapText="1"/>
    </xf>
    <xf numFmtId="164" fontId="14" fillId="2" borderId="2" xfId="0" applyNumberFormat="1" applyFont="1" applyFill="1" applyBorder="1" applyAlignment="1">
      <alignment horizontal="center" vertical="center"/>
    </xf>
    <xf numFmtId="164" fontId="13" fillId="2" borderId="2" xfId="0" applyNumberFormat="1" applyFont="1" applyFill="1" applyBorder="1" applyAlignment="1">
      <alignment horizontal="center" vertical="center"/>
    </xf>
    <xf numFmtId="164" fontId="7" fillId="2" borderId="2" xfId="0" applyNumberFormat="1" applyFont="1" applyFill="1" applyBorder="1" applyAlignment="1">
      <alignment horizontal="justify" vertical="center" wrapText="1"/>
    </xf>
    <xf numFmtId="164" fontId="16" fillId="2" borderId="0" xfId="0" applyNumberFormat="1" applyFont="1" applyFill="1"/>
    <xf numFmtId="49" fontId="17" fillId="2" borderId="1" xfId="0" applyNumberFormat="1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justify" vertical="center" wrapText="1"/>
    </xf>
    <xf numFmtId="164" fontId="14" fillId="0" borderId="1" xfId="0" applyNumberFormat="1" applyFont="1" applyFill="1" applyBorder="1" applyAlignment="1">
      <alignment horizontal="center" vertical="center"/>
    </xf>
    <xf numFmtId="164" fontId="14" fillId="0" borderId="2" xfId="0" applyNumberFormat="1" applyFont="1" applyFill="1" applyBorder="1" applyAlignment="1">
      <alignment horizontal="center" vertical="center"/>
    </xf>
    <xf numFmtId="164" fontId="13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justify" vertical="center" wrapText="1"/>
    </xf>
    <xf numFmtId="164" fontId="19" fillId="2" borderId="1" xfId="0" applyNumberFormat="1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justify" vertical="center" wrapText="1"/>
    </xf>
    <xf numFmtId="164" fontId="19" fillId="2" borderId="2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justify" vertical="center" wrapText="1"/>
    </xf>
    <xf numFmtId="0" fontId="13" fillId="2" borderId="2" xfId="0" applyFont="1" applyFill="1" applyBorder="1" applyAlignment="1">
      <alignment horizontal="left" vertical="center" wrapText="1"/>
    </xf>
    <xf numFmtId="164" fontId="5" fillId="0" borderId="0" xfId="0" applyNumberFormat="1" applyFont="1" applyFill="1"/>
    <xf numFmtId="49" fontId="7" fillId="2" borderId="1" xfId="0" applyNumberFormat="1" applyFont="1" applyFill="1" applyBorder="1" applyAlignment="1">
      <alignment horizontal="justify" vertical="center" wrapText="1"/>
    </xf>
    <xf numFmtId="164" fontId="14" fillId="2" borderId="2" xfId="0" applyNumberFormat="1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justify" vertical="center" wrapText="1"/>
    </xf>
    <xf numFmtId="0" fontId="5" fillId="2" borderId="2" xfId="0" applyFont="1" applyFill="1" applyBorder="1" applyAlignment="1">
      <alignment horizontal="left" vertical="center" wrapText="1"/>
    </xf>
    <xf numFmtId="164" fontId="15" fillId="2" borderId="2" xfId="0" applyNumberFormat="1" applyFont="1" applyFill="1" applyBorder="1" applyAlignment="1">
      <alignment horizontal="center" vertical="center"/>
    </xf>
    <xf numFmtId="164" fontId="6" fillId="2" borderId="0" xfId="0" applyNumberFormat="1" applyFont="1" applyFill="1"/>
    <xf numFmtId="0" fontId="13" fillId="2" borderId="1" xfId="0" applyFont="1" applyFill="1" applyBorder="1" applyAlignment="1">
      <alignment horizontal="justify" vertical="center"/>
    </xf>
    <xf numFmtId="49" fontId="13" fillId="2" borderId="1" xfId="0" applyNumberFormat="1" applyFont="1" applyFill="1" applyBorder="1" applyAlignment="1">
      <alignment horizontal="justify" vertical="center" wrapText="1"/>
    </xf>
    <xf numFmtId="0" fontId="15" fillId="2" borderId="0" xfId="0" applyFont="1" applyFill="1"/>
    <xf numFmtId="0" fontId="13" fillId="2" borderId="1" xfId="0" applyFont="1" applyFill="1" applyBorder="1" applyAlignment="1">
      <alignment horizontal="justify" vertical="center" wrapText="1"/>
    </xf>
    <xf numFmtId="0" fontId="13" fillId="2" borderId="1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center" vertical="center"/>
    </xf>
    <xf numFmtId="164" fontId="22" fillId="2" borderId="0" xfId="0" applyNumberFormat="1" applyFont="1" applyFill="1"/>
    <xf numFmtId="0" fontId="15" fillId="2" borderId="1" xfId="0" applyFont="1" applyFill="1" applyBorder="1" applyAlignment="1">
      <alignment horizontal="left" vertical="center" wrapText="1"/>
    </xf>
    <xf numFmtId="49" fontId="5" fillId="2" borderId="4" xfId="0" applyNumberFormat="1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center"/>
    </xf>
    <xf numFmtId="165" fontId="15" fillId="2" borderId="1" xfId="0" applyNumberFormat="1" applyFont="1" applyFill="1" applyBorder="1" applyAlignment="1">
      <alignment horizontal="justify" vertical="center"/>
    </xf>
    <xf numFmtId="164" fontId="15" fillId="0" borderId="1" xfId="0" applyNumberFormat="1" applyFont="1" applyFill="1" applyBorder="1" applyAlignment="1">
      <alignment horizontal="center" vertical="center"/>
    </xf>
    <xf numFmtId="164" fontId="20" fillId="2" borderId="1" xfId="0" applyNumberFormat="1" applyFont="1" applyFill="1" applyBorder="1" applyAlignment="1">
      <alignment horizontal="justify" vertical="center"/>
    </xf>
    <xf numFmtId="0" fontId="13" fillId="2" borderId="0" xfId="0" applyFont="1" applyFill="1" applyAlignment="1">
      <alignment horizontal="justify" vertical="center" wrapText="1"/>
    </xf>
    <xf numFmtId="0" fontId="13" fillId="2" borderId="2" xfId="0" applyFont="1" applyFill="1" applyBorder="1" applyAlignment="1">
      <alignment horizontal="justify" vertical="center" wrapText="1"/>
    </xf>
    <xf numFmtId="164" fontId="13" fillId="2" borderId="2" xfId="0" applyNumberFormat="1" applyFont="1" applyFill="1" applyBorder="1" applyAlignment="1">
      <alignment horizontal="center" vertical="center"/>
    </xf>
    <xf numFmtId="164" fontId="19" fillId="0" borderId="1" xfId="0" applyNumberFormat="1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left" vertical="center" wrapText="1"/>
    </xf>
    <xf numFmtId="0" fontId="13" fillId="2" borderId="4" xfId="0" applyFont="1" applyFill="1" applyBorder="1" applyAlignment="1">
      <alignment horizontal="left" vertical="center" wrapText="1"/>
    </xf>
    <xf numFmtId="0" fontId="13" fillId="2" borderId="3" xfId="0" applyFont="1" applyFill="1" applyBorder="1" applyAlignment="1">
      <alignment horizontal="left" vertical="center" wrapText="1"/>
    </xf>
    <xf numFmtId="164" fontId="13" fillId="2" borderId="2" xfId="0" applyNumberFormat="1" applyFont="1" applyFill="1" applyBorder="1" applyAlignment="1">
      <alignment horizontal="center" vertical="center"/>
    </xf>
    <xf numFmtId="164" fontId="13" fillId="2" borderId="4" xfId="0" applyNumberFormat="1" applyFont="1" applyFill="1" applyBorder="1" applyAlignment="1">
      <alignment horizontal="center" vertical="center"/>
    </xf>
    <xf numFmtId="164" fontId="13" fillId="2" borderId="3" xfId="0" applyNumberFormat="1" applyFont="1" applyFill="1" applyBorder="1" applyAlignment="1">
      <alignment horizontal="center" vertical="center"/>
    </xf>
    <xf numFmtId="49" fontId="6" fillId="2" borderId="4" xfId="0" applyNumberFormat="1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left" vertical="top" wrapText="1"/>
    </xf>
    <xf numFmtId="0" fontId="13" fillId="2" borderId="4" xfId="0" applyFont="1" applyFill="1" applyBorder="1" applyAlignment="1">
      <alignment horizontal="left" vertical="top" wrapText="1"/>
    </xf>
    <xf numFmtId="164" fontId="13" fillId="2" borderId="2" xfId="0" applyNumberFormat="1" applyFont="1" applyFill="1" applyBorder="1" applyAlignment="1">
      <alignment horizontal="center" vertical="top"/>
    </xf>
    <xf numFmtId="164" fontId="13" fillId="2" borderId="4" xfId="0" applyNumberFormat="1" applyFont="1" applyFill="1" applyBorder="1" applyAlignment="1">
      <alignment horizontal="center" vertical="top"/>
    </xf>
    <xf numFmtId="49" fontId="6" fillId="2" borderId="2" xfId="0" applyNumberFormat="1" applyFont="1" applyFill="1" applyBorder="1" applyAlignment="1">
      <alignment horizontal="center" vertical="center"/>
    </xf>
    <xf numFmtId="49" fontId="6" fillId="2" borderId="3" xfId="0" applyNumberFormat="1" applyFont="1" applyFill="1" applyBorder="1" applyAlignment="1">
      <alignment horizontal="center" vertical="center"/>
    </xf>
    <xf numFmtId="4" fontId="13" fillId="2" borderId="2" xfId="0" applyNumberFormat="1" applyFont="1" applyFill="1" applyBorder="1" applyAlignment="1">
      <alignment horizontal="center" vertical="center"/>
    </xf>
    <xf numFmtId="4" fontId="13" fillId="2" borderId="4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13" fillId="2" borderId="2" xfId="0" applyFont="1" applyFill="1" applyBorder="1" applyAlignment="1">
      <alignment horizontal="justify" vertical="center" wrapText="1"/>
    </xf>
    <xf numFmtId="0" fontId="13" fillId="2" borderId="4" xfId="0" applyFont="1" applyFill="1" applyBorder="1" applyAlignment="1">
      <alignment horizontal="justify" vertical="center" wrapText="1"/>
    </xf>
    <xf numFmtId="0" fontId="13" fillId="2" borderId="3" xfId="0" applyFont="1" applyFill="1" applyBorder="1" applyAlignment="1">
      <alignment horizontal="justify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4" fillId="0" borderId="0" xfId="0" applyNumberFormat="1" applyFont="1" applyFill="1" applyAlignment="1">
      <alignment vertical="center"/>
    </xf>
    <xf numFmtId="49" fontId="6" fillId="2" borderId="2" xfId="0" applyNumberFormat="1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justify" vertical="center" wrapText="1"/>
    </xf>
    <xf numFmtId="164" fontId="13" fillId="2" borderId="2" xfId="0" applyNumberFormat="1" applyFont="1" applyFill="1" applyBorder="1" applyAlignment="1">
      <alignment horizontal="center" vertical="center" wrapText="1"/>
    </xf>
    <xf numFmtId="164" fontId="13" fillId="0" borderId="2" xfId="0" applyNumberFormat="1" applyFont="1" applyFill="1" applyBorder="1" applyAlignment="1">
      <alignment horizontal="center" vertical="center"/>
    </xf>
    <xf numFmtId="164" fontId="13" fillId="0" borderId="4" xfId="0" applyNumberFormat="1" applyFont="1" applyFill="1" applyBorder="1" applyAlignment="1">
      <alignment horizontal="center" vertical="center"/>
    </xf>
  </cellXfs>
  <cellStyles count="16">
    <cellStyle name="Normal" xfId="1"/>
    <cellStyle name="Обычный" xfId="0" builtinId="0"/>
    <cellStyle name="Обычный 2" xfId="2"/>
    <cellStyle name="Обычный 2 2" xfId="3"/>
    <cellStyle name="Обычный 3" xfId="4"/>
    <cellStyle name="Обычный 4" xfId="5"/>
    <cellStyle name="Обычный 5" xfId="6"/>
    <cellStyle name="Обычный 5 2" xfId="7"/>
    <cellStyle name="Обычный 5 3" xfId="8"/>
    <cellStyle name="Обычный 6" xfId="9"/>
    <cellStyle name="Обычный 6 2" xfId="10"/>
    <cellStyle name="Обычный 7" xfId="11"/>
    <cellStyle name="Обычный 7 2" xfId="12"/>
    <cellStyle name="Обычный 7 3" xfId="13"/>
    <cellStyle name="Обычный 8" xfId="14"/>
    <cellStyle name="Финансовый 2 2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2">
    <tabColor rgb="FFFFC000"/>
    <pageSetUpPr fitToPage="1"/>
  </sheetPr>
  <dimension ref="A1:I161"/>
  <sheetViews>
    <sheetView tabSelected="1" workbookViewId="0">
      <pane xSplit="2" ySplit="4" topLeftCell="C8" activePane="bottomRight" state="frozen"/>
      <selection pane="topRight" activeCell="C1" sqref="C1"/>
      <selection pane="bottomLeft" activeCell="A5" sqref="A5"/>
      <selection pane="bottomRight" activeCell="F14" sqref="F14"/>
    </sheetView>
  </sheetViews>
  <sheetFormatPr defaultColWidth="14.42578125" defaultRowHeight="15.75"/>
  <cols>
    <col min="1" max="1" width="7.5703125" style="5" customWidth="1"/>
    <col min="2" max="2" width="48.5703125" style="3" customWidth="1"/>
    <col min="3" max="3" width="16.85546875" style="4" customWidth="1"/>
    <col min="4" max="4" width="15.140625" style="4" customWidth="1"/>
    <col min="5" max="5" width="13.5703125" style="4" customWidth="1"/>
    <col min="6" max="6" width="14.140625" style="4" customWidth="1"/>
    <col min="7" max="7" width="71.5703125" style="15" customWidth="1"/>
    <col min="8" max="8" width="15" style="1" customWidth="1"/>
    <col min="9" max="9" width="12.7109375" style="1" bestFit="1" customWidth="1"/>
    <col min="10" max="20" width="9.140625" style="1" customWidth="1"/>
    <col min="21" max="21" width="60.42578125" style="1" customWidth="1"/>
    <col min="22" max="22" width="0" style="1" hidden="1" customWidth="1"/>
    <col min="23" max="23" width="14.7109375" style="1" customWidth="1"/>
    <col min="24" max="24" width="14.5703125" style="1" customWidth="1"/>
    <col min="25" max="25" width="0" style="1" hidden="1" customWidth="1"/>
    <col min="26" max="26" width="14.5703125" style="1" customWidth="1"/>
    <col min="27" max="27" width="15" style="1" customWidth="1"/>
    <col min="28" max="29" width="14.5703125" style="1" customWidth="1"/>
    <col min="30" max="16384" width="14.42578125" style="1"/>
  </cols>
  <sheetData>
    <row r="1" spans="1:8">
      <c r="G1" s="18" t="s">
        <v>1</v>
      </c>
    </row>
    <row r="2" spans="1:8" ht="33.75" customHeight="1">
      <c r="A2" s="90" t="s">
        <v>10</v>
      </c>
      <c r="B2" s="90"/>
      <c r="C2" s="90"/>
      <c r="D2" s="90"/>
      <c r="E2" s="90"/>
      <c r="F2" s="90"/>
      <c r="G2" s="91"/>
    </row>
    <row r="3" spans="1:8">
      <c r="A3" s="2"/>
      <c r="G3" s="16" t="s">
        <v>0</v>
      </c>
    </row>
    <row r="4" spans="1:8" ht="45">
      <c r="A4" s="6" t="s">
        <v>2</v>
      </c>
      <c r="B4" s="7" t="s">
        <v>3</v>
      </c>
      <c r="C4" s="8" t="s">
        <v>4</v>
      </c>
      <c r="D4" s="8" t="s">
        <v>5</v>
      </c>
      <c r="E4" s="8" t="s">
        <v>6</v>
      </c>
      <c r="F4" s="9" t="s">
        <v>7</v>
      </c>
      <c r="G4" s="17" t="s">
        <v>8</v>
      </c>
      <c r="H4" s="11"/>
    </row>
    <row r="5" spans="1:8">
      <c r="A5" s="12" t="s">
        <v>9</v>
      </c>
      <c r="B5" s="10">
        <v>2</v>
      </c>
      <c r="C5" s="13">
        <v>3</v>
      </c>
      <c r="D5" s="13">
        <v>4</v>
      </c>
      <c r="E5" s="13">
        <v>5</v>
      </c>
      <c r="F5" s="14"/>
      <c r="G5" s="10">
        <v>6</v>
      </c>
    </row>
    <row r="6" spans="1:8">
      <c r="A6" s="19" t="s">
        <v>11</v>
      </c>
      <c r="B6" s="20" t="s">
        <v>12</v>
      </c>
      <c r="C6" s="21">
        <f>SUM(C7:C20)-C20</f>
        <v>592915.9</v>
      </c>
      <c r="D6" s="21">
        <f>SUM(D7:D20)-D20</f>
        <v>610892</v>
      </c>
      <c r="E6" s="21">
        <f>SUM(E7:E17)</f>
        <v>17976.100000000013</v>
      </c>
      <c r="F6" s="21">
        <f>SUM(F8:F19)</f>
        <v>17976.100000000002</v>
      </c>
      <c r="G6" s="22"/>
      <c r="H6" s="23">
        <f>E6-F6</f>
        <v>0</v>
      </c>
    </row>
    <row r="7" spans="1:8" ht="30">
      <c r="A7" s="92"/>
      <c r="B7" s="70" t="s">
        <v>13</v>
      </c>
      <c r="C7" s="73">
        <v>395905</v>
      </c>
      <c r="D7" s="73">
        <f>409951.3-1793.8+1500-16.8</f>
        <v>409640.7</v>
      </c>
      <c r="E7" s="73">
        <f>D7-C7</f>
        <v>13735.700000000012</v>
      </c>
      <c r="F7" s="24"/>
      <c r="G7" s="25" t="s">
        <v>14</v>
      </c>
      <c r="H7" s="23"/>
    </row>
    <row r="8" spans="1:8" ht="30">
      <c r="A8" s="93"/>
      <c r="B8" s="71"/>
      <c r="C8" s="74"/>
      <c r="D8" s="74"/>
      <c r="E8" s="74"/>
      <c r="F8" s="26">
        <v>-5136.2</v>
      </c>
      <c r="G8" s="25" t="s">
        <v>121</v>
      </c>
      <c r="H8" s="23"/>
    </row>
    <row r="9" spans="1:8" ht="30">
      <c r="A9" s="93"/>
      <c r="B9" s="71"/>
      <c r="C9" s="74"/>
      <c r="D9" s="74"/>
      <c r="E9" s="74"/>
      <c r="F9" s="26">
        <v>-60.9</v>
      </c>
      <c r="G9" s="25" t="s">
        <v>15</v>
      </c>
      <c r="H9" s="23"/>
    </row>
    <row r="10" spans="1:8" ht="30">
      <c r="A10" s="93"/>
      <c r="B10" s="71"/>
      <c r="C10" s="74"/>
      <c r="D10" s="74"/>
      <c r="E10" s="74"/>
      <c r="F10" s="26"/>
      <c r="G10" s="25" t="s">
        <v>148</v>
      </c>
      <c r="H10" s="23"/>
    </row>
    <row r="11" spans="1:8" ht="30">
      <c r="A11" s="93"/>
      <c r="B11" s="71"/>
      <c r="C11" s="74"/>
      <c r="D11" s="74"/>
      <c r="E11" s="74"/>
      <c r="F11" s="26">
        <v>12064</v>
      </c>
      <c r="G11" s="25" t="s">
        <v>122</v>
      </c>
      <c r="H11" s="23"/>
    </row>
    <row r="12" spans="1:8" ht="45">
      <c r="A12" s="93"/>
      <c r="B12" s="71"/>
      <c r="C12" s="74"/>
      <c r="D12" s="74"/>
      <c r="E12" s="74"/>
      <c r="F12" s="26">
        <f>5+182.3+1026.9+292.8+500+200+1150-16.8</f>
        <v>3340.2</v>
      </c>
      <c r="G12" s="25" t="s">
        <v>154</v>
      </c>
      <c r="H12" s="23"/>
    </row>
    <row r="13" spans="1:8" ht="30">
      <c r="A13" s="93"/>
      <c r="B13" s="71"/>
      <c r="C13" s="74"/>
      <c r="D13" s="74"/>
      <c r="E13" s="74"/>
      <c r="F13" s="26">
        <v>731.9</v>
      </c>
      <c r="G13" s="25" t="s">
        <v>16</v>
      </c>
      <c r="H13" s="23"/>
    </row>
    <row r="14" spans="1:8" ht="30">
      <c r="A14" s="93"/>
      <c r="B14" s="71"/>
      <c r="C14" s="74"/>
      <c r="D14" s="74"/>
      <c r="E14" s="74"/>
      <c r="F14" s="26">
        <f>610+600+86.7+1500</f>
        <v>2796.7</v>
      </c>
      <c r="G14" s="25" t="s">
        <v>153</v>
      </c>
      <c r="H14" s="23"/>
    </row>
    <row r="15" spans="1:8" ht="40.5">
      <c r="A15" s="93"/>
      <c r="B15" s="87" t="s">
        <v>17</v>
      </c>
      <c r="C15" s="96">
        <v>43945.4</v>
      </c>
      <c r="D15" s="96">
        <v>44845.2</v>
      </c>
      <c r="E15" s="73">
        <f t="shared" ref="E15" si="0">D15-C15</f>
        <v>899.79999999999563</v>
      </c>
      <c r="F15" s="27">
        <v>-248.9</v>
      </c>
      <c r="G15" s="28" t="s">
        <v>123</v>
      </c>
      <c r="H15" s="23"/>
    </row>
    <row r="16" spans="1:8" ht="30">
      <c r="A16" s="93"/>
      <c r="B16" s="95"/>
      <c r="C16" s="94"/>
      <c r="D16" s="94"/>
      <c r="E16" s="86"/>
      <c r="F16" s="29">
        <v>1148.7</v>
      </c>
      <c r="G16" s="25" t="s">
        <v>124</v>
      </c>
      <c r="H16" s="23"/>
    </row>
    <row r="17" spans="1:9" ht="40.5">
      <c r="A17" s="93"/>
      <c r="B17" s="70" t="s">
        <v>18</v>
      </c>
      <c r="C17" s="73">
        <v>153065.5</v>
      </c>
      <c r="D17" s="73">
        <v>156406.1</v>
      </c>
      <c r="E17" s="97">
        <f>D17-C17</f>
        <v>3340.6000000000058</v>
      </c>
      <c r="F17" s="30">
        <v>4189.8999999999996</v>
      </c>
      <c r="G17" s="31" t="s">
        <v>147</v>
      </c>
      <c r="H17" s="23"/>
      <c r="I17" s="32"/>
    </row>
    <row r="18" spans="1:9" ht="40.5">
      <c r="A18" s="93"/>
      <c r="B18" s="71"/>
      <c r="C18" s="74"/>
      <c r="D18" s="74"/>
      <c r="E18" s="98"/>
      <c r="F18" s="30">
        <v>-2715</v>
      </c>
      <c r="G18" s="31" t="s">
        <v>19</v>
      </c>
      <c r="H18" s="23"/>
      <c r="I18" s="32"/>
    </row>
    <row r="19" spans="1:9" ht="30">
      <c r="A19" s="94"/>
      <c r="B19" s="85"/>
      <c r="C19" s="86"/>
      <c r="D19" s="86"/>
      <c r="E19" s="86"/>
      <c r="F19" s="30">
        <v>1865.7</v>
      </c>
      <c r="G19" s="25" t="s">
        <v>125</v>
      </c>
      <c r="H19" s="23"/>
      <c r="I19" s="32"/>
    </row>
    <row r="20" spans="1:9" ht="63.75">
      <c r="A20" s="33" t="s">
        <v>20</v>
      </c>
      <c r="B20" s="34" t="s">
        <v>21</v>
      </c>
      <c r="C20" s="27">
        <v>58918.400000000001</v>
      </c>
      <c r="D20" s="35">
        <f>61880+1228.3</f>
        <v>63108.3</v>
      </c>
      <c r="E20" s="36">
        <f>D20-C20</f>
        <v>4189.9000000000015</v>
      </c>
      <c r="F20" s="37"/>
      <c r="G20" s="38"/>
      <c r="H20" s="23"/>
      <c r="I20" s="23"/>
    </row>
    <row r="21" spans="1:9" ht="42.75">
      <c r="A21" s="19" t="s">
        <v>22</v>
      </c>
      <c r="B21" s="20" t="s">
        <v>23</v>
      </c>
      <c r="C21" s="21">
        <f>C22</f>
        <v>93016</v>
      </c>
      <c r="D21" s="21">
        <f>D22</f>
        <v>99647.9</v>
      </c>
      <c r="E21" s="21">
        <f t="shared" ref="E21" si="1">D21-C21</f>
        <v>6631.8999999999942</v>
      </c>
      <c r="F21" s="39">
        <f>SUM(F23:F27)</f>
        <v>6631.9</v>
      </c>
      <c r="G21" s="40"/>
      <c r="H21" s="23">
        <f>E21-F21</f>
        <v>0</v>
      </c>
    </row>
    <row r="22" spans="1:9">
      <c r="A22" s="81"/>
      <c r="B22" s="70" t="s">
        <v>24</v>
      </c>
      <c r="C22" s="73">
        <v>93016</v>
      </c>
      <c r="D22" s="73">
        <f>98693.5+954.4</f>
        <v>99647.9</v>
      </c>
      <c r="E22" s="73">
        <f>D22-C22</f>
        <v>6631.8999999999942</v>
      </c>
      <c r="F22" s="41"/>
      <c r="G22" s="42"/>
      <c r="H22" s="23"/>
    </row>
    <row r="23" spans="1:9" ht="54">
      <c r="A23" s="76"/>
      <c r="B23" s="71"/>
      <c r="C23" s="74"/>
      <c r="D23" s="74"/>
      <c r="E23" s="74"/>
      <c r="F23" s="30">
        <f>5730+200+954.4</f>
        <v>6884.4</v>
      </c>
      <c r="G23" s="31" t="s">
        <v>110</v>
      </c>
      <c r="H23" s="23"/>
    </row>
    <row r="24" spans="1:9" ht="40.5">
      <c r="A24" s="76"/>
      <c r="B24" s="71"/>
      <c r="C24" s="74"/>
      <c r="D24" s="74"/>
      <c r="E24" s="74"/>
      <c r="F24" s="30">
        <v>1000</v>
      </c>
      <c r="G24" s="31" t="s">
        <v>25</v>
      </c>
      <c r="H24" s="23"/>
    </row>
    <row r="25" spans="1:9" ht="27">
      <c r="A25" s="76"/>
      <c r="B25" s="71"/>
      <c r="C25" s="74"/>
      <c r="D25" s="74"/>
      <c r="E25" s="74"/>
      <c r="F25" s="30"/>
      <c r="G25" s="31" t="s">
        <v>26</v>
      </c>
      <c r="H25" s="23"/>
    </row>
    <row r="26" spans="1:9" ht="27">
      <c r="A26" s="76"/>
      <c r="B26" s="71"/>
      <c r="C26" s="74"/>
      <c r="D26" s="74"/>
      <c r="E26" s="74"/>
      <c r="F26" s="68">
        <f>-625.9-500-86.7</f>
        <v>-1212.6000000000001</v>
      </c>
      <c r="G26" s="31" t="s">
        <v>142</v>
      </c>
      <c r="H26" s="23"/>
    </row>
    <row r="27" spans="1:9" ht="27">
      <c r="A27" s="82"/>
      <c r="B27" s="72"/>
      <c r="C27" s="75"/>
      <c r="D27" s="75"/>
      <c r="E27" s="75"/>
      <c r="F27" s="30">
        <v>-39.9</v>
      </c>
      <c r="G27" s="31" t="s">
        <v>27</v>
      </c>
      <c r="H27" s="23"/>
    </row>
    <row r="28" spans="1:9">
      <c r="A28" s="19" t="s">
        <v>28</v>
      </c>
      <c r="B28" s="20" t="s">
        <v>29</v>
      </c>
      <c r="C28" s="21">
        <f>SUM(C29:C45)</f>
        <v>1149857.7</v>
      </c>
      <c r="D28" s="21">
        <f>SUM(D29:D45)</f>
        <v>1166414.2999999998</v>
      </c>
      <c r="E28" s="21">
        <f>SUM(E29:E45)</f>
        <v>16556.599999999773</v>
      </c>
      <c r="F28" s="21">
        <f>SUM(F29:F45)</f>
        <v>16556.600000000006</v>
      </c>
      <c r="G28" s="38"/>
      <c r="H28" s="23">
        <f>SUM(E28-F28)</f>
        <v>-2.3283064365386963E-10</v>
      </c>
    </row>
    <row r="29" spans="1:9" ht="27">
      <c r="A29" s="81"/>
      <c r="B29" s="87" t="s">
        <v>30</v>
      </c>
      <c r="C29" s="73">
        <v>1132326.3</v>
      </c>
      <c r="D29" s="73">
        <f>1048205+500+7681.4+5213.9+3250</f>
        <v>1064850.2999999998</v>
      </c>
      <c r="E29" s="73">
        <f>D29-C29</f>
        <v>-67476.000000000233</v>
      </c>
      <c r="F29" s="21"/>
      <c r="G29" s="38" t="s">
        <v>118</v>
      </c>
      <c r="H29" s="23"/>
    </row>
    <row r="30" spans="1:9" ht="27">
      <c r="A30" s="76"/>
      <c r="B30" s="88"/>
      <c r="C30" s="74"/>
      <c r="D30" s="74"/>
      <c r="E30" s="74"/>
      <c r="F30" s="37">
        <f>-2700-550</f>
        <v>-3250</v>
      </c>
      <c r="G30" s="38" t="s">
        <v>127</v>
      </c>
      <c r="H30" s="23"/>
    </row>
    <row r="31" spans="1:9" ht="27">
      <c r="A31" s="76"/>
      <c r="B31" s="88"/>
      <c r="C31" s="74"/>
      <c r="D31" s="74"/>
      <c r="E31" s="74"/>
      <c r="F31" s="37">
        <v>-1427.2</v>
      </c>
      <c r="G31" s="38" t="s">
        <v>31</v>
      </c>
      <c r="H31" s="23"/>
    </row>
    <row r="32" spans="1:9" ht="27">
      <c r="A32" s="76"/>
      <c r="B32" s="88"/>
      <c r="C32" s="74"/>
      <c r="D32" s="74"/>
      <c r="E32" s="74"/>
      <c r="F32" s="37">
        <f>-84005.6-27</f>
        <v>-84032.6</v>
      </c>
      <c r="G32" s="38" t="s">
        <v>126</v>
      </c>
      <c r="H32" s="23"/>
    </row>
    <row r="33" spans="1:8" ht="27">
      <c r="A33" s="76"/>
      <c r="B33" s="88"/>
      <c r="C33" s="74"/>
      <c r="D33" s="74"/>
      <c r="E33" s="74"/>
      <c r="F33" s="37">
        <f>-3469.2-16.1</f>
        <v>-3485.2999999999997</v>
      </c>
      <c r="G33" s="38" t="s">
        <v>32</v>
      </c>
      <c r="H33" s="23"/>
    </row>
    <row r="34" spans="1:8" ht="40.5">
      <c r="A34" s="76"/>
      <c r="B34" s="88"/>
      <c r="C34" s="74"/>
      <c r="D34" s="74"/>
      <c r="E34" s="74"/>
      <c r="F34" s="37">
        <f>-200-600</f>
        <v>-800</v>
      </c>
      <c r="G34" s="38" t="s">
        <v>128</v>
      </c>
      <c r="H34" s="23"/>
    </row>
    <row r="35" spans="1:8">
      <c r="A35" s="76"/>
      <c r="B35" s="88"/>
      <c r="C35" s="74"/>
      <c r="D35" s="74"/>
      <c r="E35" s="74"/>
      <c r="F35" s="37">
        <v>-3147.7</v>
      </c>
      <c r="G35" s="38" t="s">
        <v>33</v>
      </c>
      <c r="H35" s="23"/>
    </row>
    <row r="36" spans="1:8" ht="27">
      <c r="A36" s="76"/>
      <c r="B36" s="88"/>
      <c r="C36" s="74"/>
      <c r="D36" s="74"/>
      <c r="E36" s="74"/>
      <c r="F36" s="37"/>
      <c r="G36" s="38" t="s">
        <v>116</v>
      </c>
      <c r="H36" s="23"/>
    </row>
    <row r="37" spans="1:8" ht="27">
      <c r="A37" s="76"/>
      <c r="B37" s="88"/>
      <c r="C37" s="74"/>
      <c r="D37" s="74"/>
      <c r="E37" s="74"/>
      <c r="F37" s="37">
        <f>1000+7490.3</f>
        <v>8490.2999999999993</v>
      </c>
      <c r="G37" s="38" t="s">
        <v>34</v>
      </c>
      <c r="H37" s="23"/>
    </row>
    <row r="38" spans="1:8" ht="27">
      <c r="A38" s="76"/>
      <c r="B38" s="88"/>
      <c r="C38" s="74"/>
      <c r="D38" s="74"/>
      <c r="E38" s="74"/>
      <c r="F38" s="37">
        <f>1900.2-267.1</f>
        <v>1633.1</v>
      </c>
      <c r="G38" s="38" t="s">
        <v>35</v>
      </c>
      <c r="H38" s="23"/>
    </row>
    <row r="39" spans="1:8" ht="27">
      <c r="A39" s="76"/>
      <c r="B39" s="88"/>
      <c r="C39" s="74"/>
      <c r="D39" s="74"/>
      <c r="E39" s="74"/>
      <c r="F39" s="37">
        <v>36</v>
      </c>
      <c r="G39" s="38" t="s">
        <v>36</v>
      </c>
      <c r="H39" s="23"/>
    </row>
    <row r="40" spans="1:8" ht="27">
      <c r="A40" s="76"/>
      <c r="B40" s="88"/>
      <c r="C40" s="74"/>
      <c r="D40" s="74"/>
      <c r="E40" s="74"/>
      <c r="F40" s="37">
        <v>5213.8999999999996</v>
      </c>
      <c r="G40" s="38" t="s">
        <v>151</v>
      </c>
      <c r="H40" s="23"/>
    </row>
    <row r="41" spans="1:8" ht="27">
      <c r="A41" s="76"/>
      <c r="B41" s="88"/>
      <c r="C41" s="74"/>
      <c r="D41" s="74"/>
      <c r="E41" s="74"/>
      <c r="F41" s="37">
        <v>3250</v>
      </c>
      <c r="G41" s="38" t="s">
        <v>111</v>
      </c>
      <c r="H41" s="23"/>
    </row>
    <row r="42" spans="1:8" ht="40.5">
      <c r="A42" s="76"/>
      <c r="B42" s="88"/>
      <c r="C42" s="74"/>
      <c r="D42" s="74"/>
      <c r="E42" s="74"/>
      <c r="F42" s="37">
        <v>7681.4</v>
      </c>
      <c r="G42" s="38" t="s">
        <v>112</v>
      </c>
      <c r="H42" s="23"/>
    </row>
    <row r="43" spans="1:8" ht="27">
      <c r="A43" s="76"/>
      <c r="B43" s="88"/>
      <c r="C43" s="74"/>
      <c r="D43" s="74"/>
      <c r="E43" s="74"/>
      <c r="F43" s="37">
        <v>500</v>
      </c>
      <c r="G43" s="38" t="s">
        <v>113</v>
      </c>
      <c r="H43" s="23"/>
    </row>
    <row r="44" spans="1:8" ht="27">
      <c r="A44" s="76"/>
      <c r="B44" s="89"/>
      <c r="C44" s="75"/>
      <c r="D44" s="75"/>
      <c r="E44" s="75"/>
      <c r="F44" s="37">
        <v>1862.1</v>
      </c>
      <c r="G44" s="38" t="s">
        <v>37</v>
      </c>
      <c r="H44" s="23"/>
    </row>
    <row r="45" spans="1:8" ht="30">
      <c r="A45" s="82"/>
      <c r="B45" s="67" t="s">
        <v>38</v>
      </c>
      <c r="C45" s="30">
        <v>17531.400000000001</v>
      </c>
      <c r="D45" s="30">
        <v>101564</v>
      </c>
      <c r="E45" s="30">
        <f>D45-C45</f>
        <v>84032.6</v>
      </c>
      <c r="F45" s="37">
        <f>84005.6+27</f>
        <v>84032.6</v>
      </c>
      <c r="G45" s="38" t="s">
        <v>39</v>
      </c>
      <c r="H45" s="23"/>
    </row>
    <row r="46" spans="1:8" ht="28.5">
      <c r="A46" s="19" t="s">
        <v>40</v>
      </c>
      <c r="B46" s="20" t="s">
        <v>41</v>
      </c>
      <c r="C46" s="21">
        <f>SUM(C47:C47)</f>
        <v>455454.3</v>
      </c>
      <c r="D46" s="21">
        <f>SUM(D47:D47)</f>
        <v>455575.70000000007</v>
      </c>
      <c r="E46" s="21">
        <f>SUM(E47:E47)</f>
        <v>121.40000000008149</v>
      </c>
      <c r="F46" s="21">
        <f>SUM(F47:F60)</f>
        <v>121.40000000000691</v>
      </c>
      <c r="G46" s="38"/>
      <c r="H46" s="44">
        <f>SUM(E46-F46)</f>
        <v>7.4578565545380116E-11</v>
      </c>
    </row>
    <row r="47" spans="1:8" ht="27">
      <c r="A47" s="81"/>
      <c r="B47" s="77" t="s">
        <v>42</v>
      </c>
      <c r="C47" s="79">
        <v>455454.3</v>
      </c>
      <c r="D47" s="79">
        <f>547576.4-102272.3-99.8-1009+11380.4</f>
        <v>455575.70000000007</v>
      </c>
      <c r="E47" s="79">
        <f>D47-C47</f>
        <v>121.40000000008149</v>
      </c>
      <c r="F47" s="21"/>
      <c r="G47" s="38" t="s">
        <v>115</v>
      </c>
      <c r="H47" s="44"/>
    </row>
    <row r="48" spans="1:8" ht="27">
      <c r="A48" s="76"/>
      <c r="B48" s="78"/>
      <c r="C48" s="80"/>
      <c r="D48" s="80"/>
      <c r="E48" s="80"/>
      <c r="F48" s="37">
        <f>-15355.3-4747.9</f>
        <v>-20103.199999999997</v>
      </c>
      <c r="G48" s="38" t="s">
        <v>129</v>
      </c>
      <c r="H48" s="44"/>
    </row>
    <row r="49" spans="1:8" ht="40.5">
      <c r="A49" s="76"/>
      <c r="B49" s="78"/>
      <c r="C49" s="80"/>
      <c r="D49" s="80"/>
      <c r="E49" s="80"/>
      <c r="F49" s="37">
        <f>-1119.1-14-453.8-10.3-18.5-1466.2-355.1+0.2-1009</f>
        <v>-4445.7999999999993</v>
      </c>
      <c r="G49" s="38" t="s">
        <v>114</v>
      </c>
      <c r="H49" s="44"/>
    </row>
    <row r="50" spans="1:8" ht="27">
      <c r="A50" s="76"/>
      <c r="B50" s="78"/>
      <c r="C50" s="80"/>
      <c r="D50" s="80"/>
      <c r="E50" s="80"/>
      <c r="F50" s="37">
        <f>-1000-7490.3-9954.5</f>
        <v>-18444.8</v>
      </c>
      <c r="G50" s="38" t="s">
        <v>43</v>
      </c>
      <c r="H50" s="44"/>
    </row>
    <row r="51" spans="1:8" ht="27">
      <c r="A51" s="76"/>
      <c r="B51" s="78"/>
      <c r="C51" s="80"/>
      <c r="D51" s="80"/>
      <c r="E51" s="80"/>
      <c r="F51" s="37">
        <f>-1900.2+267.1</f>
        <v>-1633.1</v>
      </c>
      <c r="G51" s="38" t="s">
        <v>44</v>
      </c>
      <c r="H51" s="44"/>
    </row>
    <row r="52" spans="1:8" ht="40.5">
      <c r="A52" s="76"/>
      <c r="B52" s="78"/>
      <c r="C52" s="80"/>
      <c r="D52" s="80"/>
      <c r="E52" s="80"/>
      <c r="F52" s="37">
        <f>-72-36</f>
        <v>-108</v>
      </c>
      <c r="G52" s="38" t="s">
        <v>45</v>
      </c>
      <c r="H52" s="44"/>
    </row>
    <row r="53" spans="1:8" ht="27">
      <c r="A53" s="76"/>
      <c r="B53" s="78"/>
      <c r="C53" s="80"/>
      <c r="D53" s="80"/>
      <c r="E53" s="80"/>
      <c r="F53" s="37"/>
      <c r="G53" s="38" t="s">
        <v>117</v>
      </c>
      <c r="H53" s="44"/>
    </row>
    <row r="54" spans="1:8" ht="27">
      <c r="A54" s="76"/>
      <c r="B54" s="78"/>
      <c r="C54" s="80"/>
      <c r="D54" s="80"/>
      <c r="E54" s="80"/>
      <c r="F54" s="37">
        <f>7500+2500</f>
        <v>10000</v>
      </c>
      <c r="G54" s="38" t="s">
        <v>119</v>
      </c>
      <c r="H54" s="44"/>
    </row>
    <row r="55" spans="1:8" ht="54">
      <c r="A55" s="76"/>
      <c r="B55" s="78"/>
      <c r="C55" s="80"/>
      <c r="D55" s="80"/>
      <c r="E55" s="80"/>
      <c r="F55" s="37">
        <f>11380.4-2500</f>
        <v>8880.4</v>
      </c>
      <c r="G55" s="38" t="s">
        <v>143</v>
      </c>
      <c r="H55" s="44"/>
    </row>
    <row r="56" spans="1:8" ht="40.5">
      <c r="A56" s="76"/>
      <c r="B56" s="78"/>
      <c r="C56" s="80"/>
      <c r="D56" s="80"/>
      <c r="E56" s="80"/>
      <c r="F56" s="37">
        <v>554.70000000000005</v>
      </c>
      <c r="G56" s="38" t="s">
        <v>46</v>
      </c>
      <c r="H56" s="44"/>
    </row>
    <row r="57" spans="1:8" ht="67.5">
      <c r="A57" s="76"/>
      <c r="B57" s="78"/>
      <c r="C57" s="80"/>
      <c r="D57" s="80"/>
      <c r="E57" s="80"/>
      <c r="F57" s="37">
        <v>18369.8</v>
      </c>
      <c r="G57" s="38" t="s">
        <v>47</v>
      </c>
      <c r="H57" s="44"/>
    </row>
    <row r="58" spans="1:8">
      <c r="A58" s="76"/>
      <c r="B58" s="78"/>
      <c r="C58" s="80"/>
      <c r="D58" s="80"/>
      <c r="E58" s="80"/>
      <c r="F58" s="37">
        <v>60.9</v>
      </c>
      <c r="G58" s="38" t="s">
        <v>48</v>
      </c>
      <c r="H58" s="44"/>
    </row>
    <row r="59" spans="1:8" ht="27">
      <c r="A59" s="76"/>
      <c r="B59" s="78"/>
      <c r="C59" s="80"/>
      <c r="D59" s="80"/>
      <c r="E59" s="80"/>
      <c r="F59" s="37">
        <v>3147.7</v>
      </c>
      <c r="G59" s="38" t="s">
        <v>49</v>
      </c>
      <c r="H59" s="44"/>
    </row>
    <row r="60" spans="1:8" ht="40.5">
      <c r="A60" s="76"/>
      <c r="B60" s="78"/>
      <c r="C60" s="80"/>
      <c r="D60" s="80"/>
      <c r="E60" s="80"/>
      <c r="F60" s="37">
        <v>3842.8</v>
      </c>
      <c r="G60" s="38" t="s">
        <v>50</v>
      </c>
      <c r="H60" s="44"/>
    </row>
    <row r="61" spans="1:8">
      <c r="A61" s="19" t="s">
        <v>51</v>
      </c>
      <c r="B61" s="20" t="s">
        <v>52</v>
      </c>
      <c r="C61" s="21">
        <f>C62+C69</f>
        <v>47487.7</v>
      </c>
      <c r="D61" s="21">
        <f>D62+D69</f>
        <v>46700.800000000003</v>
      </c>
      <c r="E61" s="21">
        <f>E62+E69</f>
        <v>-786.89999999999782</v>
      </c>
      <c r="F61" s="21">
        <f>SUM(F63:F69)</f>
        <v>-786.89999999999986</v>
      </c>
      <c r="G61" s="38"/>
      <c r="H61" s="23">
        <f t="shared" ref="H61" si="2">SUM(E61-F61)</f>
        <v>2.0463630789890885E-12</v>
      </c>
    </row>
    <row r="62" spans="1:8" ht="27">
      <c r="A62" s="81"/>
      <c r="B62" s="70" t="s">
        <v>53</v>
      </c>
      <c r="C62" s="73">
        <v>23021.1</v>
      </c>
      <c r="D62" s="73">
        <v>22234.2</v>
      </c>
      <c r="E62" s="73">
        <f>D62-C62</f>
        <v>-786.89999999999782</v>
      </c>
      <c r="F62" s="21"/>
      <c r="G62" s="38" t="s">
        <v>54</v>
      </c>
      <c r="H62" s="23"/>
    </row>
    <row r="63" spans="1:8" ht="40.5">
      <c r="A63" s="76"/>
      <c r="B63" s="71"/>
      <c r="C63" s="74"/>
      <c r="D63" s="74"/>
      <c r="E63" s="74"/>
      <c r="F63" s="9">
        <f>-463.9-431.5-170.2</f>
        <v>-1065.5999999999999</v>
      </c>
      <c r="G63" s="45" t="s">
        <v>55</v>
      </c>
      <c r="H63" s="11"/>
    </row>
    <row r="64" spans="1:8" ht="27">
      <c r="A64" s="76"/>
      <c r="B64" s="71"/>
      <c r="C64" s="74"/>
      <c r="D64" s="74"/>
      <c r="E64" s="74"/>
      <c r="F64" s="46">
        <v>-454</v>
      </c>
      <c r="G64" s="47" t="s">
        <v>135</v>
      </c>
      <c r="H64" s="11"/>
    </row>
    <row r="65" spans="1:8" ht="27">
      <c r="A65" s="76"/>
      <c r="B65" s="71"/>
      <c r="C65" s="74"/>
      <c r="D65" s="74"/>
      <c r="E65" s="74"/>
      <c r="F65" s="46"/>
      <c r="G65" s="47" t="s">
        <v>56</v>
      </c>
      <c r="H65" s="11"/>
    </row>
    <row r="66" spans="1:8" ht="27">
      <c r="A66" s="76"/>
      <c r="B66" s="71"/>
      <c r="C66" s="74"/>
      <c r="D66" s="74"/>
      <c r="E66" s="74"/>
      <c r="F66" s="46">
        <v>350</v>
      </c>
      <c r="G66" s="47" t="s">
        <v>57</v>
      </c>
      <c r="H66" s="11"/>
    </row>
    <row r="67" spans="1:8" ht="27">
      <c r="A67" s="76"/>
      <c r="B67" s="71"/>
      <c r="C67" s="74"/>
      <c r="D67" s="74"/>
      <c r="E67" s="74"/>
      <c r="F67" s="46">
        <v>266</v>
      </c>
      <c r="G67" s="47" t="s">
        <v>58</v>
      </c>
      <c r="H67" s="11"/>
    </row>
    <row r="68" spans="1:8" ht="27">
      <c r="A68" s="76"/>
      <c r="B68" s="72"/>
      <c r="C68" s="75"/>
      <c r="D68" s="75"/>
      <c r="E68" s="75"/>
      <c r="F68" s="46">
        <v>116.7</v>
      </c>
      <c r="G68" s="47" t="s">
        <v>59</v>
      </c>
      <c r="H68" s="11"/>
    </row>
    <row r="69" spans="1:8" ht="31.5">
      <c r="A69" s="82"/>
      <c r="B69" s="48" t="s">
        <v>18</v>
      </c>
      <c r="C69" s="30">
        <v>24466.6</v>
      </c>
      <c r="D69" s="30">
        <v>24466.6</v>
      </c>
      <c r="E69" s="37">
        <f>D69-C69</f>
        <v>0</v>
      </c>
      <c r="F69" s="46"/>
      <c r="G69" s="31"/>
      <c r="H69" s="11"/>
    </row>
    <row r="70" spans="1:8">
      <c r="A70" s="19" t="s">
        <v>60</v>
      </c>
      <c r="B70" s="20" t="s">
        <v>61</v>
      </c>
      <c r="C70" s="21">
        <f>SUM(C71:C89)</f>
        <v>4405640.3000000007</v>
      </c>
      <c r="D70" s="21">
        <f>SUM(D71:D89)</f>
        <v>4517143.6000000006</v>
      </c>
      <c r="E70" s="21">
        <f>SUM(E71:E89)</f>
        <v>111503.29999999944</v>
      </c>
      <c r="F70" s="21">
        <f>SUM(F72:F89)</f>
        <v>111503.29999999999</v>
      </c>
      <c r="G70" s="38"/>
      <c r="H70" s="23">
        <f>SUM(E70-F70)</f>
        <v>-5.5297277867794037E-10</v>
      </c>
    </row>
    <row r="71" spans="1:8" ht="27">
      <c r="A71" s="81"/>
      <c r="B71" s="70" t="s">
        <v>62</v>
      </c>
      <c r="C71" s="73">
        <v>4211144.9000000004</v>
      </c>
      <c r="D71" s="73">
        <f>4354760.7+1034.3-34907.2-2473</f>
        <v>4318414.8</v>
      </c>
      <c r="E71" s="73">
        <f>D71-C71</f>
        <v>107269.89999999944</v>
      </c>
      <c r="F71" s="49"/>
      <c r="G71" s="42" t="s">
        <v>63</v>
      </c>
      <c r="H71" s="23"/>
    </row>
    <row r="72" spans="1:8" ht="27">
      <c r="A72" s="76"/>
      <c r="B72" s="71"/>
      <c r="C72" s="74"/>
      <c r="D72" s="74"/>
      <c r="E72" s="74"/>
      <c r="F72" s="30">
        <v>-37249.300000000003</v>
      </c>
      <c r="G72" s="42" t="s">
        <v>130</v>
      </c>
      <c r="H72" s="50"/>
    </row>
    <row r="73" spans="1:8" ht="27">
      <c r="A73" s="76"/>
      <c r="B73" s="71"/>
      <c r="C73" s="74"/>
      <c r="D73" s="74"/>
      <c r="E73" s="74"/>
      <c r="F73" s="30">
        <v>-448.7</v>
      </c>
      <c r="G73" s="42" t="s">
        <v>64</v>
      </c>
      <c r="H73" s="50"/>
    </row>
    <row r="74" spans="1:8" ht="27">
      <c r="A74" s="76"/>
      <c r="B74" s="71"/>
      <c r="C74" s="74"/>
      <c r="D74" s="74"/>
      <c r="E74" s="74"/>
      <c r="F74" s="30">
        <v>-14.8</v>
      </c>
      <c r="G74" s="42" t="s">
        <v>65</v>
      </c>
      <c r="H74" s="50"/>
    </row>
    <row r="75" spans="1:8" ht="27">
      <c r="A75" s="76"/>
      <c r="B75" s="71"/>
      <c r="C75" s="74"/>
      <c r="D75" s="74"/>
      <c r="E75" s="74"/>
      <c r="F75" s="30"/>
      <c r="G75" s="42" t="s">
        <v>66</v>
      </c>
      <c r="H75" s="50"/>
    </row>
    <row r="76" spans="1:8" ht="27">
      <c r="A76" s="76"/>
      <c r="B76" s="71"/>
      <c r="C76" s="74"/>
      <c r="D76" s="74"/>
      <c r="E76" s="74"/>
      <c r="F76" s="30">
        <v>5900</v>
      </c>
      <c r="G76" s="42" t="s">
        <v>67</v>
      </c>
      <c r="H76" s="50"/>
    </row>
    <row r="77" spans="1:8" ht="30">
      <c r="A77" s="76"/>
      <c r="B77" s="71"/>
      <c r="C77" s="74"/>
      <c r="D77" s="74"/>
      <c r="E77" s="74"/>
      <c r="F77" s="30">
        <v>132480.5</v>
      </c>
      <c r="G77" s="25" t="s">
        <v>131</v>
      </c>
      <c r="H77" s="50"/>
    </row>
    <row r="78" spans="1:8" ht="27">
      <c r="A78" s="76"/>
      <c r="B78" s="72"/>
      <c r="C78" s="75"/>
      <c r="D78" s="75"/>
      <c r="E78" s="75"/>
      <c r="F78" s="30">
        <v>6602.2</v>
      </c>
      <c r="G78" s="42" t="s">
        <v>68</v>
      </c>
      <c r="H78" s="50"/>
    </row>
    <row r="79" spans="1:8" ht="40.5">
      <c r="A79" s="76"/>
      <c r="B79" s="70" t="s">
        <v>69</v>
      </c>
      <c r="C79" s="73">
        <v>183923.9</v>
      </c>
      <c r="D79" s="73">
        <f>187864.4-465.5</f>
        <v>187398.9</v>
      </c>
      <c r="E79" s="73">
        <f t="shared" ref="E79:E89" si="3">D79-C79</f>
        <v>3475</v>
      </c>
      <c r="F79" s="29">
        <v>-1024.8</v>
      </c>
      <c r="G79" s="31" t="s">
        <v>132</v>
      </c>
      <c r="H79" s="23"/>
    </row>
    <row r="80" spans="1:8" ht="27">
      <c r="A80" s="76"/>
      <c r="B80" s="71"/>
      <c r="C80" s="74"/>
      <c r="D80" s="74"/>
      <c r="E80" s="74"/>
      <c r="F80" s="29"/>
      <c r="G80" s="31" t="s">
        <v>120</v>
      </c>
      <c r="H80" s="23"/>
    </row>
    <row r="81" spans="1:8" ht="27">
      <c r="A81" s="76"/>
      <c r="B81" s="71"/>
      <c r="C81" s="74"/>
      <c r="D81" s="74"/>
      <c r="E81" s="74"/>
      <c r="F81" s="29">
        <v>400</v>
      </c>
      <c r="G81" s="31" t="s">
        <v>70</v>
      </c>
      <c r="H81" s="23"/>
    </row>
    <row r="82" spans="1:8" ht="30">
      <c r="A82" s="76"/>
      <c r="B82" s="71"/>
      <c r="C82" s="74"/>
      <c r="D82" s="74"/>
      <c r="E82" s="74"/>
      <c r="F82" s="29">
        <v>3619.8</v>
      </c>
      <c r="G82" s="25" t="s">
        <v>133</v>
      </c>
      <c r="H82" s="23"/>
    </row>
    <row r="83" spans="1:8">
      <c r="A83" s="76"/>
      <c r="B83" s="71"/>
      <c r="C83" s="74"/>
      <c r="D83" s="74"/>
      <c r="E83" s="74"/>
      <c r="F83" s="29">
        <v>480</v>
      </c>
      <c r="G83" s="31" t="s">
        <v>71</v>
      </c>
      <c r="H83" s="23"/>
    </row>
    <row r="84" spans="1:8" ht="27">
      <c r="A84" s="76"/>
      <c r="B84" s="70" t="s">
        <v>13</v>
      </c>
      <c r="C84" s="73">
        <v>9879.7999999999993</v>
      </c>
      <c r="D84" s="73">
        <v>10638.2</v>
      </c>
      <c r="E84" s="73">
        <f>D84-C84</f>
        <v>758.40000000000146</v>
      </c>
      <c r="F84" s="29"/>
      <c r="G84" s="38" t="s">
        <v>72</v>
      </c>
      <c r="H84" s="23"/>
    </row>
    <row r="85" spans="1:8" ht="27">
      <c r="A85" s="76"/>
      <c r="B85" s="71"/>
      <c r="C85" s="74"/>
      <c r="D85" s="74"/>
      <c r="E85" s="74"/>
      <c r="F85" s="29">
        <v>39.9</v>
      </c>
      <c r="G85" s="38" t="s">
        <v>73</v>
      </c>
      <c r="H85" s="23"/>
    </row>
    <row r="86" spans="1:8" ht="40.5">
      <c r="A86" s="76"/>
      <c r="B86" s="71"/>
      <c r="C86" s="74"/>
      <c r="D86" s="74"/>
      <c r="E86" s="74"/>
      <c r="F86" s="29">
        <f>36+682.5</f>
        <v>718.5</v>
      </c>
      <c r="G86" s="38" t="s">
        <v>146</v>
      </c>
      <c r="H86" s="23"/>
    </row>
    <row r="87" spans="1:8">
      <c r="A87" s="76"/>
      <c r="B87" s="43" t="s">
        <v>74</v>
      </c>
      <c r="C87" s="30">
        <v>418.5</v>
      </c>
      <c r="D87" s="30">
        <v>418.5</v>
      </c>
      <c r="E87" s="30">
        <f t="shared" si="3"/>
        <v>0</v>
      </c>
      <c r="F87" s="27"/>
      <c r="G87" s="28"/>
      <c r="H87" s="23"/>
    </row>
    <row r="88" spans="1:8">
      <c r="A88" s="76"/>
      <c r="B88" s="51" t="s">
        <v>75</v>
      </c>
      <c r="C88" s="37">
        <v>49</v>
      </c>
      <c r="D88" s="37">
        <v>49</v>
      </c>
      <c r="E88" s="30">
        <f t="shared" si="3"/>
        <v>0</v>
      </c>
      <c r="F88" s="27"/>
      <c r="G88" s="52"/>
      <c r="H88" s="53"/>
    </row>
    <row r="89" spans="1:8" ht="30">
      <c r="A89" s="82"/>
      <c r="B89" s="54" t="s">
        <v>18</v>
      </c>
      <c r="C89" s="37">
        <v>224.2</v>
      </c>
      <c r="D89" s="37">
        <v>224.2</v>
      </c>
      <c r="E89" s="30">
        <f t="shared" si="3"/>
        <v>0</v>
      </c>
      <c r="F89" s="27"/>
      <c r="G89" s="28"/>
      <c r="H89" s="11"/>
    </row>
    <row r="90" spans="1:8">
      <c r="A90" s="19" t="s">
        <v>76</v>
      </c>
      <c r="B90" s="20" t="s">
        <v>77</v>
      </c>
      <c r="C90" s="21">
        <f>SUM(C91:C96)</f>
        <v>330483.60000000003</v>
      </c>
      <c r="D90" s="21">
        <f>SUM(D91:D96)</f>
        <v>339301.3</v>
      </c>
      <c r="E90" s="21">
        <f>SUM(E91:E96)</f>
        <v>8817.6999999999643</v>
      </c>
      <c r="F90" s="21">
        <f>SUM(F92:F96)</f>
        <v>8817.6999999999989</v>
      </c>
      <c r="G90" s="38"/>
      <c r="H90" s="23">
        <f>SUM(E90-F90)</f>
        <v>-3.4560798667371273E-11</v>
      </c>
    </row>
    <row r="91" spans="1:8">
      <c r="A91" s="81"/>
      <c r="B91" s="70" t="s">
        <v>78</v>
      </c>
      <c r="C91" s="73">
        <v>302672.40000000002</v>
      </c>
      <c r="D91" s="73">
        <f>311157.5-500-60.7</f>
        <v>310596.8</v>
      </c>
      <c r="E91" s="73">
        <f>D91-C91</f>
        <v>7924.3999999999651</v>
      </c>
      <c r="F91" s="49"/>
      <c r="G91" s="42"/>
      <c r="H91" s="23"/>
    </row>
    <row r="92" spans="1:8" ht="40.5">
      <c r="A92" s="76"/>
      <c r="B92" s="71"/>
      <c r="C92" s="74"/>
      <c r="D92" s="74"/>
      <c r="E92" s="74"/>
      <c r="F92" s="30">
        <v>-2119.8000000000002</v>
      </c>
      <c r="G92" s="42" t="s">
        <v>134</v>
      </c>
      <c r="H92" s="23"/>
    </row>
    <row r="93" spans="1:8" ht="27">
      <c r="A93" s="76"/>
      <c r="B93" s="71"/>
      <c r="C93" s="74"/>
      <c r="D93" s="74"/>
      <c r="E93" s="74"/>
      <c r="F93" s="30"/>
      <c r="G93" s="42" t="s">
        <v>79</v>
      </c>
      <c r="H93" s="23"/>
    </row>
    <row r="94" spans="1:8" ht="27">
      <c r="A94" s="76"/>
      <c r="B94" s="71"/>
      <c r="C94" s="74"/>
      <c r="D94" s="74"/>
      <c r="E94" s="74"/>
      <c r="F94" s="30">
        <v>2072.3000000000002</v>
      </c>
      <c r="G94" s="42" t="s">
        <v>80</v>
      </c>
      <c r="H94" s="23"/>
    </row>
    <row r="95" spans="1:8" ht="30">
      <c r="A95" s="76"/>
      <c r="B95" s="71"/>
      <c r="C95" s="74"/>
      <c r="D95" s="74"/>
      <c r="E95" s="74"/>
      <c r="F95" s="30">
        <v>7971.9</v>
      </c>
      <c r="G95" s="25" t="s">
        <v>136</v>
      </c>
      <c r="H95" s="23"/>
    </row>
    <row r="96" spans="1:8" ht="81">
      <c r="A96" s="82"/>
      <c r="B96" s="48" t="s">
        <v>81</v>
      </c>
      <c r="C96" s="30">
        <v>27811.200000000001</v>
      </c>
      <c r="D96" s="30">
        <v>28704.5</v>
      </c>
      <c r="E96" s="30">
        <f>D96-C96</f>
        <v>893.29999999999927</v>
      </c>
      <c r="F96" s="30">
        <f>595+298.3</f>
        <v>893.3</v>
      </c>
      <c r="G96" s="31" t="s">
        <v>82</v>
      </c>
      <c r="H96" s="23"/>
    </row>
    <row r="97" spans="1:8">
      <c r="A97" s="19" t="s">
        <v>83</v>
      </c>
      <c r="B97" s="20" t="s">
        <v>84</v>
      </c>
      <c r="C97" s="21">
        <f>SUM(C98:C108)</f>
        <v>1474127.4000000001</v>
      </c>
      <c r="D97" s="21">
        <f>SUM(D98:D108)</f>
        <v>1312287.3</v>
      </c>
      <c r="E97" s="21">
        <f>SUM(E98:E108)</f>
        <v>-161840.09999999995</v>
      </c>
      <c r="F97" s="39">
        <f>SUM(F99:F108)</f>
        <v>-161840.09999999998</v>
      </c>
      <c r="G97" s="38"/>
      <c r="H97" s="23">
        <f t="shared" ref="H97" si="4">SUM(E97-F97)</f>
        <v>2.9103830456733704E-11</v>
      </c>
    </row>
    <row r="98" spans="1:8" ht="27">
      <c r="A98" s="81"/>
      <c r="B98" s="70" t="s">
        <v>85</v>
      </c>
      <c r="C98" s="83">
        <v>1050099.5</v>
      </c>
      <c r="D98" s="73">
        <f>1035242.1+14432.7+2000</f>
        <v>1051674.8</v>
      </c>
      <c r="E98" s="73">
        <f>D98-C98</f>
        <v>1575.3000000000466</v>
      </c>
      <c r="F98" s="41"/>
      <c r="G98" s="42" t="s">
        <v>86</v>
      </c>
      <c r="H98" s="23"/>
    </row>
    <row r="99" spans="1:8" ht="27">
      <c r="A99" s="76"/>
      <c r="B99" s="71"/>
      <c r="C99" s="84"/>
      <c r="D99" s="74"/>
      <c r="E99" s="74"/>
      <c r="F99" s="29">
        <f>-71.5-229.8-0.5</f>
        <v>-301.8</v>
      </c>
      <c r="G99" s="31" t="s">
        <v>87</v>
      </c>
      <c r="H99" s="23"/>
    </row>
    <row r="100" spans="1:8" ht="27">
      <c r="A100" s="76"/>
      <c r="B100" s="71"/>
      <c r="C100" s="84"/>
      <c r="D100" s="74"/>
      <c r="E100" s="74"/>
      <c r="F100" s="29">
        <v>-122.9</v>
      </c>
      <c r="G100" s="31" t="s">
        <v>137</v>
      </c>
      <c r="H100" s="23"/>
    </row>
    <row r="101" spans="1:8" ht="40.5">
      <c r="A101" s="76"/>
      <c r="B101" s="71"/>
      <c r="C101" s="84"/>
      <c r="D101" s="74"/>
      <c r="E101" s="74"/>
      <c r="F101" s="29">
        <v>2000</v>
      </c>
      <c r="G101" s="45" t="s">
        <v>149</v>
      </c>
      <c r="H101" s="23"/>
    </row>
    <row r="102" spans="1:8" ht="40.5">
      <c r="A102" s="76"/>
      <c r="B102" s="55" t="s">
        <v>62</v>
      </c>
      <c r="C102" s="37">
        <v>82173.5</v>
      </c>
      <c r="D102" s="37">
        <v>82188.3</v>
      </c>
      <c r="E102" s="30">
        <f t="shared" ref="E102:E108" si="5">D102-C102</f>
        <v>14.80000000000291</v>
      </c>
      <c r="F102" s="27">
        <v>14.8</v>
      </c>
      <c r="G102" s="28" t="s">
        <v>88</v>
      </c>
      <c r="H102" s="23"/>
    </row>
    <row r="103" spans="1:8" ht="27">
      <c r="A103" s="76"/>
      <c r="B103" s="77" t="s">
        <v>13</v>
      </c>
      <c r="C103" s="79">
        <v>82484.3</v>
      </c>
      <c r="D103" s="79">
        <v>78492.399999999994</v>
      </c>
      <c r="E103" s="79">
        <f>D103-C103</f>
        <v>-3991.9000000000087</v>
      </c>
      <c r="F103" s="29"/>
      <c r="G103" s="31" t="s">
        <v>89</v>
      </c>
      <c r="H103" s="23"/>
    </row>
    <row r="104" spans="1:8" ht="40.5">
      <c r="A104" s="76"/>
      <c r="B104" s="78"/>
      <c r="C104" s="80"/>
      <c r="D104" s="80"/>
      <c r="E104" s="80"/>
      <c r="F104" s="30">
        <f>-2850</f>
        <v>-2850</v>
      </c>
      <c r="G104" s="31" t="s">
        <v>152</v>
      </c>
      <c r="H104" s="23"/>
    </row>
    <row r="105" spans="1:8" ht="54">
      <c r="A105" s="76"/>
      <c r="B105" s="78"/>
      <c r="C105" s="80"/>
      <c r="D105" s="80"/>
      <c r="E105" s="80"/>
      <c r="F105" s="30">
        <f>-731.9-410</f>
        <v>-1141.9000000000001</v>
      </c>
      <c r="G105" s="31" t="s">
        <v>150</v>
      </c>
      <c r="H105" s="23"/>
    </row>
    <row r="106" spans="1:8" ht="27">
      <c r="A106" s="76"/>
      <c r="B106" s="70" t="s">
        <v>90</v>
      </c>
      <c r="C106" s="73">
        <v>259059.3</v>
      </c>
      <c r="D106" s="73">
        <v>99621</v>
      </c>
      <c r="E106" s="73">
        <f t="shared" si="5"/>
        <v>-159438.29999999999</v>
      </c>
      <c r="F106" s="27">
        <v>454</v>
      </c>
      <c r="G106" s="45" t="s">
        <v>91</v>
      </c>
      <c r="H106" s="23"/>
    </row>
    <row r="107" spans="1:8" ht="27">
      <c r="A107" s="76"/>
      <c r="B107" s="85"/>
      <c r="C107" s="86"/>
      <c r="D107" s="86"/>
      <c r="E107" s="86"/>
      <c r="F107" s="29">
        <v>-159892.29999999999</v>
      </c>
      <c r="G107" s="31" t="s">
        <v>138</v>
      </c>
      <c r="H107" s="23"/>
    </row>
    <row r="108" spans="1:8">
      <c r="A108" s="82"/>
      <c r="B108" s="54" t="s">
        <v>74</v>
      </c>
      <c r="C108" s="37">
        <v>310.8</v>
      </c>
      <c r="D108" s="37">
        <v>310.8</v>
      </c>
      <c r="E108" s="30">
        <f t="shared" si="5"/>
        <v>0</v>
      </c>
      <c r="F108" s="29"/>
      <c r="G108" s="56"/>
      <c r="H108" s="23"/>
    </row>
    <row r="109" spans="1:8">
      <c r="A109" s="19" t="s">
        <v>92</v>
      </c>
      <c r="B109" s="20" t="s">
        <v>93</v>
      </c>
      <c r="C109" s="21">
        <f>SUM(C110:C117)</f>
        <v>492018.89999999997</v>
      </c>
      <c r="D109" s="21">
        <f>SUM(D110:D117)</f>
        <v>493038.89999999997</v>
      </c>
      <c r="E109" s="21">
        <f>SUM(E110:E117)</f>
        <v>1019.9999999999891</v>
      </c>
      <c r="F109" s="21">
        <f>SUM(F111:F127)</f>
        <v>1020.0000000000002</v>
      </c>
      <c r="G109" s="38"/>
      <c r="H109" s="23">
        <f>SUM(E109-F109)</f>
        <v>-1.1141310096718371E-11</v>
      </c>
    </row>
    <row r="110" spans="1:8" ht="27">
      <c r="A110" s="57"/>
      <c r="B110" s="70" t="s">
        <v>94</v>
      </c>
      <c r="C110" s="73">
        <v>28441.7</v>
      </c>
      <c r="D110" s="73">
        <v>26814.400000000001</v>
      </c>
      <c r="E110" s="73">
        <f>D110-C110</f>
        <v>-1627.2999999999993</v>
      </c>
      <c r="F110" s="49"/>
      <c r="G110" s="42" t="s">
        <v>95</v>
      </c>
      <c r="H110" s="23"/>
    </row>
    <row r="111" spans="1:8" ht="40.5">
      <c r="A111" s="76"/>
      <c r="B111" s="71"/>
      <c r="C111" s="74"/>
      <c r="D111" s="74"/>
      <c r="E111" s="74"/>
      <c r="F111" s="29">
        <v>533.9</v>
      </c>
      <c r="G111" s="31" t="s">
        <v>96</v>
      </c>
      <c r="H111" s="58"/>
    </row>
    <row r="112" spans="1:8" ht="40.5">
      <c r="A112" s="76"/>
      <c r="B112" s="71"/>
      <c r="C112" s="74"/>
      <c r="D112" s="74"/>
      <c r="E112" s="74"/>
      <c r="F112" s="29">
        <v>36</v>
      </c>
      <c r="G112" s="31" t="s">
        <v>97</v>
      </c>
      <c r="H112" s="58"/>
    </row>
    <row r="113" spans="1:8" ht="27">
      <c r="A113" s="76"/>
      <c r="B113" s="71"/>
      <c r="C113" s="74"/>
      <c r="D113" s="74"/>
      <c r="E113" s="74"/>
      <c r="F113" s="29"/>
      <c r="G113" s="31" t="s">
        <v>98</v>
      </c>
      <c r="H113" s="58"/>
    </row>
    <row r="114" spans="1:8" ht="27">
      <c r="A114" s="76"/>
      <c r="B114" s="71"/>
      <c r="C114" s="74"/>
      <c r="D114" s="74"/>
      <c r="E114" s="74"/>
      <c r="F114" s="29">
        <v>-220</v>
      </c>
      <c r="G114" s="31" t="s">
        <v>99</v>
      </c>
      <c r="H114" s="58"/>
    </row>
    <row r="115" spans="1:8" ht="27">
      <c r="A115" s="76"/>
      <c r="B115" s="72"/>
      <c r="C115" s="75"/>
      <c r="D115" s="75"/>
      <c r="E115" s="75"/>
      <c r="F115" s="29">
        <f>-1294.7-682.5</f>
        <v>-1977.2</v>
      </c>
      <c r="G115" s="31" t="s">
        <v>100</v>
      </c>
      <c r="H115" s="58"/>
    </row>
    <row r="116" spans="1:8" ht="30">
      <c r="A116" s="76"/>
      <c r="B116" s="54" t="s">
        <v>62</v>
      </c>
      <c r="C116" s="37">
        <v>26480.1</v>
      </c>
      <c r="D116" s="37">
        <v>26480.1</v>
      </c>
      <c r="E116" s="30">
        <f t="shared" ref="E116" si="6">D116-C116</f>
        <v>0</v>
      </c>
      <c r="F116" s="27"/>
      <c r="G116" s="28"/>
      <c r="H116" s="23"/>
    </row>
    <row r="117" spans="1:8" ht="27">
      <c r="A117" s="76"/>
      <c r="B117" s="77" t="s">
        <v>74</v>
      </c>
      <c r="C117" s="79">
        <v>437097.1</v>
      </c>
      <c r="D117" s="79">
        <f>444967.5-5796.9+573.8</f>
        <v>439744.39999999997</v>
      </c>
      <c r="E117" s="79">
        <f>D117-C117</f>
        <v>2647.2999999999884</v>
      </c>
      <c r="F117" s="27"/>
      <c r="G117" s="28" t="s">
        <v>101</v>
      </c>
      <c r="H117" s="23"/>
    </row>
    <row r="118" spans="1:8" ht="27">
      <c r="A118" s="76"/>
      <c r="B118" s="78"/>
      <c r="C118" s="80"/>
      <c r="D118" s="80"/>
      <c r="E118" s="80"/>
      <c r="F118" s="27">
        <v>-1245.0999999999999</v>
      </c>
      <c r="G118" s="28" t="s">
        <v>139</v>
      </c>
      <c r="H118" s="23"/>
    </row>
    <row r="119" spans="1:8" ht="27">
      <c r="A119" s="76"/>
      <c r="B119" s="78"/>
      <c r="C119" s="80"/>
      <c r="D119" s="80"/>
      <c r="E119" s="80"/>
      <c r="F119" s="27">
        <v>-532</v>
      </c>
      <c r="G119" s="28" t="s">
        <v>102</v>
      </c>
      <c r="H119" s="23"/>
    </row>
    <row r="120" spans="1:8" ht="27">
      <c r="A120" s="76"/>
      <c r="B120" s="78"/>
      <c r="C120" s="80"/>
      <c r="D120" s="80"/>
      <c r="E120" s="80"/>
      <c r="F120" s="27"/>
      <c r="G120" s="28" t="s">
        <v>144</v>
      </c>
      <c r="H120" s="23"/>
    </row>
    <row r="121" spans="1:8" ht="27">
      <c r="A121" s="76"/>
      <c r="B121" s="78"/>
      <c r="C121" s="80"/>
      <c r="D121" s="80"/>
      <c r="E121" s="80"/>
      <c r="F121" s="27">
        <v>127</v>
      </c>
      <c r="G121" s="28" t="s">
        <v>103</v>
      </c>
      <c r="H121" s="23"/>
    </row>
    <row r="122" spans="1:8" ht="27">
      <c r="A122" s="76"/>
      <c r="B122" s="78"/>
      <c r="C122" s="80"/>
      <c r="D122" s="80"/>
      <c r="E122" s="80"/>
      <c r="F122" s="27">
        <v>537.20000000000005</v>
      </c>
      <c r="G122" s="28" t="s">
        <v>140</v>
      </c>
      <c r="H122" s="23"/>
    </row>
    <row r="123" spans="1:8" ht="30">
      <c r="A123" s="76"/>
      <c r="B123" s="78"/>
      <c r="C123" s="80"/>
      <c r="D123" s="80"/>
      <c r="E123" s="80"/>
      <c r="F123" s="27">
        <v>741.7</v>
      </c>
      <c r="G123" s="25" t="s">
        <v>141</v>
      </c>
      <c r="H123" s="23"/>
    </row>
    <row r="124" spans="1:8" ht="27">
      <c r="A124" s="76"/>
      <c r="B124" s="78"/>
      <c r="C124" s="80"/>
      <c r="D124" s="80"/>
      <c r="E124" s="80"/>
      <c r="F124" s="27">
        <v>1294.7</v>
      </c>
      <c r="G124" s="28" t="s">
        <v>104</v>
      </c>
      <c r="H124" s="23"/>
    </row>
    <row r="125" spans="1:8" ht="27">
      <c r="A125" s="76"/>
      <c r="B125" s="78"/>
      <c r="C125" s="80"/>
      <c r="D125" s="80"/>
      <c r="E125" s="80"/>
      <c r="F125" s="27">
        <v>573.79999999999995</v>
      </c>
      <c r="G125" s="28" t="s">
        <v>145</v>
      </c>
      <c r="H125" s="23"/>
    </row>
    <row r="126" spans="1:8" ht="27">
      <c r="A126" s="76"/>
      <c r="B126" s="78"/>
      <c r="C126" s="80"/>
      <c r="D126" s="80"/>
      <c r="E126" s="80"/>
      <c r="F126" s="27">
        <v>350</v>
      </c>
      <c r="G126" s="28" t="s">
        <v>105</v>
      </c>
      <c r="H126" s="23"/>
    </row>
    <row r="127" spans="1:8">
      <c r="A127" s="76"/>
      <c r="B127" s="78"/>
      <c r="C127" s="80"/>
      <c r="D127" s="80"/>
      <c r="E127" s="80"/>
      <c r="F127" s="27">
        <v>800</v>
      </c>
      <c r="G127" s="28" t="s">
        <v>106</v>
      </c>
      <c r="H127" s="23"/>
    </row>
    <row r="128" spans="1:8" ht="28.5">
      <c r="A128" s="19" t="s">
        <v>107</v>
      </c>
      <c r="B128" s="59" t="s">
        <v>108</v>
      </c>
      <c r="C128" s="21">
        <f>C129</f>
        <v>29864.5</v>
      </c>
      <c r="D128" s="21">
        <f>D129</f>
        <v>29864.5</v>
      </c>
      <c r="E128" s="21">
        <f>D128-C128</f>
        <v>0</v>
      </c>
      <c r="F128" s="27"/>
      <c r="G128" s="38"/>
      <c r="H128" s="23"/>
    </row>
    <row r="129" spans="1:8" ht="30">
      <c r="A129" s="60"/>
      <c r="B129" s="61" t="s">
        <v>18</v>
      </c>
      <c r="C129" s="37">
        <v>29864.5</v>
      </c>
      <c r="D129" s="37">
        <v>29864.5</v>
      </c>
      <c r="E129" s="37">
        <f>D129-C129</f>
        <v>0</v>
      </c>
      <c r="F129" s="27"/>
      <c r="G129" s="38"/>
      <c r="H129" s="23"/>
    </row>
    <row r="130" spans="1:8">
      <c r="A130" s="62"/>
      <c r="B130" s="63" t="s">
        <v>109</v>
      </c>
      <c r="C130" s="21">
        <f>C6+C21+C28+C46+C61+C70+C90+C97+C109+C128</f>
        <v>9070866.3000000007</v>
      </c>
      <c r="D130" s="64">
        <f>D6+D21+D28+D46+D61+D70+D90+D97+D109+D128</f>
        <v>9070866.3000000007</v>
      </c>
      <c r="E130" s="64">
        <f>E6+E21+E28+E46+E61+E70+E90+E97+E109+E128</f>
        <v>-7.0940586738288403E-10</v>
      </c>
      <c r="F130" s="69">
        <f>F6+F21+F28+F46+F61+F70+F90+F97+F109+F128</f>
        <v>2.9331204132176936E-11</v>
      </c>
      <c r="G130" s="65"/>
      <c r="H130" s="23">
        <f t="shared" ref="H130" si="7">SUM(E130-F130)</f>
        <v>-7.3873707151506096E-10</v>
      </c>
    </row>
    <row r="131" spans="1:8">
      <c r="G131" s="66"/>
    </row>
    <row r="132" spans="1:8">
      <c r="G132" s="66"/>
    </row>
    <row r="133" spans="1:8">
      <c r="G133" s="66"/>
    </row>
    <row r="134" spans="1:8">
      <c r="G134" s="66"/>
    </row>
    <row r="135" spans="1:8">
      <c r="G135" s="66"/>
    </row>
    <row r="136" spans="1:8">
      <c r="G136" s="66"/>
    </row>
    <row r="137" spans="1:8">
      <c r="G137" s="66"/>
    </row>
    <row r="138" spans="1:8">
      <c r="G138" s="66"/>
    </row>
    <row r="139" spans="1:8">
      <c r="G139" s="66"/>
    </row>
    <row r="140" spans="1:8">
      <c r="G140" s="66"/>
    </row>
    <row r="141" spans="1:8">
      <c r="G141" s="66"/>
    </row>
    <row r="142" spans="1:8">
      <c r="G142" s="66"/>
    </row>
    <row r="143" spans="1:8">
      <c r="G143" s="66"/>
    </row>
    <row r="144" spans="1:8">
      <c r="G144" s="66"/>
    </row>
    <row r="145" spans="7:7">
      <c r="G145" s="66"/>
    </row>
    <row r="146" spans="7:7">
      <c r="G146" s="66"/>
    </row>
    <row r="147" spans="7:7">
      <c r="G147" s="66"/>
    </row>
    <row r="148" spans="7:7">
      <c r="G148" s="66"/>
    </row>
    <row r="149" spans="7:7">
      <c r="G149" s="66"/>
    </row>
    <row r="150" spans="7:7">
      <c r="G150" s="66"/>
    </row>
    <row r="151" spans="7:7">
      <c r="G151" s="66"/>
    </row>
    <row r="152" spans="7:7">
      <c r="G152" s="66"/>
    </row>
    <row r="153" spans="7:7">
      <c r="G153" s="66"/>
    </row>
    <row r="154" spans="7:7">
      <c r="G154" s="66"/>
    </row>
    <row r="155" spans="7:7">
      <c r="G155" s="66"/>
    </row>
    <row r="156" spans="7:7">
      <c r="G156" s="66"/>
    </row>
    <row r="157" spans="7:7">
      <c r="G157" s="66"/>
    </row>
    <row r="158" spans="7:7">
      <c r="G158" s="66"/>
    </row>
    <row r="159" spans="7:7">
      <c r="G159" s="66"/>
    </row>
    <row r="160" spans="7:7">
      <c r="G160" s="66"/>
    </row>
    <row r="161" spans="7:7">
      <c r="G161" s="66"/>
    </row>
  </sheetData>
  <mergeCells count="74">
    <mergeCell ref="A2:G2"/>
    <mergeCell ref="A7:A19"/>
    <mergeCell ref="B7:B14"/>
    <mergeCell ref="C7:C14"/>
    <mergeCell ref="D7:D14"/>
    <mergeCell ref="E7:E14"/>
    <mergeCell ref="B15:B16"/>
    <mergeCell ref="C15:C16"/>
    <mergeCell ref="D15:D16"/>
    <mergeCell ref="E15:E16"/>
    <mergeCell ref="B17:B19"/>
    <mergeCell ref="C17:C19"/>
    <mergeCell ref="D17:D19"/>
    <mergeCell ref="E17:E19"/>
    <mergeCell ref="A22:A27"/>
    <mergeCell ref="B22:B27"/>
    <mergeCell ref="C22:C27"/>
    <mergeCell ref="D22:D27"/>
    <mergeCell ref="E22:E27"/>
    <mergeCell ref="A29:A45"/>
    <mergeCell ref="B29:B44"/>
    <mergeCell ref="C29:C44"/>
    <mergeCell ref="D29:D44"/>
    <mergeCell ref="E29:E44"/>
    <mergeCell ref="A47:A60"/>
    <mergeCell ref="B47:B60"/>
    <mergeCell ref="C47:C60"/>
    <mergeCell ref="D47:D60"/>
    <mergeCell ref="E47:E60"/>
    <mergeCell ref="A62:A69"/>
    <mergeCell ref="B62:B68"/>
    <mergeCell ref="C62:C68"/>
    <mergeCell ref="D62:D68"/>
    <mergeCell ref="E62:E68"/>
    <mergeCell ref="A71:A89"/>
    <mergeCell ref="B71:B78"/>
    <mergeCell ref="C71:C78"/>
    <mergeCell ref="D71:D78"/>
    <mergeCell ref="E71:E78"/>
    <mergeCell ref="B79:B83"/>
    <mergeCell ref="C79:C83"/>
    <mergeCell ref="D79:D83"/>
    <mergeCell ref="E79:E83"/>
    <mergeCell ref="B84:B86"/>
    <mergeCell ref="C84:C86"/>
    <mergeCell ref="D84:D86"/>
    <mergeCell ref="E84:E86"/>
    <mergeCell ref="A91:A96"/>
    <mergeCell ref="B91:B95"/>
    <mergeCell ref="C91:C95"/>
    <mergeCell ref="D91:D95"/>
    <mergeCell ref="E91:E95"/>
    <mergeCell ref="A98:A108"/>
    <mergeCell ref="B98:B101"/>
    <mergeCell ref="C98:C101"/>
    <mergeCell ref="D98:D101"/>
    <mergeCell ref="E98:E101"/>
    <mergeCell ref="B103:B105"/>
    <mergeCell ref="C103:C105"/>
    <mergeCell ref="D103:D105"/>
    <mergeCell ref="E103:E105"/>
    <mergeCell ref="B106:B107"/>
    <mergeCell ref="C106:C107"/>
    <mergeCell ref="D106:D107"/>
    <mergeCell ref="E106:E107"/>
    <mergeCell ref="B110:B115"/>
    <mergeCell ref="C110:C115"/>
    <mergeCell ref="D110:D115"/>
    <mergeCell ref="E110:E115"/>
    <mergeCell ref="A111:A127"/>
    <mergeCell ref="B117:B127"/>
    <mergeCell ref="C117:C127"/>
    <mergeCell ref="D117:D127"/>
    <mergeCell ref="E117:E127"/>
  </mergeCells>
  <pageMargins left="0" right="0" top="0.55118110236220474" bottom="0.15748031496062992" header="0.31496062992125984" footer="0.31496062992125984"/>
  <pageSetup paperSize="9" scale="85" fitToHeight="1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перемещ </vt:lpstr>
      <vt:lpstr>'перемещ '!Заголовки_для_печати</vt:lpstr>
      <vt:lpstr>'перемещ 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Ира Халявина</dc:creator>
  <cp:lastModifiedBy>User</cp:lastModifiedBy>
  <cp:lastPrinted>2026-03-11T09:37:45Z</cp:lastPrinted>
  <dcterms:created xsi:type="dcterms:W3CDTF">2025-12-12T06:36:01Z</dcterms:created>
  <dcterms:modified xsi:type="dcterms:W3CDTF">2026-08-18T10:15:16Z</dcterms:modified>
</cp:coreProperties>
</file>